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J:\DispSvcs_G\DispSvcs_GDL_Only\System &amp; Program Analysts\Quarterly Website Data\FY26\Q3\"/>
    </mc:Choice>
  </mc:AlternateContent>
  <xr:revisionPtr revIDLastSave="0" documentId="13_ncr:9_{C9B2BEC8-6A39-4FB3-876D-B65DAFF87C4D}" xr6:coauthVersionLast="47" xr6:coauthVersionMax="47" xr10:uidLastSave="{00000000-0000-0000-0000-000000000000}"/>
  <bookViews>
    <workbookView xWindow="-28920" yWindow="90" windowWidth="29040" windowHeight="15510" xr2:uid="{5B664CF6-C6AD-4A3D-8F6F-740F49BECE32}"/>
  </bookViews>
  <sheets>
    <sheet name="LESO ALL SHIPMENTS" sheetId="1" r:id="rId1"/>
    <sheet name="LESO CANCELLATIONS" sheetId="2" r:id="rId2"/>
  </sheets>
  <definedNames>
    <definedName name="_xlnm._FilterDatabase" localSheetId="0" hidden="1">'LESO ALL SHIPMENTS'!$A$1:$K$2243</definedName>
    <definedName name="_xlnm._FilterDatabase" localSheetId="1" hidden="1">'LESO CANCELLATIONS'!$A$1:$O$1</definedName>
  </definedNames>
  <calcPr calcId="0"/>
</workbook>
</file>

<file path=xl/calcChain.xml><?xml version="1.0" encoding="utf-8"?>
<calcChain xmlns="http://schemas.openxmlformats.org/spreadsheetml/2006/main">
  <c r="E2" i="2" l="1"/>
  <c r="F2" i="2"/>
  <c r="I2" i="2"/>
  <c r="E3" i="2"/>
  <c r="F3" i="2"/>
  <c r="I3" i="2"/>
  <c r="E4" i="2"/>
  <c r="F4" i="2"/>
  <c r="I4" i="2"/>
  <c r="E5" i="2"/>
  <c r="F5" i="2"/>
  <c r="I5" i="2"/>
  <c r="E6" i="2"/>
  <c r="I6" i="2"/>
  <c r="J6" i="2"/>
  <c r="E7" i="2"/>
  <c r="F7" i="2"/>
  <c r="I7" i="2"/>
  <c r="E8" i="2"/>
  <c r="F8" i="2"/>
  <c r="I8" i="2"/>
  <c r="E9" i="2"/>
  <c r="F9" i="2"/>
  <c r="I9" i="2"/>
  <c r="E10" i="2"/>
  <c r="F10" i="2"/>
  <c r="I10" i="2"/>
  <c r="E11" i="2"/>
  <c r="F11" i="2"/>
  <c r="I11" i="2"/>
  <c r="E12" i="2"/>
  <c r="F12" i="2"/>
  <c r="I12" i="2"/>
  <c r="E13" i="2"/>
  <c r="I13" i="2"/>
  <c r="E14" i="2"/>
  <c r="I14" i="2"/>
  <c r="E15" i="2"/>
  <c r="I15" i="2"/>
  <c r="E16" i="2"/>
  <c r="F16" i="2"/>
  <c r="I16" i="2"/>
  <c r="E17" i="2"/>
  <c r="F17" i="2"/>
  <c r="I17" i="2"/>
  <c r="J17" i="2"/>
  <c r="E18" i="2"/>
  <c r="F18" i="2"/>
  <c r="I18" i="2"/>
  <c r="E19" i="2"/>
  <c r="F19" i="2"/>
  <c r="I19" i="2"/>
  <c r="J19" i="2"/>
  <c r="E20" i="2"/>
  <c r="F20" i="2"/>
  <c r="I20" i="2"/>
  <c r="J20" i="2"/>
  <c r="E21" i="2"/>
  <c r="F21" i="2"/>
  <c r="I21" i="2"/>
  <c r="J21" i="2"/>
  <c r="E22" i="2"/>
  <c r="F22" i="2"/>
  <c r="I22" i="2"/>
  <c r="J22" i="2"/>
  <c r="E23" i="2"/>
  <c r="I23" i="2"/>
  <c r="J23" i="2"/>
  <c r="E24" i="2"/>
  <c r="F24" i="2"/>
  <c r="I24" i="2"/>
  <c r="E25" i="2"/>
  <c r="F25" i="2"/>
  <c r="I25" i="2"/>
  <c r="J25" i="2"/>
  <c r="E26" i="2"/>
  <c r="F26" i="2"/>
  <c r="I26" i="2"/>
  <c r="E27" i="2"/>
  <c r="F27" i="2"/>
  <c r="I27" i="2"/>
  <c r="J27" i="2"/>
  <c r="E28" i="2"/>
  <c r="F28" i="2"/>
  <c r="I28" i="2"/>
  <c r="E29" i="2"/>
  <c r="I29" i="2"/>
  <c r="J29" i="2"/>
  <c r="E30" i="2"/>
  <c r="F30" i="2"/>
  <c r="I30" i="2"/>
  <c r="J30" i="2"/>
  <c r="E31" i="2"/>
  <c r="F31" i="2"/>
  <c r="I31" i="2"/>
  <c r="E32" i="2"/>
  <c r="F32" i="2"/>
  <c r="I32" i="2"/>
  <c r="J32" i="2"/>
  <c r="E33" i="2"/>
  <c r="F33" i="2"/>
  <c r="I33" i="2"/>
  <c r="J33" i="2"/>
  <c r="E34" i="2"/>
  <c r="I34" i="2"/>
  <c r="J34" i="2"/>
  <c r="E35" i="2"/>
  <c r="I35" i="2"/>
  <c r="J35" i="2"/>
  <c r="E36" i="2"/>
  <c r="I36" i="2"/>
  <c r="J36" i="2"/>
  <c r="E37" i="2"/>
  <c r="F37" i="2"/>
  <c r="I37" i="2"/>
  <c r="J37" i="2"/>
  <c r="E38" i="2"/>
  <c r="F38" i="2"/>
  <c r="I38" i="2"/>
  <c r="J38" i="2"/>
  <c r="E39" i="2"/>
  <c r="F39" i="2"/>
  <c r="I39" i="2"/>
  <c r="J39" i="2"/>
  <c r="E40" i="2"/>
  <c r="F40" i="2"/>
  <c r="I40" i="2"/>
  <c r="E41" i="2"/>
  <c r="F41" i="2"/>
  <c r="I41" i="2"/>
  <c r="E42" i="2"/>
  <c r="F42" i="2"/>
  <c r="I42" i="2"/>
  <c r="J42" i="2"/>
  <c r="E43" i="2"/>
  <c r="F43" i="2"/>
  <c r="I43" i="2"/>
  <c r="J43" i="2"/>
  <c r="E44" i="2"/>
  <c r="I44" i="2"/>
  <c r="E45" i="2"/>
  <c r="F45" i="2"/>
  <c r="I45" i="2"/>
  <c r="E46" i="2"/>
  <c r="I46" i="2"/>
  <c r="E47" i="2"/>
  <c r="I47" i="2"/>
  <c r="J47" i="2"/>
  <c r="E48" i="2"/>
  <c r="I48" i="2"/>
  <c r="E49" i="2"/>
  <c r="I49" i="2"/>
  <c r="E50" i="2"/>
  <c r="I50" i="2"/>
  <c r="E51" i="2"/>
  <c r="F51" i="2"/>
  <c r="I51" i="2"/>
  <c r="E52" i="2"/>
  <c r="F52" i="2"/>
  <c r="I52" i="2"/>
  <c r="E53" i="2"/>
  <c r="I53" i="2"/>
  <c r="J53" i="2"/>
  <c r="E54" i="2"/>
  <c r="F54" i="2"/>
  <c r="I54" i="2"/>
  <c r="J54" i="2"/>
  <c r="E55" i="2"/>
  <c r="F55" i="2"/>
  <c r="I55" i="2"/>
  <c r="J55" i="2"/>
  <c r="E56" i="2"/>
  <c r="F56" i="2"/>
  <c r="I56" i="2"/>
  <c r="J56" i="2"/>
  <c r="E57" i="2"/>
  <c r="F57" i="2"/>
  <c r="I57" i="2"/>
  <c r="E58" i="2"/>
  <c r="I58" i="2"/>
  <c r="J58" i="2"/>
  <c r="E59" i="2"/>
  <c r="F59" i="2"/>
  <c r="I59" i="2"/>
  <c r="J59" i="2"/>
  <c r="E60" i="2"/>
  <c r="F60" i="2"/>
  <c r="I60" i="2"/>
  <c r="J60" i="2"/>
  <c r="E61" i="2"/>
  <c r="F61" i="2"/>
  <c r="I61" i="2"/>
  <c r="E62" i="2"/>
  <c r="I62" i="2"/>
  <c r="J62" i="2"/>
  <c r="E63" i="2"/>
  <c r="I63" i="2"/>
  <c r="J63" i="2"/>
  <c r="E64" i="2"/>
  <c r="F64" i="2"/>
  <c r="I64" i="2"/>
  <c r="E65" i="2"/>
  <c r="F65" i="2"/>
  <c r="I65" i="2"/>
  <c r="J65" i="2"/>
  <c r="E66" i="2"/>
  <c r="F66" i="2"/>
  <c r="I66" i="2"/>
  <c r="J66" i="2"/>
  <c r="E67" i="2"/>
  <c r="F67" i="2"/>
  <c r="I67" i="2"/>
  <c r="J67" i="2"/>
  <c r="E68" i="2"/>
  <c r="F68" i="2"/>
  <c r="I68" i="2"/>
  <c r="J68" i="2"/>
  <c r="E69" i="2"/>
  <c r="F69" i="2"/>
  <c r="I69" i="2"/>
  <c r="J69" i="2"/>
  <c r="E70" i="2"/>
  <c r="F70" i="2"/>
  <c r="I70" i="2"/>
  <c r="J70" i="2"/>
  <c r="E71" i="2"/>
  <c r="F71" i="2"/>
  <c r="I71" i="2"/>
  <c r="J71" i="2"/>
  <c r="E72" i="2"/>
  <c r="I72" i="2"/>
  <c r="E73" i="2"/>
  <c r="I73" i="2"/>
  <c r="J73" i="2"/>
  <c r="E74" i="2"/>
  <c r="F74" i="2"/>
  <c r="I74" i="2"/>
  <c r="J74" i="2"/>
  <c r="E75" i="2"/>
  <c r="F75" i="2"/>
  <c r="I75" i="2"/>
  <c r="J75" i="2"/>
  <c r="E76" i="2"/>
  <c r="I76" i="2"/>
  <c r="J76" i="2"/>
  <c r="E77" i="2"/>
  <c r="F77" i="2"/>
  <c r="I77" i="2"/>
  <c r="J77" i="2"/>
  <c r="E78" i="2"/>
  <c r="F78" i="2"/>
  <c r="I78" i="2"/>
  <c r="J78" i="2"/>
  <c r="E79" i="2"/>
  <c r="F79" i="2"/>
  <c r="I79" i="2"/>
  <c r="E80" i="2"/>
  <c r="I80" i="2"/>
  <c r="E81" i="2"/>
  <c r="F81" i="2"/>
  <c r="I81" i="2"/>
  <c r="J81" i="2"/>
  <c r="E82" i="2"/>
  <c r="I82" i="2"/>
  <c r="J82" i="2"/>
  <c r="E83" i="2"/>
  <c r="I83" i="2"/>
  <c r="J83" i="2"/>
  <c r="E84" i="2"/>
  <c r="F84" i="2"/>
  <c r="I84" i="2"/>
  <c r="J84" i="2"/>
  <c r="E85" i="2"/>
  <c r="I85" i="2"/>
  <c r="J85" i="2"/>
  <c r="E86" i="2"/>
  <c r="I86" i="2"/>
  <c r="J86" i="2"/>
  <c r="E87" i="2"/>
  <c r="I87" i="2"/>
  <c r="J87" i="2"/>
  <c r="E88" i="2"/>
  <c r="I88" i="2"/>
  <c r="J88" i="2"/>
  <c r="E89" i="2"/>
  <c r="F89" i="2"/>
  <c r="I89" i="2"/>
  <c r="J89" i="2"/>
  <c r="E90" i="2"/>
  <c r="I90" i="2"/>
  <c r="J90" i="2"/>
  <c r="E91" i="2"/>
  <c r="F91" i="2"/>
  <c r="I91" i="2"/>
  <c r="J91" i="2"/>
  <c r="E92" i="2"/>
  <c r="F92" i="2"/>
  <c r="I92" i="2"/>
  <c r="J92" i="2"/>
  <c r="E93" i="2"/>
  <c r="F93" i="2"/>
  <c r="I93" i="2"/>
  <c r="J93" i="2"/>
  <c r="E94" i="2"/>
  <c r="I94" i="2"/>
  <c r="E95" i="2"/>
  <c r="F95" i="2"/>
  <c r="I95" i="2"/>
  <c r="J95" i="2"/>
  <c r="E96" i="2"/>
  <c r="F96" i="2"/>
  <c r="I96" i="2"/>
  <c r="J96" i="2"/>
  <c r="E97" i="2"/>
  <c r="I97" i="2"/>
  <c r="J97" i="2"/>
  <c r="E98" i="2"/>
  <c r="F98" i="2"/>
  <c r="I98" i="2"/>
  <c r="J98" i="2"/>
  <c r="E99" i="2"/>
  <c r="I99" i="2"/>
  <c r="J99" i="2"/>
  <c r="E100" i="2"/>
  <c r="F100" i="2"/>
  <c r="I100" i="2"/>
  <c r="J100" i="2"/>
  <c r="E101" i="2"/>
  <c r="I101" i="2"/>
  <c r="J101" i="2"/>
  <c r="E102" i="2"/>
  <c r="I102" i="2"/>
  <c r="E103" i="2"/>
  <c r="I103" i="2"/>
  <c r="E104" i="2"/>
  <c r="F104" i="2"/>
  <c r="I104" i="2"/>
  <c r="E105" i="2"/>
  <c r="F105" i="2"/>
  <c r="I105" i="2"/>
  <c r="J105" i="2"/>
  <c r="E106" i="2"/>
  <c r="I106" i="2"/>
  <c r="J106" i="2"/>
  <c r="E107" i="2"/>
  <c r="I107" i="2"/>
  <c r="J107" i="2"/>
  <c r="E108" i="2"/>
  <c r="I108" i="2"/>
  <c r="J108" i="2"/>
  <c r="E109" i="2"/>
  <c r="I109" i="2"/>
  <c r="J109" i="2"/>
  <c r="E110" i="2"/>
  <c r="F110" i="2"/>
  <c r="I110" i="2"/>
  <c r="J110" i="2"/>
  <c r="E111" i="2"/>
  <c r="F111" i="2"/>
  <c r="I111" i="2"/>
  <c r="E112" i="2"/>
  <c r="F112" i="2"/>
  <c r="I112" i="2"/>
  <c r="J112" i="2"/>
  <c r="E113" i="2"/>
  <c r="F113" i="2"/>
  <c r="I113" i="2"/>
  <c r="J113" i="2"/>
  <c r="E114" i="2"/>
  <c r="F114" i="2"/>
  <c r="I114" i="2"/>
  <c r="J114" i="2"/>
  <c r="E115" i="2"/>
  <c r="F115" i="2"/>
  <c r="I115" i="2"/>
  <c r="J115" i="2"/>
  <c r="E116" i="2"/>
  <c r="F116" i="2"/>
  <c r="I116" i="2"/>
  <c r="J116" i="2"/>
  <c r="E117" i="2"/>
  <c r="F117" i="2"/>
  <c r="I117" i="2"/>
  <c r="J117" i="2"/>
  <c r="E118" i="2"/>
  <c r="F118" i="2"/>
  <c r="I118" i="2"/>
  <c r="E119" i="2"/>
  <c r="I119" i="2"/>
  <c r="J119" i="2"/>
  <c r="E120" i="2"/>
  <c r="F120" i="2"/>
  <c r="I120" i="2"/>
  <c r="J120" i="2"/>
  <c r="E121" i="2"/>
  <c r="F121" i="2"/>
  <c r="I121" i="2"/>
  <c r="E122" i="2"/>
  <c r="I122" i="2"/>
  <c r="J122" i="2"/>
  <c r="E123" i="2"/>
  <c r="F123" i="2"/>
  <c r="I123" i="2"/>
  <c r="E124" i="2"/>
  <c r="I124" i="2"/>
  <c r="J124" i="2"/>
  <c r="E125" i="2"/>
  <c r="F125" i="2"/>
  <c r="I125" i="2"/>
  <c r="J125" i="2"/>
  <c r="E126" i="2"/>
  <c r="F126" i="2"/>
  <c r="I126" i="2"/>
  <c r="E127" i="2"/>
  <c r="F127" i="2"/>
  <c r="I127" i="2"/>
  <c r="J127" i="2"/>
  <c r="E128" i="2"/>
  <c r="F128" i="2"/>
  <c r="I128" i="2"/>
  <c r="E129" i="2"/>
  <c r="F129" i="2"/>
  <c r="I129" i="2"/>
  <c r="J129" i="2"/>
  <c r="E130" i="2"/>
  <c r="F130" i="2"/>
  <c r="I130" i="2"/>
  <c r="J130" i="2"/>
  <c r="E131" i="2"/>
  <c r="F131" i="2"/>
  <c r="I131" i="2"/>
  <c r="E132" i="2"/>
  <c r="I132" i="2"/>
  <c r="J132" i="2"/>
  <c r="E133" i="2"/>
  <c r="F133" i="2"/>
  <c r="I133" i="2"/>
  <c r="E134" i="2"/>
  <c r="F134" i="2"/>
  <c r="I134" i="2"/>
  <c r="J134" i="2"/>
  <c r="E135" i="2"/>
  <c r="F135" i="2"/>
  <c r="I135" i="2"/>
  <c r="J135" i="2"/>
  <c r="E136" i="2"/>
  <c r="I136" i="2"/>
  <c r="E137" i="2"/>
  <c r="I137" i="2"/>
  <c r="J137" i="2"/>
  <c r="E138" i="2"/>
  <c r="F138" i="2"/>
  <c r="I138" i="2"/>
  <c r="E139" i="2"/>
  <c r="I139" i="2"/>
  <c r="J139" i="2"/>
  <c r="E140" i="2"/>
  <c r="F140" i="2"/>
  <c r="I140" i="2"/>
  <c r="J140" i="2"/>
  <c r="E141" i="2"/>
  <c r="I141" i="2"/>
  <c r="J141" i="2"/>
  <c r="E142" i="2"/>
  <c r="I142" i="2"/>
  <c r="J142" i="2"/>
  <c r="E143" i="2"/>
  <c r="F143" i="2"/>
  <c r="I143" i="2"/>
  <c r="J143" i="2"/>
  <c r="E144" i="2"/>
  <c r="I144" i="2"/>
  <c r="J144" i="2"/>
  <c r="E145" i="2"/>
  <c r="F145" i="2"/>
  <c r="I145" i="2"/>
  <c r="J145" i="2"/>
  <c r="E146" i="2"/>
  <c r="I146" i="2"/>
  <c r="J146" i="2"/>
  <c r="E147" i="2"/>
  <c r="I147" i="2"/>
  <c r="J147" i="2"/>
  <c r="E148" i="2"/>
  <c r="F148" i="2"/>
  <c r="I148" i="2"/>
  <c r="J148" i="2"/>
  <c r="E149" i="2"/>
  <c r="I149" i="2"/>
  <c r="J149" i="2"/>
  <c r="E150" i="2"/>
  <c r="I150" i="2"/>
  <c r="E151" i="2"/>
  <c r="F151" i="2"/>
  <c r="I151" i="2"/>
  <c r="E152" i="2"/>
  <c r="I152" i="2"/>
  <c r="J152" i="2"/>
  <c r="E153" i="2"/>
  <c r="F153" i="2"/>
  <c r="I153" i="2"/>
  <c r="E154" i="2"/>
  <c r="I154" i="2"/>
  <c r="J154" i="2"/>
  <c r="E155" i="2"/>
  <c r="F155" i="2"/>
  <c r="I155" i="2"/>
  <c r="J155" i="2"/>
  <c r="E156" i="2"/>
  <c r="I156" i="2"/>
  <c r="J156" i="2"/>
  <c r="E157" i="2"/>
  <c r="F157" i="2"/>
  <c r="I157" i="2"/>
  <c r="J157" i="2"/>
  <c r="E158" i="2"/>
  <c r="F158" i="2"/>
  <c r="I158" i="2"/>
  <c r="J158" i="2"/>
  <c r="E159" i="2"/>
  <c r="F159" i="2"/>
  <c r="I159" i="2"/>
  <c r="J159" i="2"/>
  <c r="E160" i="2"/>
  <c r="F160" i="2"/>
  <c r="I160" i="2"/>
  <c r="E161" i="2"/>
  <c r="I161" i="2"/>
  <c r="J161" i="2"/>
  <c r="E162" i="2"/>
  <c r="I162" i="2"/>
  <c r="E163" i="2"/>
  <c r="F163" i="2"/>
  <c r="I163" i="2"/>
  <c r="E164" i="2"/>
  <c r="F164" i="2"/>
  <c r="I164" i="2"/>
  <c r="J164" i="2"/>
  <c r="E165" i="2"/>
  <c r="I165" i="2"/>
  <c r="J165" i="2"/>
  <c r="E166" i="2"/>
  <c r="F166" i="2"/>
  <c r="I166" i="2"/>
  <c r="J166" i="2"/>
  <c r="E167" i="2"/>
  <c r="I167" i="2"/>
  <c r="J167" i="2"/>
  <c r="E168" i="2"/>
  <c r="I168" i="2"/>
  <c r="J168" i="2"/>
  <c r="E169" i="2"/>
  <c r="F169" i="2"/>
  <c r="I169" i="2"/>
  <c r="E170" i="2"/>
  <c r="F170" i="2"/>
  <c r="I170" i="2"/>
  <c r="J170" i="2"/>
  <c r="E171" i="2"/>
  <c r="F171" i="2"/>
  <c r="I171" i="2"/>
  <c r="E172" i="2"/>
  <c r="I172" i="2"/>
  <c r="J172" i="2"/>
  <c r="E173" i="2"/>
  <c r="I173" i="2"/>
  <c r="J173" i="2"/>
  <c r="E174" i="2"/>
  <c r="F174" i="2"/>
  <c r="I174" i="2"/>
  <c r="J174" i="2"/>
  <c r="E175" i="2"/>
  <c r="F175" i="2"/>
  <c r="I175" i="2"/>
  <c r="J175" i="2"/>
  <c r="E176" i="2"/>
  <c r="I176" i="2"/>
  <c r="J176" i="2"/>
  <c r="E177" i="2"/>
  <c r="I177" i="2"/>
  <c r="J177" i="2"/>
  <c r="E178" i="2"/>
  <c r="I178" i="2"/>
  <c r="J178" i="2"/>
  <c r="E179" i="2"/>
  <c r="F179" i="2"/>
  <c r="I179" i="2"/>
  <c r="J179" i="2"/>
  <c r="E180" i="2"/>
  <c r="F180" i="2"/>
  <c r="I180" i="2"/>
  <c r="J180" i="2"/>
  <c r="E181" i="2"/>
  <c r="F181" i="2"/>
  <c r="I181" i="2"/>
  <c r="J181" i="2"/>
  <c r="E182" i="2"/>
  <c r="F182" i="2"/>
  <c r="I182" i="2"/>
  <c r="E183" i="2"/>
  <c r="F183" i="2"/>
  <c r="I183" i="2"/>
  <c r="E184" i="2"/>
  <c r="I184" i="2"/>
  <c r="J184" i="2"/>
  <c r="E185" i="2"/>
  <c r="I185" i="2"/>
  <c r="J185" i="2"/>
  <c r="E186" i="2"/>
  <c r="F186" i="2"/>
  <c r="I186" i="2"/>
  <c r="E187" i="2"/>
  <c r="F187" i="2"/>
  <c r="I187" i="2"/>
  <c r="E188" i="2"/>
  <c r="F188" i="2"/>
  <c r="I188" i="2"/>
  <c r="E189" i="2"/>
  <c r="I189" i="2"/>
  <c r="E190" i="2"/>
  <c r="I190" i="2"/>
  <c r="J190" i="2"/>
  <c r="E191" i="2"/>
  <c r="I191" i="2"/>
  <c r="E192" i="2"/>
  <c r="I192" i="2"/>
  <c r="J192" i="2"/>
  <c r="E193" i="2"/>
  <c r="F193" i="2"/>
  <c r="I193" i="2"/>
  <c r="J193" i="2"/>
  <c r="E194" i="2"/>
  <c r="F194" i="2"/>
  <c r="I194" i="2"/>
  <c r="J194" i="2"/>
  <c r="E195" i="2"/>
  <c r="F195" i="2"/>
  <c r="I195" i="2"/>
  <c r="E196" i="2"/>
  <c r="F196" i="2"/>
  <c r="I196" i="2"/>
  <c r="J196" i="2"/>
  <c r="E197" i="2"/>
  <c r="F197" i="2"/>
  <c r="I197" i="2"/>
  <c r="J197" i="2"/>
  <c r="E198" i="2"/>
  <c r="F198" i="2"/>
  <c r="I198" i="2"/>
  <c r="J198" i="2"/>
  <c r="E199" i="2"/>
  <c r="F199" i="2"/>
  <c r="I199" i="2"/>
  <c r="J199" i="2"/>
  <c r="E200" i="2"/>
  <c r="F200" i="2"/>
  <c r="I200" i="2"/>
  <c r="J200" i="2"/>
  <c r="E201" i="2"/>
  <c r="F201" i="2"/>
  <c r="I201" i="2"/>
  <c r="J201" i="2"/>
  <c r="E202" i="2"/>
  <c r="F202" i="2"/>
  <c r="I202" i="2"/>
  <c r="J202" i="2"/>
  <c r="E203" i="2"/>
  <c r="F203" i="2"/>
  <c r="I203" i="2"/>
  <c r="E204" i="2"/>
  <c r="F204" i="2"/>
  <c r="I204" i="2"/>
  <c r="E205" i="2"/>
  <c r="I205" i="2"/>
  <c r="E206" i="2"/>
  <c r="F206" i="2"/>
  <c r="I206" i="2"/>
  <c r="J206" i="2"/>
  <c r="E207" i="2"/>
  <c r="I207" i="2"/>
  <c r="J207" i="2"/>
  <c r="E208" i="2"/>
  <c r="I208" i="2"/>
  <c r="J208" i="2"/>
  <c r="E209" i="2"/>
  <c r="I209" i="2"/>
  <c r="J209" i="2"/>
  <c r="E210" i="2"/>
  <c r="I210" i="2"/>
  <c r="J210" i="2"/>
  <c r="E211" i="2"/>
  <c r="I211" i="2"/>
  <c r="J211" i="2"/>
  <c r="E212" i="2"/>
  <c r="I212" i="2"/>
  <c r="J212" i="2"/>
  <c r="E213" i="2"/>
  <c r="F213" i="2"/>
  <c r="I213" i="2"/>
  <c r="E214" i="2"/>
  <c r="I214" i="2"/>
  <c r="E215" i="2"/>
  <c r="I215" i="2"/>
  <c r="J215" i="2"/>
  <c r="E216" i="2"/>
  <c r="I216" i="2"/>
  <c r="E217" i="2"/>
  <c r="F217" i="2"/>
  <c r="I217" i="2"/>
  <c r="J217" i="2"/>
  <c r="E218" i="2"/>
  <c r="F218" i="2"/>
  <c r="I218" i="2"/>
  <c r="E219" i="2"/>
  <c r="I219" i="2"/>
  <c r="J219" i="2"/>
  <c r="E220" i="2"/>
  <c r="F220" i="2"/>
  <c r="I220" i="2"/>
  <c r="E221" i="2"/>
  <c r="F221" i="2"/>
  <c r="I221" i="2"/>
  <c r="J221" i="2"/>
  <c r="E222" i="2"/>
  <c r="F222" i="2"/>
  <c r="I222" i="2"/>
  <c r="J222" i="2"/>
  <c r="E223" i="2"/>
  <c r="F223" i="2"/>
  <c r="I223" i="2"/>
  <c r="J223" i="2"/>
  <c r="E224" i="2"/>
  <c r="F224" i="2"/>
  <c r="I224" i="2"/>
  <c r="J224" i="2"/>
  <c r="E225" i="2"/>
  <c r="I225" i="2"/>
  <c r="E226" i="2"/>
  <c r="I226" i="2"/>
  <c r="E227" i="2"/>
  <c r="I227" i="2"/>
  <c r="E228" i="2"/>
  <c r="I228" i="2"/>
  <c r="E229" i="2"/>
  <c r="F229" i="2"/>
  <c r="I229" i="2"/>
  <c r="J229" i="2"/>
  <c r="E230" i="2"/>
  <c r="F230" i="2"/>
  <c r="I230" i="2"/>
  <c r="J230" i="2"/>
  <c r="E231" i="2"/>
  <c r="F231" i="2"/>
  <c r="I231" i="2"/>
  <c r="J231" i="2"/>
  <c r="E232" i="2"/>
  <c r="F232" i="2"/>
  <c r="I232" i="2"/>
  <c r="J232" i="2"/>
  <c r="E233" i="2"/>
  <c r="F233" i="2"/>
  <c r="I233" i="2"/>
  <c r="J233" i="2"/>
  <c r="E234" i="2"/>
  <c r="I234" i="2"/>
  <c r="J234" i="2"/>
  <c r="E235" i="2"/>
  <c r="F235" i="2"/>
  <c r="I235" i="2"/>
  <c r="E236" i="2"/>
  <c r="F236" i="2"/>
  <c r="I236" i="2"/>
  <c r="E237" i="2"/>
  <c r="F237" i="2"/>
  <c r="I237" i="2"/>
  <c r="E238" i="2"/>
  <c r="F238" i="2"/>
  <c r="I238" i="2"/>
  <c r="E239" i="2"/>
  <c r="F239" i="2"/>
  <c r="I239" i="2"/>
  <c r="E240" i="2"/>
  <c r="I240" i="2"/>
  <c r="J240" i="2"/>
  <c r="E241" i="2"/>
  <c r="I241" i="2"/>
  <c r="J241" i="2"/>
  <c r="E242" i="2"/>
  <c r="F242" i="2"/>
  <c r="I242" i="2"/>
  <c r="J242" i="2"/>
  <c r="E243" i="2"/>
  <c r="F243" i="2"/>
  <c r="I243" i="2"/>
  <c r="J243" i="2"/>
  <c r="E244" i="2"/>
  <c r="F244" i="2"/>
  <c r="I244" i="2"/>
  <c r="J244" i="2"/>
  <c r="E245" i="2"/>
  <c r="F245" i="2"/>
  <c r="I245" i="2"/>
  <c r="J245" i="2"/>
  <c r="E246" i="2"/>
  <c r="I246" i="2"/>
  <c r="J246" i="2"/>
  <c r="E247" i="2"/>
  <c r="F247" i="2"/>
  <c r="I247" i="2"/>
  <c r="E248" i="2"/>
  <c r="F248" i="2"/>
  <c r="I248" i="2"/>
  <c r="E249" i="2"/>
  <c r="F249" i="2"/>
  <c r="I249" i="2"/>
  <c r="J249" i="2"/>
  <c r="E250" i="2"/>
  <c r="F250" i="2"/>
  <c r="I250" i="2"/>
  <c r="J250" i="2"/>
  <c r="E251" i="2"/>
  <c r="I251" i="2"/>
  <c r="J251" i="2"/>
  <c r="E252" i="2"/>
  <c r="F252" i="2"/>
  <c r="I252" i="2"/>
  <c r="J252" i="2"/>
  <c r="E253" i="2"/>
  <c r="I253" i="2"/>
  <c r="J253" i="2"/>
  <c r="E254" i="2"/>
  <c r="I254" i="2"/>
  <c r="J254" i="2"/>
  <c r="E255" i="2"/>
  <c r="F255" i="2"/>
  <c r="I255" i="2"/>
  <c r="E256" i="2"/>
  <c r="F256" i="2"/>
  <c r="I256" i="2"/>
  <c r="E257" i="2"/>
  <c r="I257" i="2"/>
  <c r="J257" i="2"/>
  <c r="E258" i="2"/>
  <c r="F258" i="2"/>
  <c r="I258" i="2"/>
  <c r="E259" i="2"/>
  <c r="I259" i="2"/>
  <c r="J259" i="2"/>
  <c r="E260" i="2"/>
  <c r="F260" i="2"/>
  <c r="I260" i="2"/>
  <c r="E261" i="2"/>
  <c r="F261" i="2"/>
  <c r="I261" i="2"/>
  <c r="J261" i="2"/>
  <c r="E262" i="2"/>
  <c r="I262" i="2"/>
  <c r="J262" i="2"/>
  <c r="E263" i="2"/>
  <c r="F263" i="2"/>
  <c r="I263" i="2"/>
  <c r="E264" i="2"/>
  <c r="I264" i="2"/>
  <c r="J264" i="2"/>
  <c r="E265" i="2"/>
  <c r="I265" i="2"/>
  <c r="J265" i="2"/>
  <c r="E266" i="2"/>
  <c r="I266" i="2"/>
  <c r="J266" i="2"/>
  <c r="E267" i="2"/>
  <c r="I267" i="2"/>
  <c r="J267" i="2"/>
  <c r="E268" i="2"/>
  <c r="F268" i="2"/>
  <c r="I268" i="2"/>
  <c r="J268" i="2"/>
  <c r="E269" i="2"/>
  <c r="F269" i="2"/>
  <c r="I269" i="2"/>
  <c r="J269" i="2"/>
  <c r="E270" i="2"/>
  <c r="F270" i="2"/>
  <c r="I270" i="2"/>
  <c r="E271" i="2"/>
  <c r="F271" i="2"/>
  <c r="I271" i="2"/>
  <c r="E272" i="2"/>
  <c r="F272" i="2"/>
  <c r="I272" i="2"/>
  <c r="E273" i="2"/>
  <c r="F273" i="2"/>
  <c r="I273" i="2"/>
  <c r="E274" i="2"/>
  <c r="F274" i="2"/>
  <c r="I274" i="2"/>
  <c r="E275" i="2"/>
  <c r="F275" i="2"/>
  <c r="I275" i="2"/>
  <c r="E276" i="2"/>
  <c r="I276" i="2"/>
  <c r="J276" i="2"/>
  <c r="E277" i="2"/>
  <c r="F277" i="2"/>
  <c r="I277" i="2"/>
  <c r="E278" i="2"/>
  <c r="I278" i="2"/>
  <c r="J278" i="2"/>
  <c r="E279" i="2"/>
  <c r="I279" i="2"/>
  <c r="J279" i="2"/>
  <c r="E280" i="2"/>
  <c r="F280" i="2"/>
  <c r="I280" i="2"/>
  <c r="J280" i="2"/>
  <c r="E281" i="2"/>
  <c r="F281" i="2"/>
  <c r="I281" i="2"/>
  <c r="E282" i="2"/>
  <c r="F282" i="2"/>
  <c r="I282" i="2"/>
  <c r="E283" i="2"/>
  <c r="I283" i="2"/>
  <c r="J283" i="2"/>
  <c r="E284" i="2"/>
  <c r="F284" i="2"/>
  <c r="I284" i="2"/>
  <c r="E285" i="2"/>
  <c r="F285" i="2"/>
  <c r="I285" i="2"/>
  <c r="E286" i="2"/>
  <c r="F286" i="2"/>
  <c r="I286" i="2"/>
  <c r="E287" i="2"/>
  <c r="I287" i="2"/>
  <c r="J287" i="2"/>
  <c r="E288" i="2"/>
  <c r="F288" i="2"/>
  <c r="I288" i="2"/>
  <c r="E289" i="2"/>
  <c r="I289" i="2"/>
  <c r="J289" i="2"/>
  <c r="E290" i="2"/>
  <c r="F290" i="2"/>
  <c r="I290" i="2"/>
  <c r="E291" i="2"/>
  <c r="I291" i="2"/>
  <c r="J291" i="2"/>
  <c r="E292" i="2"/>
  <c r="F292" i="2"/>
  <c r="I292" i="2"/>
  <c r="E293" i="2"/>
  <c r="F293" i="2"/>
  <c r="I293" i="2"/>
  <c r="E294" i="2"/>
  <c r="F294" i="2"/>
  <c r="I294" i="2"/>
  <c r="E295" i="2"/>
  <c r="F295" i="2"/>
  <c r="I295" i="2"/>
  <c r="E296" i="2"/>
  <c r="I296" i="2"/>
  <c r="J296" i="2"/>
  <c r="E297" i="2"/>
  <c r="F297" i="2"/>
  <c r="I297" i="2"/>
  <c r="E298" i="2"/>
  <c r="F298" i="2"/>
  <c r="I298" i="2"/>
  <c r="E299" i="2"/>
  <c r="I299" i="2"/>
  <c r="J299" i="2"/>
  <c r="E300" i="2"/>
  <c r="F300" i="2"/>
  <c r="I300" i="2"/>
  <c r="E301" i="2"/>
  <c r="F301" i="2"/>
  <c r="I301" i="2"/>
  <c r="E302" i="2"/>
  <c r="F302" i="2"/>
  <c r="I302" i="2"/>
  <c r="E303" i="2"/>
  <c r="F303" i="2"/>
  <c r="I303" i="2"/>
  <c r="J303" i="2"/>
  <c r="E304" i="2"/>
  <c r="F304" i="2"/>
  <c r="I304" i="2"/>
  <c r="E305" i="2"/>
  <c r="F305" i="2"/>
  <c r="I305" i="2"/>
  <c r="E306" i="2"/>
  <c r="F306" i="2"/>
  <c r="I306" i="2"/>
  <c r="E307" i="2"/>
  <c r="I307" i="2"/>
  <c r="J307" i="2"/>
  <c r="E308" i="2"/>
  <c r="I308" i="2"/>
  <c r="J308" i="2"/>
  <c r="E309" i="2"/>
  <c r="I309" i="2"/>
  <c r="J309" i="2"/>
  <c r="E310" i="2"/>
  <c r="F310" i="2"/>
  <c r="I310" i="2"/>
  <c r="E311" i="2"/>
  <c r="F311" i="2"/>
  <c r="I311" i="2"/>
  <c r="E312" i="2"/>
  <c r="F312" i="2"/>
  <c r="I312" i="2"/>
  <c r="E313" i="2"/>
  <c r="F313" i="2"/>
  <c r="I313" i="2"/>
  <c r="E314" i="2"/>
  <c r="F314" i="2"/>
  <c r="I314" i="2"/>
  <c r="J314" i="2"/>
  <c r="E315" i="2"/>
  <c r="F315" i="2"/>
  <c r="I315" i="2"/>
  <c r="J315" i="2"/>
  <c r="E316" i="2"/>
  <c r="F316" i="2"/>
  <c r="I316" i="2"/>
  <c r="E317" i="2"/>
  <c r="F317" i="2"/>
  <c r="I317" i="2"/>
  <c r="E318" i="2"/>
  <c r="F318" i="2"/>
  <c r="I318" i="2"/>
  <c r="E319" i="2"/>
  <c r="F319" i="2"/>
  <c r="I319" i="2"/>
  <c r="E320" i="2"/>
  <c r="F320" i="2"/>
  <c r="I320" i="2"/>
  <c r="E321" i="2"/>
  <c r="I321" i="2"/>
  <c r="J321" i="2"/>
  <c r="E322" i="2"/>
  <c r="F322" i="2"/>
  <c r="I322" i="2"/>
  <c r="J322" i="2"/>
  <c r="E323" i="2"/>
  <c r="F323" i="2"/>
  <c r="I323" i="2"/>
  <c r="E324" i="2"/>
  <c r="I324" i="2"/>
  <c r="J324" i="2"/>
  <c r="E325" i="2"/>
  <c r="F325" i="2"/>
  <c r="I325" i="2"/>
  <c r="E326" i="2"/>
  <c r="F326" i="2"/>
  <c r="I326" i="2"/>
  <c r="E327" i="2"/>
  <c r="I327" i="2"/>
  <c r="J327" i="2"/>
  <c r="E328" i="2"/>
  <c r="F328" i="2"/>
  <c r="I328" i="2"/>
  <c r="E329" i="2"/>
  <c r="F329" i="2"/>
  <c r="I329" i="2"/>
  <c r="E330" i="2"/>
  <c r="F330" i="2"/>
  <c r="I330" i="2"/>
  <c r="E331" i="2"/>
  <c r="F331" i="2"/>
  <c r="I331" i="2"/>
  <c r="J331" i="2"/>
  <c r="E332" i="2"/>
  <c r="F332" i="2"/>
  <c r="I332" i="2"/>
  <c r="E333" i="2"/>
  <c r="I333" i="2"/>
  <c r="J333" i="2"/>
  <c r="E334" i="2"/>
  <c r="I334" i="2"/>
  <c r="J334" i="2"/>
  <c r="E335" i="2"/>
  <c r="I335" i="2"/>
  <c r="E336" i="2"/>
  <c r="F336" i="2"/>
  <c r="I336" i="2"/>
  <c r="E337" i="2"/>
  <c r="I337" i="2"/>
  <c r="J337" i="2"/>
  <c r="E338" i="2"/>
  <c r="F338" i="2"/>
  <c r="I338" i="2"/>
  <c r="J338" i="2"/>
  <c r="E339" i="2"/>
  <c r="F339" i="2"/>
  <c r="I339" i="2"/>
  <c r="J339" i="2"/>
  <c r="E340" i="2"/>
  <c r="I340" i="2"/>
  <c r="J340" i="2"/>
  <c r="E341" i="2"/>
  <c r="F341" i="2"/>
  <c r="I341" i="2"/>
  <c r="J341" i="2"/>
  <c r="E342" i="2"/>
  <c r="I342" i="2"/>
  <c r="J342" i="2"/>
  <c r="E343" i="2"/>
  <c r="I343" i="2"/>
  <c r="E344" i="2"/>
  <c r="I344" i="2"/>
  <c r="E345" i="2"/>
  <c r="I345" i="2"/>
  <c r="J345" i="2"/>
  <c r="E346" i="2"/>
  <c r="I346" i="2"/>
  <c r="J346" i="2"/>
  <c r="E347" i="2"/>
  <c r="F347" i="2"/>
  <c r="I347" i="2"/>
  <c r="J347" i="2"/>
  <c r="E348" i="2"/>
  <c r="I348" i="2"/>
  <c r="J348" i="2"/>
  <c r="E349" i="2"/>
  <c r="F349" i="2"/>
  <c r="I349" i="2"/>
  <c r="E350" i="2"/>
  <c r="F350" i="2"/>
  <c r="I350" i="2"/>
  <c r="J350" i="2"/>
  <c r="E351" i="2"/>
  <c r="F351" i="2"/>
  <c r="I351" i="2"/>
  <c r="E352" i="2"/>
  <c r="I352" i="2"/>
  <c r="J352" i="2"/>
  <c r="E353" i="2"/>
  <c r="F353" i="2"/>
  <c r="I353" i="2"/>
  <c r="E354" i="2"/>
  <c r="F354" i="2"/>
  <c r="I354" i="2"/>
  <c r="J354" i="2"/>
  <c r="E355" i="2"/>
  <c r="F355" i="2"/>
  <c r="I355" i="2"/>
  <c r="E356" i="2"/>
  <c r="F356" i="2"/>
  <c r="I356" i="2"/>
  <c r="J356" i="2"/>
  <c r="E357" i="2"/>
  <c r="I357" i="2"/>
  <c r="J357" i="2"/>
  <c r="E358" i="2"/>
  <c r="I358" i="2"/>
  <c r="J358" i="2"/>
  <c r="E359" i="2"/>
  <c r="I359" i="2"/>
  <c r="J359" i="2"/>
  <c r="E360" i="2"/>
  <c r="I360" i="2"/>
  <c r="J360" i="2"/>
  <c r="E361" i="2"/>
  <c r="F361" i="2"/>
  <c r="I361" i="2"/>
  <c r="E362" i="2"/>
  <c r="F362" i="2"/>
  <c r="I362" i="2"/>
  <c r="J362" i="2"/>
  <c r="E363" i="2"/>
  <c r="I363" i="2"/>
  <c r="E364" i="2"/>
  <c r="F364" i="2"/>
  <c r="I364" i="2"/>
  <c r="J364" i="2"/>
  <c r="E365" i="2"/>
  <c r="F365" i="2"/>
  <c r="I365" i="2"/>
  <c r="E366" i="2"/>
  <c r="F366" i="2"/>
  <c r="I366" i="2"/>
  <c r="E367" i="2"/>
  <c r="I367" i="2"/>
  <c r="J367" i="2"/>
  <c r="E368" i="2"/>
  <c r="I368" i="2"/>
  <c r="J368" i="2"/>
  <c r="E369" i="2"/>
  <c r="I369" i="2"/>
  <c r="J369" i="2"/>
  <c r="E370" i="2"/>
  <c r="I370" i="2"/>
  <c r="J370" i="2"/>
  <c r="E371" i="2"/>
  <c r="F371" i="2"/>
  <c r="I371" i="2"/>
  <c r="E372" i="2"/>
  <c r="F372" i="2"/>
  <c r="I372" i="2"/>
  <c r="E373" i="2"/>
  <c r="F373" i="2"/>
  <c r="I373" i="2"/>
  <c r="J373" i="2"/>
  <c r="E374" i="2"/>
  <c r="F374" i="2"/>
  <c r="I374" i="2"/>
  <c r="J374" i="2"/>
  <c r="E375" i="2"/>
  <c r="F375" i="2"/>
  <c r="I375" i="2"/>
  <c r="E376" i="2"/>
  <c r="F376" i="2"/>
  <c r="I376" i="2"/>
  <c r="J376" i="2"/>
  <c r="E377" i="2"/>
  <c r="F377" i="2"/>
  <c r="I377" i="2"/>
  <c r="J377" i="2"/>
  <c r="E378" i="2"/>
  <c r="F378" i="2"/>
  <c r="I378" i="2"/>
  <c r="E379" i="2"/>
  <c r="I379" i="2"/>
  <c r="J379" i="2"/>
  <c r="E380" i="2"/>
  <c r="F380" i="2"/>
  <c r="I380" i="2"/>
  <c r="J380" i="2"/>
  <c r="E381" i="2"/>
  <c r="I381" i="2"/>
  <c r="J381" i="2"/>
  <c r="E382" i="2"/>
  <c r="F382" i="2"/>
  <c r="I382" i="2"/>
  <c r="E383" i="2"/>
  <c r="F383" i="2"/>
  <c r="I383" i="2"/>
  <c r="J383" i="2"/>
  <c r="E384" i="2"/>
  <c r="F384" i="2"/>
  <c r="I384" i="2"/>
  <c r="J384" i="2"/>
  <c r="E385" i="2"/>
  <c r="F385" i="2"/>
  <c r="I385" i="2"/>
  <c r="J385" i="2"/>
  <c r="E386" i="2"/>
  <c r="F386" i="2"/>
  <c r="I386" i="2"/>
  <c r="E387" i="2"/>
  <c r="F387" i="2"/>
  <c r="I387" i="2"/>
  <c r="J387" i="2"/>
  <c r="E388" i="2"/>
  <c r="F388" i="2"/>
  <c r="I388" i="2"/>
  <c r="J388" i="2"/>
  <c r="E389" i="2"/>
  <c r="I389" i="2"/>
  <c r="E390" i="2"/>
  <c r="I390" i="2"/>
  <c r="J390" i="2"/>
  <c r="E391" i="2"/>
  <c r="I391" i="2"/>
  <c r="J391" i="2"/>
  <c r="E392" i="2"/>
  <c r="F392" i="2"/>
  <c r="I392" i="2"/>
  <c r="E393" i="2"/>
  <c r="I393" i="2"/>
  <c r="J393" i="2"/>
  <c r="E394" i="2"/>
  <c r="F394" i="2"/>
  <c r="I394" i="2"/>
  <c r="E395" i="2"/>
  <c r="F395" i="2"/>
  <c r="I395" i="2"/>
  <c r="E396" i="2"/>
  <c r="F396" i="2"/>
  <c r="I396" i="2"/>
  <c r="E397" i="2"/>
  <c r="F397" i="2"/>
  <c r="I397" i="2"/>
  <c r="E398" i="2"/>
  <c r="F398" i="2"/>
  <c r="I398" i="2"/>
  <c r="E399" i="2"/>
  <c r="F399" i="2"/>
  <c r="I399" i="2"/>
  <c r="E400" i="2"/>
  <c r="F400" i="2"/>
  <c r="I400" i="2"/>
  <c r="E401" i="2"/>
  <c r="F401" i="2"/>
  <c r="I401" i="2"/>
  <c r="E402" i="2"/>
  <c r="F402" i="2"/>
  <c r="I402" i="2"/>
  <c r="E403" i="2"/>
  <c r="F403" i="2"/>
  <c r="I403" i="2"/>
  <c r="E404" i="2"/>
  <c r="F404" i="2"/>
  <c r="I404" i="2"/>
  <c r="E405" i="2"/>
  <c r="I405" i="2"/>
  <c r="E406" i="2"/>
  <c r="I406" i="2"/>
  <c r="E407" i="2"/>
  <c r="I407" i="2"/>
  <c r="E408" i="2"/>
  <c r="I408" i="2"/>
  <c r="E409" i="2"/>
  <c r="F409" i="2"/>
  <c r="I409" i="2"/>
  <c r="E410" i="2"/>
  <c r="I410" i="2"/>
  <c r="E411" i="2"/>
  <c r="I411" i="2"/>
  <c r="E412" i="2"/>
  <c r="I412" i="2"/>
  <c r="E413" i="2"/>
  <c r="I413" i="2"/>
  <c r="E414" i="2"/>
  <c r="I414" i="2"/>
  <c r="E415" i="2"/>
  <c r="I415" i="2"/>
  <c r="E416" i="2"/>
  <c r="I416" i="2"/>
  <c r="J416" i="2"/>
  <c r="E417" i="2"/>
  <c r="I417" i="2"/>
  <c r="J417" i="2"/>
  <c r="E418" i="2"/>
  <c r="F418" i="2"/>
  <c r="I418" i="2"/>
  <c r="J418" i="2"/>
  <c r="E419" i="2"/>
  <c r="I419" i="2"/>
  <c r="J419" i="2"/>
  <c r="E420" i="2"/>
  <c r="I420" i="2"/>
  <c r="J420" i="2"/>
  <c r="E421" i="2"/>
  <c r="I421" i="2"/>
  <c r="J421" i="2"/>
  <c r="E422" i="2"/>
  <c r="I422" i="2"/>
  <c r="J422" i="2"/>
  <c r="E423" i="2"/>
  <c r="I423" i="2"/>
  <c r="J423" i="2"/>
  <c r="E424" i="2"/>
  <c r="F424" i="2"/>
  <c r="I424" i="2"/>
  <c r="E425" i="2"/>
  <c r="F425" i="2"/>
  <c r="I425" i="2"/>
  <c r="E426" i="2"/>
  <c r="F426" i="2"/>
  <c r="I426" i="2"/>
  <c r="J426" i="2"/>
  <c r="E427" i="2"/>
  <c r="F427" i="2"/>
  <c r="I427" i="2"/>
  <c r="J427" i="2"/>
  <c r="E428" i="2"/>
  <c r="F428" i="2"/>
  <c r="I428" i="2"/>
  <c r="E429" i="2"/>
  <c r="F429" i="2"/>
  <c r="I429" i="2"/>
  <c r="E430" i="2"/>
  <c r="I430" i="2"/>
  <c r="J430" i="2"/>
  <c r="E431" i="2"/>
  <c r="F431" i="2"/>
  <c r="I431" i="2"/>
  <c r="E432" i="2"/>
  <c r="F432" i="2"/>
  <c r="I432" i="2"/>
  <c r="E433" i="2"/>
  <c r="F433" i="2"/>
  <c r="I433" i="2"/>
  <c r="E434" i="2"/>
  <c r="F434" i="2"/>
  <c r="I434" i="2"/>
  <c r="E435" i="2"/>
  <c r="F435" i="2"/>
  <c r="I435" i="2"/>
  <c r="J435" i="2"/>
  <c r="E436" i="2"/>
  <c r="F436" i="2"/>
  <c r="I436" i="2"/>
  <c r="J436" i="2"/>
  <c r="E437" i="2"/>
  <c r="I437" i="2"/>
  <c r="J437" i="2"/>
  <c r="E438" i="2"/>
  <c r="F438" i="2"/>
  <c r="I438" i="2"/>
  <c r="J438" i="2"/>
  <c r="E439" i="2"/>
  <c r="I439" i="2"/>
  <c r="J439" i="2"/>
  <c r="E440" i="2"/>
  <c r="I440" i="2"/>
  <c r="J440" i="2"/>
  <c r="E441" i="2"/>
  <c r="I441" i="2"/>
  <c r="J441" i="2"/>
  <c r="E442" i="2"/>
  <c r="I442" i="2"/>
  <c r="J442" i="2"/>
  <c r="E443" i="2"/>
  <c r="I443" i="2"/>
  <c r="J443" i="2"/>
  <c r="E444" i="2"/>
  <c r="I444" i="2"/>
  <c r="J444" i="2"/>
  <c r="E445" i="2"/>
  <c r="I445" i="2"/>
  <c r="J445" i="2"/>
  <c r="E446" i="2"/>
  <c r="F446" i="2"/>
  <c r="I446" i="2"/>
  <c r="E447" i="2"/>
  <c r="F447" i="2"/>
  <c r="I447" i="2"/>
  <c r="E448" i="2"/>
  <c r="F448" i="2"/>
  <c r="I448" i="2"/>
  <c r="E449" i="2"/>
  <c r="F449" i="2"/>
  <c r="I449" i="2"/>
  <c r="J449" i="2"/>
  <c r="E450" i="2"/>
  <c r="I450" i="2"/>
  <c r="E451" i="2"/>
  <c r="I451" i="2"/>
  <c r="E452" i="2"/>
  <c r="I452" i="2"/>
  <c r="J452" i="2"/>
  <c r="E453" i="2"/>
  <c r="I453" i="2"/>
  <c r="E454" i="2"/>
  <c r="I454" i="2"/>
  <c r="J454" i="2"/>
  <c r="E455" i="2"/>
  <c r="I455" i="2"/>
  <c r="J455" i="2"/>
  <c r="E456" i="2"/>
  <c r="I456" i="2"/>
  <c r="J456" i="2"/>
  <c r="E457" i="2"/>
  <c r="I457" i="2"/>
  <c r="E458" i="2"/>
  <c r="F458" i="2"/>
  <c r="I458" i="2"/>
  <c r="E459" i="2"/>
  <c r="I459" i="2"/>
  <c r="J459" i="2"/>
  <c r="E460" i="2"/>
  <c r="I460" i="2"/>
  <c r="J460" i="2"/>
  <c r="E461" i="2"/>
  <c r="I461" i="2"/>
  <c r="J461" i="2"/>
  <c r="E462" i="2"/>
  <c r="I462" i="2"/>
  <c r="J462" i="2"/>
  <c r="E463" i="2"/>
  <c r="I463" i="2"/>
  <c r="J463" i="2"/>
  <c r="E464" i="2"/>
  <c r="I464" i="2"/>
  <c r="J464" i="2"/>
  <c r="E465" i="2"/>
  <c r="I465" i="2"/>
  <c r="J465" i="2"/>
  <c r="E466" i="2"/>
  <c r="I466" i="2"/>
  <c r="J466" i="2"/>
  <c r="E467" i="2"/>
  <c r="I467" i="2"/>
  <c r="J467" i="2"/>
  <c r="E468" i="2"/>
  <c r="F468" i="2"/>
  <c r="I468" i="2"/>
  <c r="E469" i="2"/>
  <c r="F469" i="2"/>
  <c r="I469" i="2"/>
  <c r="E470" i="2"/>
  <c r="I470" i="2"/>
  <c r="J470" i="2"/>
  <c r="E471" i="2"/>
  <c r="F471" i="2"/>
  <c r="I471" i="2"/>
  <c r="E472" i="2"/>
  <c r="I472" i="2"/>
  <c r="J472" i="2"/>
  <c r="E473" i="2"/>
  <c r="I473" i="2"/>
  <c r="J473" i="2"/>
  <c r="E474" i="2"/>
  <c r="F474" i="2"/>
  <c r="I474" i="2"/>
  <c r="J474" i="2"/>
  <c r="E475" i="2"/>
  <c r="F475" i="2"/>
  <c r="I475" i="2"/>
  <c r="E476" i="2"/>
  <c r="I476" i="2"/>
  <c r="J476" i="2"/>
  <c r="E477" i="2"/>
  <c r="F477" i="2"/>
  <c r="I477" i="2"/>
  <c r="J477" i="2"/>
  <c r="E478" i="2"/>
  <c r="F478" i="2"/>
  <c r="I478" i="2"/>
  <c r="E479" i="2"/>
  <c r="F479" i="2"/>
  <c r="I479" i="2"/>
  <c r="E480" i="2"/>
  <c r="F480" i="2"/>
  <c r="I480" i="2"/>
  <c r="E481" i="2"/>
  <c r="F481" i="2"/>
  <c r="I481" i="2"/>
  <c r="E482" i="2"/>
  <c r="F482" i="2"/>
  <c r="I482" i="2"/>
  <c r="J482" i="2"/>
  <c r="E483" i="2"/>
  <c r="F483" i="2"/>
  <c r="I483" i="2"/>
  <c r="J483" i="2"/>
  <c r="E484" i="2"/>
  <c r="I484" i="2"/>
  <c r="J484" i="2"/>
  <c r="E485" i="2"/>
  <c r="F485" i="2"/>
  <c r="I485" i="2"/>
  <c r="J485" i="2"/>
  <c r="E486" i="2"/>
  <c r="F486" i="2"/>
  <c r="I486" i="2"/>
  <c r="J486" i="2"/>
  <c r="E487" i="2"/>
  <c r="F487" i="2"/>
  <c r="I487" i="2"/>
  <c r="J487" i="2"/>
  <c r="E488" i="2"/>
  <c r="I488" i="2"/>
  <c r="E489" i="2"/>
  <c r="F489" i="2"/>
  <c r="I489" i="2"/>
  <c r="J489" i="2"/>
  <c r="E490" i="2"/>
  <c r="F490" i="2"/>
  <c r="I490" i="2"/>
  <c r="J490" i="2"/>
  <c r="E491" i="2"/>
  <c r="F491" i="2"/>
  <c r="I491" i="2"/>
  <c r="J491" i="2"/>
  <c r="E492" i="2"/>
  <c r="F492" i="2"/>
  <c r="I492" i="2"/>
  <c r="J492" i="2"/>
  <c r="E493" i="2"/>
  <c r="F493" i="2"/>
  <c r="I493" i="2"/>
  <c r="J493" i="2"/>
  <c r="E494" i="2"/>
  <c r="F494" i="2"/>
  <c r="I494" i="2"/>
  <c r="J494" i="2"/>
  <c r="E495" i="2"/>
  <c r="F495" i="2"/>
  <c r="I495" i="2"/>
  <c r="J495" i="2"/>
  <c r="E496" i="2"/>
  <c r="F496" i="2"/>
  <c r="I496" i="2"/>
  <c r="J496" i="2"/>
  <c r="E497" i="2"/>
  <c r="F497" i="2"/>
  <c r="I497" i="2"/>
  <c r="J497" i="2"/>
  <c r="E498" i="2"/>
  <c r="F498" i="2"/>
  <c r="I498" i="2"/>
  <c r="J498" i="2"/>
  <c r="E499" i="2"/>
  <c r="F499" i="2"/>
  <c r="I499" i="2"/>
  <c r="J499" i="2"/>
  <c r="E500" i="2"/>
  <c r="F500" i="2"/>
  <c r="I500" i="2"/>
  <c r="E501" i="2"/>
  <c r="I501" i="2"/>
  <c r="E502" i="2"/>
  <c r="I502" i="2"/>
  <c r="J502" i="2"/>
  <c r="E503" i="2"/>
  <c r="F503" i="2"/>
  <c r="I503" i="2"/>
  <c r="J503" i="2"/>
  <c r="E504" i="2"/>
  <c r="F504" i="2"/>
  <c r="I504" i="2"/>
  <c r="J504" i="2"/>
  <c r="E505" i="2"/>
  <c r="I505" i="2"/>
  <c r="J505" i="2"/>
  <c r="E506" i="2"/>
  <c r="F506" i="2"/>
  <c r="I506" i="2"/>
  <c r="E507" i="2"/>
  <c r="F507" i="2"/>
  <c r="I507" i="2"/>
  <c r="E508" i="2"/>
  <c r="I508" i="2"/>
  <c r="J508" i="2"/>
  <c r="E509" i="2"/>
  <c r="I509" i="2"/>
  <c r="J509" i="2"/>
  <c r="E510" i="2"/>
  <c r="I510" i="2"/>
  <c r="J510" i="2"/>
  <c r="E511" i="2"/>
  <c r="I511" i="2"/>
  <c r="J511" i="2"/>
  <c r="E512" i="2"/>
  <c r="I512" i="2"/>
  <c r="J512" i="2"/>
  <c r="E513" i="2"/>
  <c r="F513" i="2"/>
  <c r="I513" i="2"/>
  <c r="J513" i="2"/>
  <c r="E514" i="2"/>
  <c r="I514" i="2"/>
  <c r="J514" i="2"/>
  <c r="E515" i="2"/>
  <c r="F515" i="2"/>
  <c r="I515" i="2"/>
  <c r="E516" i="2"/>
  <c r="F516" i="2"/>
  <c r="I516" i="2"/>
  <c r="J516" i="2"/>
  <c r="E517" i="2"/>
  <c r="F517" i="2"/>
  <c r="I517" i="2"/>
  <c r="J517" i="2"/>
  <c r="E518" i="2"/>
  <c r="I518" i="2"/>
  <c r="J518" i="2"/>
  <c r="E519" i="2"/>
  <c r="I519" i="2"/>
  <c r="J519" i="2"/>
  <c r="E520" i="2"/>
  <c r="I520" i="2"/>
  <c r="J520" i="2"/>
  <c r="E521" i="2"/>
  <c r="I521" i="2"/>
  <c r="J521" i="2"/>
  <c r="E522" i="2"/>
  <c r="I522" i="2"/>
  <c r="J522" i="2"/>
  <c r="E523" i="2"/>
  <c r="F523" i="2"/>
  <c r="I523" i="2"/>
  <c r="J523" i="2"/>
  <c r="E524" i="2"/>
  <c r="F524" i="2"/>
  <c r="I524" i="2"/>
  <c r="J524" i="2"/>
  <c r="E525" i="2"/>
  <c r="I525" i="2"/>
  <c r="J525" i="2"/>
  <c r="E526" i="2"/>
  <c r="F526" i="2"/>
  <c r="I526" i="2"/>
  <c r="J526" i="2"/>
  <c r="E527" i="2"/>
  <c r="F527" i="2"/>
  <c r="I527" i="2"/>
  <c r="J527" i="2"/>
  <c r="E528" i="2"/>
  <c r="F528" i="2"/>
  <c r="I528" i="2"/>
  <c r="J528" i="2"/>
  <c r="E529" i="2"/>
  <c r="F529" i="2"/>
  <c r="I529" i="2"/>
  <c r="J529" i="2"/>
  <c r="E530" i="2"/>
  <c r="I530" i="2"/>
  <c r="J530" i="2"/>
  <c r="E531" i="2"/>
  <c r="I531" i="2"/>
  <c r="J531" i="2"/>
  <c r="E532" i="2"/>
  <c r="I532" i="2"/>
  <c r="J532" i="2"/>
  <c r="E533" i="2"/>
  <c r="I533" i="2"/>
  <c r="E534" i="2"/>
  <c r="I534" i="2"/>
  <c r="E535" i="2"/>
  <c r="I535" i="2"/>
  <c r="J535" i="2"/>
  <c r="E536" i="2"/>
  <c r="I536" i="2"/>
  <c r="E537" i="2"/>
  <c r="F537" i="2"/>
  <c r="I537" i="2"/>
  <c r="J537" i="2"/>
  <c r="E538" i="2"/>
  <c r="F538" i="2"/>
  <c r="I538" i="2"/>
  <c r="J538" i="2"/>
  <c r="E539" i="2"/>
  <c r="I539" i="2"/>
  <c r="J539" i="2"/>
  <c r="E540" i="2"/>
  <c r="F540" i="2"/>
  <c r="I540" i="2"/>
  <c r="J540" i="2"/>
  <c r="E541" i="2"/>
  <c r="I541" i="2"/>
  <c r="J541" i="2"/>
  <c r="E542" i="2"/>
  <c r="F542" i="2"/>
  <c r="I542" i="2"/>
  <c r="J542" i="2"/>
  <c r="E543" i="2"/>
  <c r="I543" i="2"/>
  <c r="E544" i="2"/>
  <c r="I544" i="2"/>
  <c r="E545" i="2"/>
  <c r="I545" i="2"/>
  <c r="J545" i="2"/>
  <c r="E546" i="2"/>
  <c r="I546" i="2"/>
  <c r="J546" i="2"/>
  <c r="E547" i="2"/>
  <c r="F547" i="2"/>
  <c r="I547" i="2"/>
  <c r="J547" i="2"/>
  <c r="E548" i="2"/>
  <c r="I548" i="2"/>
  <c r="J548" i="2"/>
  <c r="E549" i="2"/>
  <c r="I549" i="2"/>
  <c r="J549" i="2"/>
  <c r="E550" i="2"/>
  <c r="F550" i="2"/>
  <c r="I550" i="2"/>
  <c r="J550" i="2"/>
  <c r="E551" i="2"/>
  <c r="I551" i="2"/>
  <c r="J551" i="2"/>
  <c r="E552" i="2"/>
  <c r="I552" i="2"/>
  <c r="J552" i="2"/>
  <c r="E553" i="2"/>
  <c r="I553" i="2"/>
  <c r="J553" i="2"/>
  <c r="E554" i="2"/>
  <c r="I554" i="2"/>
  <c r="J554" i="2"/>
  <c r="E555" i="2"/>
  <c r="F555" i="2"/>
  <c r="I555" i="2"/>
  <c r="J555" i="2"/>
  <c r="E556" i="2"/>
  <c r="F556" i="2"/>
  <c r="I556" i="2"/>
  <c r="J556" i="2"/>
  <c r="E557" i="2"/>
  <c r="I557" i="2"/>
  <c r="J557" i="2"/>
  <c r="E558" i="2"/>
  <c r="I558" i="2"/>
  <c r="J558" i="2"/>
  <c r="E559" i="2"/>
  <c r="F559" i="2"/>
  <c r="I559" i="2"/>
  <c r="J559" i="2"/>
  <c r="E560" i="2"/>
  <c r="F560" i="2"/>
  <c r="I560" i="2"/>
  <c r="J560" i="2"/>
  <c r="E561" i="2"/>
  <c r="I561" i="2"/>
  <c r="J561" i="2"/>
  <c r="E562" i="2"/>
  <c r="I562" i="2"/>
  <c r="J562" i="2"/>
  <c r="E563" i="2"/>
  <c r="I563" i="2"/>
  <c r="J563" i="2"/>
  <c r="E564" i="2"/>
  <c r="F564" i="2"/>
  <c r="I564" i="2"/>
  <c r="E565" i="2"/>
  <c r="I565" i="2"/>
  <c r="J565" i="2"/>
  <c r="E566" i="2"/>
  <c r="I566" i="2"/>
  <c r="J566" i="2"/>
  <c r="E567" i="2"/>
  <c r="I567" i="2"/>
  <c r="J567" i="2"/>
  <c r="E568" i="2"/>
  <c r="F568" i="2"/>
  <c r="I568" i="2"/>
  <c r="J568" i="2"/>
  <c r="E569" i="2"/>
  <c r="F569" i="2"/>
  <c r="I569" i="2"/>
  <c r="E570" i="2"/>
  <c r="F570" i="2"/>
  <c r="I570" i="2"/>
  <c r="J570" i="2"/>
  <c r="E571" i="2"/>
  <c r="F571" i="2"/>
  <c r="I571" i="2"/>
  <c r="J571" i="2"/>
  <c r="E572" i="2"/>
  <c r="F572" i="2"/>
  <c r="I572" i="2"/>
  <c r="J572" i="2"/>
  <c r="E573" i="2"/>
  <c r="F573" i="2"/>
  <c r="I573" i="2"/>
  <c r="J573" i="2"/>
  <c r="E574" i="2"/>
  <c r="I574" i="2"/>
  <c r="E575" i="2"/>
  <c r="F575" i="2"/>
  <c r="I575" i="2"/>
  <c r="J575" i="2"/>
  <c r="E576" i="2"/>
  <c r="F576" i="2"/>
  <c r="I576" i="2"/>
  <c r="J576" i="2"/>
  <c r="E577" i="2"/>
  <c r="I577" i="2"/>
  <c r="E578" i="2"/>
  <c r="I578" i="2"/>
  <c r="E579" i="2"/>
  <c r="I579" i="2"/>
  <c r="E580" i="2"/>
  <c r="F580" i="2"/>
  <c r="I580" i="2"/>
  <c r="J580" i="2"/>
  <c r="E581" i="2"/>
  <c r="I581" i="2"/>
  <c r="J581" i="2"/>
  <c r="E582" i="2"/>
  <c r="F582" i="2"/>
  <c r="I582" i="2"/>
  <c r="J582" i="2"/>
  <c r="E583" i="2"/>
  <c r="I583" i="2"/>
  <c r="J583" i="2"/>
  <c r="E584" i="2"/>
  <c r="I584" i="2"/>
  <c r="E585" i="2"/>
  <c r="I585" i="2"/>
  <c r="J585" i="2"/>
  <c r="E586" i="2"/>
  <c r="I586" i="2"/>
  <c r="J586" i="2"/>
  <c r="E587" i="2"/>
  <c r="F587" i="2"/>
  <c r="I587" i="2"/>
  <c r="J587" i="2"/>
  <c r="E588" i="2"/>
  <c r="F588" i="2"/>
  <c r="I588" i="2"/>
  <c r="E589" i="2"/>
  <c r="I589" i="2"/>
  <c r="J589" i="2"/>
  <c r="E590" i="2"/>
  <c r="I590" i="2"/>
  <c r="E591" i="2"/>
  <c r="I591" i="2"/>
  <c r="J591" i="2"/>
  <c r="E592" i="2"/>
  <c r="I592" i="2"/>
  <c r="J592" i="2"/>
  <c r="E593" i="2"/>
  <c r="I593" i="2"/>
  <c r="J593" i="2"/>
  <c r="E594" i="2"/>
  <c r="F594" i="2"/>
  <c r="I594" i="2"/>
  <c r="J594" i="2"/>
  <c r="E595" i="2"/>
  <c r="F595" i="2"/>
  <c r="I595" i="2"/>
  <c r="J595" i="2"/>
  <c r="E596" i="2"/>
  <c r="F596" i="2"/>
  <c r="I596" i="2"/>
  <c r="J596" i="2"/>
  <c r="E597" i="2"/>
  <c r="F597" i="2"/>
  <c r="I597" i="2"/>
  <c r="J597" i="2"/>
  <c r="E598" i="2"/>
  <c r="F598" i="2"/>
  <c r="I598" i="2"/>
  <c r="J598" i="2"/>
  <c r="E599" i="2"/>
  <c r="F599" i="2"/>
  <c r="I599" i="2"/>
  <c r="J599" i="2"/>
  <c r="E600" i="2"/>
  <c r="F600" i="2"/>
  <c r="I600" i="2"/>
  <c r="J600" i="2"/>
  <c r="E601" i="2"/>
  <c r="F601" i="2"/>
  <c r="I601" i="2"/>
  <c r="J601" i="2"/>
  <c r="E602" i="2"/>
  <c r="F602" i="2"/>
  <c r="I602" i="2"/>
  <c r="J602" i="2"/>
  <c r="E603" i="2"/>
  <c r="F603" i="2"/>
  <c r="I603" i="2"/>
  <c r="J603" i="2"/>
  <c r="E604" i="2"/>
  <c r="F604" i="2"/>
  <c r="I604" i="2"/>
  <c r="J604" i="2"/>
  <c r="E605" i="2"/>
  <c r="F605" i="2"/>
  <c r="I605" i="2"/>
  <c r="J605" i="2"/>
  <c r="E606" i="2"/>
  <c r="F606" i="2"/>
  <c r="I606" i="2"/>
  <c r="J606" i="2"/>
  <c r="E607" i="2"/>
  <c r="F607" i="2"/>
  <c r="I607" i="2"/>
  <c r="J607" i="2"/>
  <c r="E608" i="2"/>
  <c r="I608" i="2"/>
  <c r="J608" i="2"/>
  <c r="E609" i="2"/>
  <c r="I609" i="2"/>
  <c r="J609" i="2"/>
  <c r="E610" i="2"/>
  <c r="F610" i="2"/>
  <c r="I610" i="2"/>
  <c r="J610" i="2"/>
  <c r="E611" i="2"/>
  <c r="F611" i="2"/>
  <c r="I611" i="2"/>
  <c r="E612" i="2"/>
  <c r="F612" i="2"/>
  <c r="I612" i="2"/>
  <c r="J612" i="2"/>
  <c r="E613" i="2"/>
  <c r="F613" i="2"/>
  <c r="I613" i="2"/>
  <c r="J613" i="2"/>
  <c r="E614" i="2"/>
  <c r="F614" i="2"/>
  <c r="I614" i="2"/>
  <c r="E615" i="2"/>
  <c r="F615" i="2"/>
  <c r="I615" i="2"/>
  <c r="E616" i="2"/>
  <c r="I616" i="2"/>
  <c r="J616" i="2"/>
  <c r="E617" i="2"/>
  <c r="I617" i="2"/>
  <c r="J617" i="2"/>
  <c r="E618" i="2"/>
  <c r="I618" i="2"/>
  <c r="J618" i="2"/>
  <c r="E619" i="2"/>
  <c r="I619" i="2"/>
  <c r="J619" i="2"/>
  <c r="E620" i="2"/>
  <c r="F620" i="2"/>
  <c r="I620" i="2"/>
  <c r="J620" i="2"/>
  <c r="E621" i="2"/>
  <c r="F621" i="2"/>
  <c r="I621" i="2"/>
  <c r="E622" i="2"/>
  <c r="F622" i="2"/>
  <c r="I622" i="2"/>
  <c r="E623" i="2"/>
  <c r="I623" i="2"/>
  <c r="E624" i="2"/>
  <c r="I624" i="2"/>
  <c r="J624" i="2"/>
  <c r="E625" i="2"/>
  <c r="I625" i="2"/>
  <c r="E626" i="2"/>
  <c r="I626" i="2"/>
  <c r="J626" i="2"/>
  <c r="E627" i="2"/>
  <c r="I627" i="2"/>
  <c r="E628" i="2"/>
  <c r="I628" i="2"/>
  <c r="E629" i="2"/>
  <c r="I629" i="2"/>
  <c r="J629" i="2"/>
  <c r="E630" i="2"/>
  <c r="I630" i="2"/>
  <c r="J630" i="2"/>
  <c r="E631" i="2"/>
  <c r="I631" i="2"/>
  <c r="J631" i="2"/>
  <c r="E632" i="2"/>
  <c r="F632" i="2"/>
  <c r="I632" i="2"/>
  <c r="E633" i="2"/>
  <c r="F633" i="2"/>
  <c r="I633" i="2"/>
  <c r="E634" i="2"/>
  <c r="I634" i="2"/>
  <c r="J634" i="2"/>
  <c r="E635" i="2"/>
  <c r="I635" i="2"/>
  <c r="J635" i="2"/>
  <c r="E636" i="2"/>
  <c r="I636" i="2"/>
  <c r="E637" i="2"/>
  <c r="F637" i="2"/>
  <c r="I637" i="2"/>
  <c r="J637" i="2"/>
  <c r="E638" i="2"/>
  <c r="F638" i="2"/>
  <c r="I638" i="2"/>
  <c r="J638" i="2"/>
  <c r="E639" i="2"/>
  <c r="F639" i="2"/>
  <c r="I639" i="2"/>
  <c r="J639" i="2"/>
  <c r="E640" i="2"/>
  <c r="F640" i="2"/>
  <c r="I640" i="2"/>
  <c r="E641" i="2"/>
  <c r="I641" i="2"/>
  <c r="J641" i="2"/>
  <c r="E642" i="2"/>
  <c r="F642" i="2"/>
  <c r="I642" i="2"/>
  <c r="E643" i="2"/>
  <c r="F643" i="2"/>
  <c r="I643" i="2"/>
  <c r="J643" i="2"/>
  <c r="E644" i="2"/>
  <c r="F644" i="2"/>
  <c r="I644" i="2"/>
  <c r="J644" i="2"/>
  <c r="E645" i="2"/>
  <c r="F645" i="2"/>
  <c r="I645" i="2"/>
  <c r="J645" i="2"/>
  <c r="E646" i="2"/>
  <c r="F646" i="2"/>
  <c r="I646" i="2"/>
  <c r="E647" i="2"/>
  <c r="F647" i="2"/>
  <c r="I647" i="2"/>
  <c r="J647" i="2"/>
  <c r="E648" i="2"/>
  <c r="F648" i="2"/>
  <c r="I648" i="2"/>
  <c r="J648" i="2"/>
  <c r="E649" i="2"/>
  <c r="I649" i="2"/>
  <c r="J649" i="2"/>
  <c r="E650" i="2"/>
  <c r="I650" i="2"/>
  <c r="J650" i="2"/>
  <c r="E651" i="2"/>
  <c r="I651" i="2"/>
  <c r="J651" i="2"/>
  <c r="E652" i="2"/>
  <c r="F652" i="2"/>
  <c r="I652" i="2"/>
  <c r="E653" i="2"/>
  <c r="F653" i="2"/>
  <c r="I653" i="2"/>
  <c r="J653" i="2"/>
  <c r="E654" i="2"/>
  <c r="I654" i="2"/>
  <c r="J654" i="2"/>
  <c r="E655" i="2"/>
  <c r="I655" i="2"/>
  <c r="J655" i="2"/>
  <c r="E656" i="2"/>
  <c r="F656" i="2"/>
  <c r="I656" i="2"/>
  <c r="J656" i="2"/>
  <c r="E657" i="2"/>
  <c r="I657" i="2"/>
  <c r="E658" i="2"/>
  <c r="F658" i="2"/>
  <c r="I658" i="2"/>
  <c r="J658" i="2"/>
  <c r="E659" i="2"/>
  <c r="I659" i="2"/>
  <c r="E660" i="2"/>
  <c r="I660" i="2"/>
  <c r="J660" i="2"/>
  <c r="E661" i="2"/>
  <c r="F661" i="2"/>
  <c r="I661" i="2"/>
  <c r="E662" i="2"/>
  <c r="F662" i="2"/>
  <c r="I662" i="2"/>
  <c r="E663" i="2"/>
  <c r="F663" i="2"/>
  <c r="I663" i="2"/>
  <c r="J663" i="2"/>
  <c r="E664" i="2"/>
  <c r="I664" i="2"/>
  <c r="J664" i="2"/>
  <c r="E665" i="2"/>
  <c r="F665" i="2"/>
  <c r="I665" i="2"/>
  <c r="J665" i="2"/>
  <c r="E666" i="2"/>
  <c r="F666" i="2"/>
  <c r="I666" i="2"/>
  <c r="E667" i="2"/>
  <c r="F667" i="2"/>
  <c r="I667" i="2"/>
  <c r="J667" i="2"/>
  <c r="E668" i="2"/>
  <c r="I668" i="2"/>
  <c r="J668" i="2"/>
  <c r="E669" i="2"/>
  <c r="F669" i="2"/>
  <c r="I669" i="2"/>
  <c r="J669" i="2"/>
  <c r="E670" i="2"/>
  <c r="I670" i="2"/>
  <c r="J670" i="2"/>
  <c r="E671" i="2"/>
  <c r="F671" i="2"/>
  <c r="I671" i="2"/>
  <c r="E672" i="2"/>
  <c r="I672" i="2"/>
  <c r="J672" i="2"/>
  <c r="E673" i="2"/>
  <c r="I673" i="2"/>
  <c r="J673" i="2"/>
  <c r="E674" i="2"/>
  <c r="F674" i="2"/>
  <c r="I674" i="2"/>
  <c r="E675" i="2"/>
  <c r="F675" i="2"/>
  <c r="I675" i="2"/>
  <c r="J675" i="2"/>
  <c r="E676" i="2"/>
  <c r="F676" i="2"/>
  <c r="I676" i="2"/>
  <c r="E677" i="2"/>
  <c r="I677" i="2"/>
  <c r="J677" i="2"/>
  <c r="E678" i="2"/>
  <c r="F678" i="2"/>
  <c r="I678" i="2"/>
  <c r="E679" i="2"/>
  <c r="F679" i="2"/>
  <c r="I679" i="2"/>
  <c r="J679" i="2"/>
  <c r="E680" i="2"/>
  <c r="F680" i="2"/>
  <c r="I680" i="2"/>
  <c r="J680" i="2"/>
  <c r="E681" i="2"/>
  <c r="F681" i="2"/>
  <c r="I681" i="2"/>
  <c r="J681" i="2"/>
  <c r="E682" i="2"/>
  <c r="I682" i="2"/>
  <c r="J682" i="2"/>
  <c r="E683" i="2"/>
  <c r="F683" i="2"/>
  <c r="I683" i="2"/>
  <c r="E684" i="2"/>
  <c r="I684" i="2"/>
  <c r="E685" i="2"/>
  <c r="I685" i="2"/>
  <c r="J685" i="2"/>
  <c r="E686" i="2"/>
  <c r="I686" i="2"/>
  <c r="J686" i="2"/>
  <c r="E687" i="2"/>
  <c r="I687" i="2"/>
  <c r="J687" i="2"/>
  <c r="E688" i="2"/>
  <c r="F688" i="2"/>
  <c r="I688" i="2"/>
  <c r="J688" i="2"/>
  <c r="E689" i="2"/>
  <c r="F689" i="2"/>
  <c r="I689" i="2"/>
  <c r="J689" i="2"/>
  <c r="E690" i="2"/>
  <c r="F690" i="2"/>
  <c r="I690" i="2"/>
  <c r="E691" i="2"/>
  <c r="I691" i="2"/>
  <c r="E692" i="2"/>
  <c r="F692" i="2"/>
  <c r="I692" i="2"/>
  <c r="E693" i="2"/>
  <c r="F693" i="2"/>
  <c r="I693" i="2"/>
  <c r="J693" i="2"/>
  <c r="E694" i="2"/>
  <c r="F694" i="2"/>
  <c r="I694" i="2"/>
  <c r="J694" i="2"/>
  <c r="E695" i="2"/>
  <c r="I695" i="2"/>
  <c r="J695" i="2"/>
  <c r="E696" i="2"/>
  <c r="F696" i="2"/>
  <c r="I696" i="2"/>
  <c r="J696" i="2"/>
  <c r="E697" i="2"/>
  <c r="I697" i="2"/>
  <c r="J697" i="2"/>
  <c r="E698" i="2"/>
  <c r="I698" i="2"/>
  <c r="J698" i="2"/>
  <c r="E699" i="2"/>
  <c r="I699" i="2"/>
  <c r="J699" i="2"/>
  <c r="E700" i="2"/>
  <c r="F700" i="2"/>
  <c r="I700" i="2"/>
  <c r="J700" i="2"/>
  <c r="E701" i="2"/>
  <c r="F701" i="2"/>
  <c r="I701" i="2"/>
  <c r="J701" i="2"/>
  <c r="E702" i="2"/>
  <c r="I702" i="2"/>
  <c r="J702" i="2"/>
  <c r="E703" i="2"/>
  <c r="I703" i="2"/>
  <c r="J703" i="2"/>
  <c r="E704" i="2"/>
  <c r="F704" i="2"/>
  <c r="I704" i="2"/>
  <c r="E705" i="2"/>
  <c r="F705" i="2"/>
  <c r="I705" i="2"/>
  <c r="J705" i="2"/>
  <c r="E706" i="2"/>
  <c r="F706" i="2"/>
  <c r="I706" i="2"/>
  <c r="E707" i="2"/>
  <c r="I707" i="2"/>
  <c r="E708" i="2"/>
  <c r="I708" i="2"/>
  <c r="E709" i="2"/>
  <c r="F709" i="2"/>
  <c r="I709" i="2"/>
  <c r="J709" i="2"/>
  <c r="E710" i="2"/>
  <c r="F710" i="2"/>
  <c r="I710" i="2"/>
  <c r="J710" i="2"/>
  <c r="E711" i="2"/>
  <c r="I711" i="2"/>
  <c r="J711" i="2"/>
  <c r="E712" i="2"/>
  <c r="I712" i="2"/>
  <c r="J712" i="2"/>
  <c r="E713" i="2"/>
  <c r="F713" i="2"/>
  <c r="I713" i="2"/>
  <c r="J713" i="2"/>
  <c r="E714" i="2"/>
  <c r="I714" i="2"/>
  <c r="J714" i="2"/>
  <c r="E715" i="2"/>
  <c r="I715" i="2"/>
  <c r="J715" i="2"/>
  <c r="E716" i="2"/>
  <c r="F716" i="2"/>
  <c r="I716" i="2"/>
  <c r="J716" i="2"/>
  <c r="E717" i="2"/>
  <c r="F717" i="2"/>
  <c r="I717" i="2"/>
  <c r="J717" i="2"/>
  <c r="E718" i="2"/>
  <c r="I718" i="2"/>
  <c r="J718" i="2"/>
  <c r="E719" i="2"/>
  <c r="I719" i="2"/>
  <c r="J719" i="2"/>
  <c r="E720" i="2"/>
  <c r="I720" i="2"/>
  <c r="J720" i="2"/>
  <c r="E721" i="2"/>
  <c r="I721" i="2"/>
  <c r="J721" i="2"/>
  <c r="E722" i="2"/>
  <c r="I722" i="2"/>
  <c r="J722" i="2"/>
  <c r="E723" i="2"/>
  <c r="F723" i="2"/>
  <c r="I723" i="2"/>
  <c r="J723" i="2"/>
  <c r="E724" i="2"/>
  <c r="F724" i="2"/>
  <c r="I724" i="2"/>
  <c r="J724" i="2"/>
  <c r="E725" i="2"/>
  <c r="I725" i="2"/>
  <c r="J725" i="2"/>
  <c r="E726" i="2"/>
  <c r="I726" i="2"/>
  <c r="J726" i="2"/>
  <c r="E727" i="2"/>
  <c r="I727" i="2"/>
  <c r="J727" i="2"/>
  <c r="E728" i="2"/>
  <c r="I728" i="2"/>
  <c r="J728" i="2"/>
  <c r="E729" i="2"/>
  <c r="F729" i="2"/>
  <c r="I729" i="2"/>
  <c r="E730" i="2"/>
  <c r="F730" i="2"/>
  <c r="I730" i="2"/>
  <c r="J730" i="2"/>
  <c r="E731" i="2"/>
  <c r="F731" i="2"/>
  <c r="I731" i="2"/>
  <c r="J731" i="2"/>
  <c r="E732" i="2"/>
  <c r="I732" i="2"/>
  <c r="J732" i="2"/>
  <c r="E733" i="2"/>
  <c r="I733" i="2"/>
  <c r="E734" i="2"/>
  <c r="F734" i="2"/>
  <c r="I734" i="2"/>
  <c r="J734" i="2"/>
  <c r="E735" i="2"/>
  <c r="F735" i="2"/>
  <c r="I735" i="2"/>
  <c r="J735" i="2"/>
  <c r="E736" i="2"/>
  <c r="F736" i="2"/>
  <c r="I736" i="2"/>
  <c r="J736" i="2"/>
  <c r="E737" i="2"/>
  <c r="F737" i="2"/>
  <c r="I737" i="2"/>
  <c r="J737" i="2"/>
  <c r="E738" i="2"/>
  <c r="F738" i="2"/>
  <c r="I738" i="2"/>
  <c r="J738" i="2"/>
  <c r="E739" i="2"/>
  <c r="F739" i="2"/>
  <c r="I739" i="2"/>
  <c r="J739" i="2"/>
  <c r="E740" i="2"/>
  <c r="F740" i="2"/>
  <c r="I740" i="2"/>
  <c r="E741" i="2"/>
  <c r="F741" i="2"/>
  <c r="I741" i="2"/>
  <c r="E742" i="2"/>
  <c r="F742" i="2"/>
  <c r="I742" i="2"/>
  <c r="E743" i="2"/>
  <c r="F743" i="2"/>
  <c r="I743" i="2"/>
  <c r="J743" i="2"/>
  <c r="E744" i="2"/>
  <c r="F744" i="2"/>
  <c r="I744" i="2"/>
  <c r="J744" i="2"/>
  <c r="E745" i="2"/>
  <c r="F745" i="2"/>
  <c r="I745" i="2"/>
  <c r="E746" i="2"/>
  <c r="I746" i="2"/>
  <c r="J746" i="2"/>
  <c r="E747" i="2"/>
  <c r="I747" i="2"/>
  <c r="J747" i="2"/>
  <c r="E748" i="2"/>
  <c r="F748" i="2"/>
  <c r="I748" i="2"/>
  <c r="J748" i="2"/>
  <c r="E749" i="2"/>
  <c r="F749" i="2"/>
  <c r="I749" i="2"/>
  <c r="E750" i="2"/>
  <c r="F750" i="2"/>
  <c r="I750" i="2"/>
  <c r="J750" i="2"/>
  <c r="E751" i="2"/>
  <c r="F751" i="2"/>
  <c r="I751" i="2"/>
  <c r="J751" i="2"/>
  <c r="E752" i="2"/>
  <c r="F752" i="2"/>
  <c r="I752" i="2"/>
  <c r="J752" i="2"/>
  <c r="E753" i="2"/>
  <c r="F753" i="2"/>
  <c r="I753" i="2"/>
  <c r="J753" i="2"/>
  <c r="E754" i="2"/>
  <c r="I754" i="2"/>
  <c r="J754" i="2"/>
  <c r="E755" i="2"/>
  <c r="F755" i="2"/>
  <c r="I755" i="2"/>
  <c r="E756" i="2"/>
  <c r="F756" i="2"/>
  <c r="I756" i="2"/>
  <c r="E757" i="2"/>
  <c r="F757" i="2"/>
  <c r="I757" i="2"/>
  <c r="J757" i="2"/>
  <c r="E758" i="2"/>
  <c r="F758" i="2"/>
  <c r="I758" i="2"/>
  <c r="J758" i="2"/>
  <c r="E759" i="2"/>
  <c r="F759" i="2"/>
  <c r="I759" i="2"/>
  <c r="J759" i="2"/>
  <c r="E760" i="2"/>
  <c r="I760" i="2"/>
  <c r="E761" i="2"/>
  <c r="F761" i="2"/>
  <c r="I761" i="2"/>
  <c r="J761" i="2"/>
  <c r="E762" i="2"/>
  <c r="F762" i="2"/>
  <c r="I762" i="2"/>
  <c r="J762" i="2"/>
  <c r="E763" i="2"/>
  <c r="I763" i="2"/>
  <c r="E764" i="2"/>
  <c r="F764" i="2"/>
  <c r="I764" i="2"/>
  <c r="J764" i="2"/>
  <c r="E765" i="2"/>
  <c r="F765" i="2"/>
  <c r="I765" i="2"/>
  <c r="E766" i="2"/>
  <c r="F766" i="2"/>
  <c r="I766" i="2"/>
  <c r="J766" i="2"/>
  <c r="E767" i="2"/>
  <c r="F767" i="2"/>
  <c r="I767" i="2"/>
  <c r="E768" i="2"/>
  <c r="I768" i="2"/>
  <c r="J768" i="2"/>
  <c r="E769" i="2"/>
  <c r="I769" i="2"/>
  <c r="J769" i="2"/>
  <c r="E770" i="2"/>
  <c r="F770" i="2"/>
  <c r="I770" i="2"/>
  <c r="E771" i="2"/>
  <c r="F771" i="2"/>
  <c r="I771" i="2"/>
  <c r="E772" i="2"/>
  <c r="F772" i="2"/>
  <c r="I772" i="2"/>
  <c r="E773" i="2"/>
  <c r="F773" i="2"/>
  <c r="I773" i="2"/>
  <c r="E774" i="2"/>
  <c r="F774" i="2"/>
  <c r="I774" i="2"/>
  <c r="E775" i="2"/>
  <c r="F775" i="2"/>
  <c r="I775" i="2"/>
  <c r="E776" i="2"/>
  <c r="F776" i="2"/>
  <c r="I776" i="2"/>
  <c r="E777" i="2"/>
  <c r="F777" i="2"/>
  <c r="I777" i="2"/>
  <c r="E778" i="2"/>
  <c r="F778" i="2"/>
  <c r="I778" i="2"/>
  <c r="E779" i="2"/>
  <c r="I779" i="2"/>
  <c r="J779" i="2"/>
  <c r="E780" i="2"/>
  <c r="I780" i="2"/>
  <c r="E781" i="2"/>
  <c r="F781" i="2"/>
  <c r="I781" i="2"/>
  <c r="J781" i="2"/>
  <c r="E782" i="2"/>
  <c r="F782" i="2"/>
  <c r="I782" i="2"/>
  <c r="J782" i="2"/>
  <c r="E783" i="2"/>
  <c r="F783" i="2"/>
  <c r="I783" i="2"/>
  <c r="J783" i="2"/>
  <c r="E784" i="2"/>
  <c r="F784" i="2"/>
  <c r="I784" i="2"/>
  <c r="J784" i="2"/>
  <c r="E785" i="2"/>
  <c r="F785" i="2"/>
  <c r="I785" i="2"/>
  <c r="J785" i="2"/>
  <c r="E786" i="2"/>
  <c r="F786" i="2"/>
  <c r="I786" i="2"/>
  <c r="J786" i="2"/>
  <c r="E787" i="2"/>
  <c r="F787" i="2"/>
  <c r="I787" i="2"/>
  <c r="E788" i="2"/>
  <c r="F788" i="2"/>
  <c r="I788" i="2"/>
  <c r="J788" i="2"/>
  <c r="E789" i="2"/>
  <c r="F789" i="2"/>
  <c r="I789" i="2"/>
  <c r="J789" i="2"/>
  <c r="E790" i="2"/>
  <c r="F790" i="2"/>
  <c r="I790" i="2"/>
  <c r="J790" i="2"/>
  <c r="E791" i="2"/>
  <c r="F791" i="2"/>
  <c r="I791" i="2"/>
  <c r="E792" i="2"/>
  <c r="F792" i="2"/>
  <c r="I792" i="2"/>
  <c r="J792" i="2"/>
  <c r="E793" i="2"/>
  <c r="F793" i="2"/>
  <c r="I793" i="2"/>
  <c r="J793" i="2"/>
  <c r="E794" i="2"/>
  <c r="F794" i="2"/>
  <c r="I794" i="2"/>
  <c r="J794" i="2"/>
  <c r="E795" i="2"/>
  <c r="I795" i="2"/>
  <c r="J795" i="2"/>
  <c r="E796" i="2"/>
  <c r="I796" i="2"/>
  <c r="J796" i="2"/>
  <c r="E797" i="2"/>
  <c r="I797" i="2"/>
  <c r="J797" i="2"/>
  <c r="E798" i="2"/>
  <c r="I798" i="2"/>
  <c r="J798" i="2"/>
  <c r="E799" i="2"/>
  <c r="I799" i="2"/>
  <c r="J799" i="2"/>
  <c r="E800" i="2"/>
  <c r="I800" i="2"/>
  <c r="J800" i="2"/>
  <c r="E801" i="2"/>
  <c r="I801" i="2"/>
  <c r="J801" i="2"/>
  <c r="E802" i="2"/>
  <c r="F802" i="2"/>
  <c r="I802" i="2"/>
  <c r="J802" i="2"/>
  <c r="E803" i="2"/>
  <c r="F803" i="2"/>
  <c r="I803" i="2"/>
  <c r="J803" i="2"/>
  <c r="E804" i="2"/>
  <c r="F804" i="2"/>
  <c r="I804" i="2"/>
  <c r="E805" i="2"/>
  <c r="F805" i="2"/>
  <c r="I805" i="2"/>
  <c r="E806" i="2"/>
  <c r="F806" i="2"/>
  <c r="I806" i="2"/>
  <c r="J806" i="2"/>
  <c r="E807" i="2"/>
  <c r="I807" i="2"/>
  <c r="J807" i="2"/>
  <c r="E808" i="2"/>
  <c r="I808" i="2"/>
  <c r="J808" i="2"/>
  <c r="E809" i="2"/>
  <c r="F809" i="2"/>
  <c r="I809" i="2"/>
  <c r="E810" i="2"/>
  <c r="F810" i="2"/>
  <c r="I810" i="2"/>
  <c r="E811" i="2"/>
  <c r="F811" i="2"/>
  <c r="I811" i="2"/>
  <c r="E812" i="2"/>
  <c r="F812" i="2"/>
  <c r="I812" i="2"/>
  <c r="E813" i="2"/>
  <c r="F813" i="2"/>
  <c r="I813" i="2"/>
  <c r="E814" i="2"/>
  <c r="F814" i="2"/>
  <c r="I814" i="2"/>
  <c r="J814" i="2"/>
  <c r="E815" i="2"/>
  <c r="F815" i="2"/>
  <c r="I815" i="2"/>
  <c r="J815" i="2"/>
  <c r="E816" i="2"/>
  <c r="F816" i="2"/>
  <c r="I816" i="2"/>
  <c r="E817" i="2"/>
  <c r="F817" i="2"/>
  <c r="I817" i="2"/>
  <c r="E818" i="2"/>
  <c r="F818" i="2"/>
  <c r="I818" i="2"/>
  <c r="J818" i="2"/>
  <c r="E819" i="2"/>
  <c r="F819" i="2"/>
  <c r="I819" i="2"/>
  <c r="J819" i="2"/>
  <c r="E820" i="2"/>
  <c r="F820" i="2"/>
  <c r="I820" i="2"/>
  <c r="J820" i="2"/>
  <c r="E821" i="2"/>
  <c r="F821" i="2"/>
  <c r="I821" i="2"/>
  <c r="J821" i="2"/>
  <c r="E822" i="2"/>
  <c r="F822" i="2"/>
  <c r="I822" i="2"/>
  <c r="E823" i="2"/>
  <c r="F823" i="2"/>
  <c r="I823" i="2"/>
  <c r="E824" i="2"/>
  <c r="F824" i="2"/>
  <c r="I824" i="2"/>
  <c r="E825" i="2"/>
  <c r="I825" i="2"/>
  <c r="J825" i="2"/>
  <c r="E826" i="2"/>
  <c r="F826" i="2"/>
  <c r="I826" i="2"/>
  <c r="E827" i="2"/>
  <c r="F827" i="2"/>
  <c r="I827" i="2"/>
  <c r="E828" i="2"/>
  <c r="F828" i="2"/>
  <c r="I828" i="2"/>
  <c r="E829" i="2"/>
  <c r="F829" i="2"/>
  <c r="I829" i="2"/>
  <c r="E830" i="2"/>
  <c r="I830" i="2"/>
  <c r="J830" i="2"/>
  <c r="E831" i="2"/>
  <c r="I831" i="2"/>
  <c r="J831" i="2"/>
  <c r="E832" i="2"/>
  <c r="I832" i="2"/>
  <c r="J832" i="2"/>
  <c r="E833" i="2"/>
  <c r="F833" i="2"/>
  <c r="I833" i="2"/>
  <c r="J833" i="2"/>
  <c r="E834" i="2"/>
  <c r="I834" i="2"/>
  <c r="J834" i="2"/>
  <c r="E835" i="2"/>
  <c r="F835" i="2"/>
  <c r="I835" i="2"/>
  <c r="E836" i="2"/>
  <c r="F836" i="2"/>
  <c r="I836" i="2"/>
  <c r="E837" i="2"/>
  <c r="F837" i="2"/>
  <c r="I837" i="2"/>
  <c r="E838" i="2"/>
  <c r="F838" i="2"/>
  <c r="I838" i="2"/>
  <c r="E839" i="2"/>
  <c r="F839" i="2"/>
  <c r="I839" i="2"/>
  <c r="E840" i="2"/>
  <c r="F840" i="2"/>
  <c r="I840" i="2"/>
  <c r="E841" i="2"/>
  <c r="F841" i="2"/>
  <c r="I841" i="2"/>
  <c r="E842" i="2"/>
  <c r="F842" i="2"/>
  <c r="I842" i="2"/>
  <c r="E843" i="2"/>
  <c r="F843" i="2"/>
  <c r="I843" i="2"/>
  <c r="E844" i="2"/>
  <c r="F844" i="2"/>
  <c r="I844" i="2"/>
  <c r="E845" i="2"/>
  <c r="I845" i="2"/>
  <c r="J845" i="2"/>
  <c r="E846" i="2"/>
  <c r="F846" i="2"/>
  <c r="I846" i="2"/>
  <c r="J846" i="2"/>
  <c r="E847" i="2"/>
  <c r="F847" i="2"/>
  <c r="I847" i="2"/>
  <c r="E848" i="2"/>
  <c r="F848" i="2"/>
  <c r="I848" i="2"/>
  <c r="J848" i="2"/>
  <c r="E849" i="2"/>
  <c r="F849" i="2"/>
  <c r="I849" i="2"/>
  <c r="E850" i="2"/>
  <c r="F850" i="2"/>
  <c r="I850" i="2"/>
  <c r="E851" i="2"/>
  <c r="F851" i="2"/>
  <c r="I851" i="2"/>
  <c r="E852" i="2"/>
  <c r="F852" i="2"/>
  <c r="I852" i="2"/>
  <c r="J852" i="2"/>
  <c r="E853" i="2"/>
  <c r="F853" i="2"/>
  <c r="I853" i="2"/>
  <c r="J853" i="2"/>
  <c r="E854" i="2"/>
  <c r="F854" i="2"/>
  <c r="I854" i="2"/>
  <c r="J854" i="2"/>
  <c r="E855" i="2"/>
  <c r="F855" i="2"/>
  <c r="I855" i="2"/>
  <c r="J855" i="2"/>
  <c r="E856" i="2"/>
  <c r="F856" i="2"/>
  <c r="I856" i="2"/>
  <c r="J856" i="2"/>
  <c r="E857" i="2"/>
  <c r="F857" i="2"/>
  <c r="I857" i="2"/>
  <c r="J857" i="2"/>
  <c r="E858" i="2"/>
  <c r="F858" i="2"/>
  <c r="I858" i="2"/>
  <c r="J858" i="2"/>
  <c r="E859" i="2"/>
  <c r="F859" i="2"/>
  <c r="I859" i="2"/>
  <c r="J859" i="2"/>
  <c r="E860" i="2"/>
  <c r="F860" i="2"/>
  <c r="I860" i="2"/>
  <c r="J860" i="2"/>
  <c r="E861" i="2"/>
  <c r="F861" i="2"/>
  <c r="I861" i="2"/>
  <c r="E862" i="2"/>
  <c r="F862" i="2"/>
  <c r="I862" i="2"/>
  <c r="E863" i="2"/>
  <c r="F863" i="2"/>
  <c r="I863" i="2"/>
  <c r="J863" i="2"/>
  <c r="E864" i="2"/>
  <c r="F864" i="2"/>
  <c r="I864" i="2"/>
  <c r="J864" i="2"/>
  <c r="E865" i="2"/>
  <c r="F865" i="2"/>
  <c r="I865" i="2"/>
  <c r="J865" i="2"/>
  <c r="E866" i="2"/>
  <c r="I866" i="2"/>
  <c r="J866" i="2"/>
  <c r="E867" i="2"/>
  <c r="I867" i="2"/>
  <c r="J867" i="2"/>
  <c r="E868" i="2"/>
  <c r="I868" i="2"/>
  <c r="J868" i="2"/>
  <c r="E869" i="2"/>
  <c r="I869" i="2"/>
  <c r="E870" i="2"/>
  <c r="I870" i="2"/>
  <c r="E871" i="2"/>
  <c r="F871" i="2"/>
  <c r="I871" i="2"/>
  <c r="J871" i="2"/>
  <c r="E872" i="2"/>
  <c r="F872" i="2"/>
  <c r="I872" i="2"/>
  <c r="J872" i="2"/>
  <c r="E873" i="2"/>
  <c r="I873" i="2"/>
  <c r="J873" i="2"/>
  <c r="E874" i="2"/>
  <c r="I874" i="2"/>
  <c r="J874" i="2"/>
  <c r="E875" i="2"/>
  <c r="I875" i="2"/>
  <c r="J875" i="2"/>
  <c r="E876" i="2"/>
  <c r="F876" i="2"/>
  <c r="I876" i="2"/>
  <c r="E877" i="2"/>
  <c r="F877" i="2"/>
  <c r="I877" i="2"/>
  <c r="E878" i="2"/>
  <c r="F878" i="2"/>
  <c r="I878" i="2"/>
  <c r="E879" i="2"/>
  <c r="F879" i="2"/>
  <c r="I879" i="2"/>
  <c r="E880" i="2"/>
  <c r="F880" i="2"/>
  <c r="I880" i="2"/>
  <c r="E881" i="2"/>
  <c r="F881" i="2"/>
  <c r="I881" i="2"/>
  <c r="E882" i="2"/>
  <c r="F882" i="2"/>
  <c r="I882" i="2"/>
  <c r="E883" i="2"/>
  <c r="F883" i="2"/>
  <c r="I883" i="2"/>
  <c r="E884" i="2"/>
  <c r="F884" i="2"/>
  <c r="I884" i="2"/>
  <c r="E885" i="2"/>
  <c r="F885" i="2"/>
  <c r="I885" i="2"/>
  <c r="E886" i="2"/>
  <c r="F886" i="2"/>
  <c r="I886" i="2"/>
  <c r="E887" i="2"/>
  <c r="F887" i="2"/>
  <c r="I887" i="2"/>
  <c r="E888" i="2"/>
  <c r="F888" i="2"/>
  <c r="I888" i="2"/>
  <c r="E889" i="2"/>
  <c r="F889" i="2"/>
  <c r="I889" i="2"/>
  <c r="E890" i="2"/>
  <c r="F890" i="2"/>
  <c r="I890" i="2"/>
  <c r="J890" i="2"/>
  <c r="E891" i="2"/>
  <c r="I891" i="2"/>
  <c r="J891" i="2"/>
  <c r="E892" i="2"/>
  <c r="I892" i="2"/>
  <c r="E893" i="2"/>
  <c r="I893" i="2"/>
  <c r="J893" i="2"/>
  <c r="E894" i="2"/>
  <c r="F894" i="2"/>
  <c r="I894" i="2"/>
  <c r="J894" i="2"/>
  <c r="E895" i="2"/>
  <c r="F895" i="2"/>
  <c r="I895" i="2"/>
  <c r="E896" i="2"/>
  <c r="F896" i="2"/>
  <c r="I896" i="2"/>
  <c r="E897" i="2"/>
  <c r="I897" i="2"/>
  <c r="E898" i="2"/>
  <c r="I898" i="2"/>
  <c r="J898" i="2"/>
  <c r="E899" i="2"/>
  <c r="F899" i="2"/>
  <c r="I899" i="2"/>
  <c r="E900" i="2"/>
  <c r="I900" i="2"/>
  <c r="E901" i="2"/>
  <c r="I901" i="2"/>
  <c r="J901" i="2"/>
  <c r="E902" i="2"/>
  <c r="F902" i="2"/>
  <c r="I902" i="2"/>
  <c r="J902" i="2"/>
  <c r="E903" i="2"/>
  <c r="I903" i="2"/>
  <c r="E904" i="2"/>
  <c r="F904" i="2"/>
  <c r="I904" i="2"/>
  <c r="J904" i="2"/>
  <c r="E905" i="2"/>
  <c r="F905" i="2"/>
  <c r="I905" i="2"/>
  <c r="E906" i="2"/>
  <c r="F906" i="2"/>
  <c r="I906" i="2"/>
  <c r="E907" i="2"/>
  <c r="F907" i="2"/>
  <c r="I907" i="2"/>
  <c r="J907" i="2"/>
  <c r="E908" i="2"/>
  <c r="I908" i="2"/>
  <c r="J908" i="2"/>
  <c r="E909" i="2"/>
  <c r="I909" i="2"/>
  <c r="J909" i="2"/>
  <c r="E910" i="2"/>
  <c r="F910" i="2"/>
  <c r="I910" i="2"/>
  <c r="J910" i="2"/>
  <c r="E911" i="2"/>
  <c r="F911" i="2"/>
  <c r="I911" i="2"/>
  <c r="J911" i="2"/>
  <c r="E912" i="2"/>
  <c r="F912" i="2"/>
  <c r="I912" i="2"/>
  <c r="J912" i="2"/>
  <c r="E913" i="2"/>
  <c r="F913" i="2"/>
  <c r="I913" i="2"/>
  <c r="J913" i="2"/>
  <c r="E914" i="2"/>
  <c r="F914" i="2"/>
  <c r="I914" i="2"/>
  <c r="J914" i="2"/>
  <c r="E915" i="2"/>
  <c r="I915" i="2"/>
  <c r="J915" i="2"/>
  <c r="E916" i="2"/>
  <c r="I916" i="2"/>
  <c r="E917" i="2"/>
  <c r="F917" i="2"/>
  <c r="I917" i="2"/>
  <c r="J917" i="2"/>
  <c r="E918" i="2"/>
  <c r="I918" i="2"/>
  <c r="J918" i="2"/>
  <c r="E919" i="2"/>
  <c r="I919" i="2"/>
  <c r="J919" i="2"/>
  <c r="E920" i="2"/>
  <c r="F920" i="2"/>
  <c r="I920" i="2"/>
  <c r="J920" i="2"/>
  <c r="E921" i="2"/>
  <c r="F921" i="2"/>
  <c r="I921" i="2"/>
  <c r="J921" i="2"/>
  <c r="E922" i="2"/>
  <c r="F922" i="2"/>
  <c r="I922" i="2"/>
  <c r="J922" i="2"/>
  <c r="E923" i="2"/>
  <c r="F923" i="2"/>
  <c r="I923" i="2"/>
  <c r="J923" i="2"/>
  <c r="E924" i="2"/>
  <c r="I924" i="2"/>
  <c r="E925" i="2"/>
  <c r="F925" i="2"/>
  <c r="I925" i="2"/>
  <c r="J925" i="2"/>
  <c r="E926" i="2"/>
  <c r="F926" i="2"/>
  <c r="I926" i="2"/>
  <c r="J926" i="2"/>
  <c r="E927" i="2"/>
  <c r="F927" i="2"/>
  <c r="I927" i="2"/>
  <c r="J927" i="2"/>
  <c r="E928" i="2"/>
  <c r="F928" i="2"/>
  <c r="I928" i="2"/>
  <c r="E929" i="2"/>
  <c r="F929" i="2"/>
  <c r="I929" i="2"/>
  <c r="J929" i="2"/>
  <c r="E930" i="2"/>
  <c r="F930" i="2"/>
  <c r="I930" i="2"/>
  <c r="J930" i="2"/>
  <c r="E931" i="2"/>
  <c r="F931" i="2"/>
  <c r="I931" i="2"/>
  <c r="J931" i="2"/>
  <c r="E932" i="2"/>
  <c r="F932" i="2"/>
  <c r="I932" i="2"/>
  <c r="J932" i="2"/>
  <c r="E933" i="2"/>
  <c r="F933" i="2"/>
  <c r="I933" i="2"/>
  <c r="J933" i="2"/>
  <c r="E934" i="2"/>
  <c r="F934" i="2"/>
  <c r="I934" i="2"/>
  <c r="J934" i="2"/>
  <c r="E935" i="2"/>
  <c r="F935" i="2"/>
  <c r="I935" i="2"/>
  <c r="J935" i="2"/>
  <c r="E936" i="2"/>
  <c r="F936" i="2"/>
  <c r="I936" i="2"/>
  <c r="J936" i="2"/>
  <c r="E937" i="2"/>
  <c r="F937" i="2"/>
  <c r="I937" i="2"/>
  <c r="E938" i="2"/>
  <c r="F938" i="2"/>
  <c r="I938" i="2"/>
  <c r="J938" i="2"/>
  <c r="E939" i="2"/>
  <c r="F939" i="2"/>
  <c r="I939" i="2"/>
  <c r="J939" i="2"/>
  <c r="E940" i="2"/>
  <c r="F940" i="2"/>
  <c r="I940" i="2"/>
  <c r="J940" i="2"/>
  <c r="E941" i="2"/>
  <c r="F941" i="2"/>
  <c r="I941" i="2"/>
  <c r="J941" i="2"/>
  <c r="E942" i="2"/>
  <c r="F942" i="2"/>
  <c r="I942" i="2"/>
  <c r="E943" i="2"/>
  <c r="F943" i="2"/>
  <c r="I943" i="2"/>
  <c r="E944" i="2"/>
  <c r="F944" i="2"/>
  <c r="I944" i="2"/>
  <c r="E945" i="2"/>
  <c r="F945" i="2"/>
  <c r="I945" i="2"/>
  <c r="E946" i="2"/>
  <c r="F946" i="2"/>
  <c r="I946" i="2"/>
  <c r="E947" i="2"/>
  <c r="F947" i="2"/>
  <c r="I947" i="2"/>
  <c r="J947" i="2"/>
  <c r="E948" i="2"/>
  <c r="F948" i="2"/>
  <c r="I948" i="2"/>
  <c r="J948" i="2"/>
  <c r="E949" i="2"/>
  <c r="F949" i="2"/>
  <c r="I949" i="2"/>
  <c r="J949" i="2"/>
  <c r="E950" i="2"/>
  <c r="F950" i="2"/>
  <c r="I950" i="2"/>
  <c r="J950" i="2"/>
  <c r="E951" i="2"/>
  <c r="F951" i="2"/>
  <c r="I951" i="2"/>
  <c r="J951" i="2"/>
  <c r="E952" i="2"/>
  <c r="F952" i="2"/>
  <c r="I952" i="2"/>
  <c r="J952" i="2"/>
  <c r="E953" i="2"/>
  <c r="F953" i="2"/>
  <c r="I953" i="2"/>
  <c r="J953" i="2"/>
  <c r="E954" i="2"/>
  <c r="F954" i="2"/>
  <c r="I954" i="2"/>
  <c r="J954" i="2"/>
  <c r="E955" i="2"/>
  <c r="F955" i="2"/>
  <c r="I955" i="2"/>
  <c r="J955" i="2"/>
  <c r="E956" i="2"/>
  <c r="F956" i="2"/>
  <c r="I956" i="2"/>
  <c r="J956" i="2"/>
  <c r="E957" i="2"/>
  <c r="I957" i="2"/>
  <c r="E958" i="2"/>
  <c r="F958" i="2"/>
  <c r="I958" i="2"/>
  <c r="E959" i="2"/>
  <c r="F959" i="2"/>
  <c r="I959" i="2"/>
  <c r="J959" i="2"/>
  <c r="E960" i="2"/>
  <c r="I960" i="2"/>
  <c r="J960" i="2"/>
  <c r="E961" i="2"/>
  <c r="I961" i="2"/>
  <c r="J961" i="2"/>
  <c r="E962" i="2"/>
  <c r="F962" i="2"/>
  <c r="I962" i="2"/>
  <c r="E963" i="2"/>
  <c r="F963" i="2"/>
  <c r="I963" i="2"/>
  <c r="E964" i="2"/>
  <c r="F964" i="2"/>
  <c r="I964" i="2"/>
  <c r="E965" i="2"/>
  <c r="F965" i="2"/>
  <c r="I965" i="2"/>
  <c r="E966" i="2"/>
  <c r="I966" i="2"/>
  <c r="J966" i="2"/>
  <c r="E967" i="2"/>
  <c r="F967" i="2"/>
  <c r="I967" i="2"/>
  <c r="E968" i="2"/>
  <c r="F968" i="2"/>
  <c r="I968" i="2"/>
  <c r="J968" i="2"/>
  <c r="E969" i="2"/>
  <c r="F969" i="2"/>
  <c r="I969" i="2"/>
  <c r="J969" i="2"/>
  <c r="E970" i="2"/>
  <c r="I970" i="2"/>
  <c r="J970" i="2"/>
  <c r="E971" i="2"/>
  <c r="I971" i="2"/>
  <c r="J971" i="2"/>
  <c r="E972" i="2"/>
  <c r="F972" i="2"/>
  <c r="I972" i="2"/>
  <c r="E973" i="2"/>
  <c r="F973" i="2"/>
  <c r="I973" i="2"/>
  <c r="E974" i="2"/>
  <c r="I974" i="2"/>
  <c r="J974" i="2"/>
  <c r="E975" i="2"/>
  <c r="I975" i="2"/>
  <c r="J975" i="2"/>
  <c r="E976" i="2"/>
  <c r="F976" i="2"/>
  <c r="I976" i="2"/>
  <c r="J976" i="2"/>
  <c r="E977" i="2"/>
  <c r="I977" i="2"/>
  <c r="J977" i="2"/>
  <c r="E978" i="2"/>
  <c r="F978" i="2"/>
  <c r="I978" i="2"/>
  <c r="J978" i="2"/>
  <c r="E979" i="2"/>
  <c r="F979" i="2"/>
  <c r="I979" i="2"/>
  <c r="J979" i="2"/>
  <c r="E980" i="2"/>
  <c r="F980" i="2"/>
  <c r="I980" i="2"/>
  <c r="J980" i="2"/>
  <c r="E981" i="2"/>
  <c r="I981" i="2"/>
  <c r="E982" i="2"/>
  <c r="I982" i="2"/>
  <c r="E983" i="2"/>
  <c r="F983" i="2"/>
  <c r="I983" i="2"/>
  <c r="J983" i="2"/>
  <c r="E984" i="2"/>
  <c r="F984" i="2"/>
  <c r="I984" i="2"/>
  <c r="J984" i="2"/>
  <c r="E985" i="2"/>
  <c r="F985" i="2"/>
  <c r="I985" i="2"/>
  <c r="J985" i="2"/>
  <c r="E986" i="2"/>
  <c r="I986" i="2"/>
  <c r="E987" i="2"/>
  <c r="I987" i="2"/>
  <c r="J987" i="2"/>
  <c r="E988" i="2"/>
  <c r="I988" i="2"/>
  <c r="J988" i="2"/>
  <c r="E989" i="2"/>
  <c r="F989" i="2"/>
  <c r="I989" i="2"/>
  <c r="J989" i="2"/>
  <c r="E990" i="2"/>
  <c r="F990" i="2"/>
  <c r="I990" i="2"/>
  <c r="J990" i="2"/>
  <c r="E991" i="2"/>
  <c r="F991" i="2"/>
  <c r="I991" i="2"/>
  <c r="J991" i="2"/>
  <c r="E992" i="2"/>
  <c r="F992" i="2"/>
  <c r="I992" i="2"/>
  <c r="J992" i="2"/>
  <c r="E993" i="2"/>
  <c r="F993" i="2"/>
  <c r="I993" i="2"/>
  <c r="J993" i="2"/>
  <c r="E994" i="2"/>
  <c r="F994" i="2"/>
  <c r="I994" i="2"/>
  <c r="J994" i="2"/>
  <c r="E995" i="2"/>
  <c r="F995" i="2"/>
  <c r="I995" i="2"/>
  <c r="J995" i="2"/>
  <c r="E996" i="2"/>
  <c r="F996" i="2"/>
  <c r="I996" i="2"/>
  <c r="J996" i="2"/>
  <c r="E997" i="2"/>
  <c r="F997" i="2"/>
  <c r="I997" i="2"/>
  <c r="J997" i="2"/>
  <c r="E998" i="2"/>
  <c r="F998" i="2"/>
  <c r="I998" i="2"/>
  <c r="J998" i="2"/>
  <c r="E999" i="2"/>
  <c r="F999" i="2"/>
  <c r="I999" i="2"/>
  <c r="J999" i="2"/>
  <c r="E1000" i="2"/>
  <c r="F1000" i="2"/>
  <c r="I1000" i="2"/>
  <c r="E1001" i="2"/>
  <c r="I1001" i="2"/>
  <c r="J1001" i="2"/>
  <c r="E1002" i="2"/>
  <c r="I1002" i="2"/>
  <c r="J1002" i="2"/>
  <c r="E1003" i="2"/>
  <c r="I1003" i="2"/>
  <c r="J1003" i="2"/>
  <c r="E1004" i="2"/>
  <c r="F1004" i="2"/>
  <c r="I1004" i="2"/>
  <c r="E1005" i="2"/>
  <c r="F1005" i="2"/>
  <c r="I1005" i="2"/>
  <c r="E1006" i="2"/>
  <c r="F1006" i="2"/>
  <c r="I1006" i="2"/>
  <c r="E1007" i="2"/>
  <c r="F1007" i="2"/>
  <c r="I1007" i="2"/>
  <c r="E1008" i="2"/>
  <c r="F1008" i="2"/>
  <c r="I1008" i="2"/>
  <c r="J1008" i="2"/>
  <c r="E1009" i="2"/>
  <c r="F1009" i="2"/>
  <c r="I1009" i="2"/>
  <c r="E1010" i="2"/>
  <c r="I1010" i="2"/>
  <c r="J1010" i="2"/>
  <c r="E1011" i="2"/>
  <c r="F1011" i="2"/>
  <c r="I1011" i="2"/>
  <c r="E1012" i="2"/>
  <c r="F1012" i="2"/>
  <c r="I1012" i="2"/>
  <c r="E1013" i="2"/>
  <c r="F1013" i="2"/>
  <c r="I1013" i="2"/>
  <c r="J1013" i="2"/>
  <c r="E1014" i="2"/>
  <c r="I1014" i="2"/>
  <c r="J1014" i="2"/>
  <c r="E1015" i="2"/>
  <c r="F1015" i="2"/>
  <c r="I1015" i="2"/>
  <c r="E1016" i="2"/>
  <c r="I1016" i="2"/>
  <c r="J1016" i="2"/>
  <c r="E1017" i="2"/>
  <c r="I1017" i="2"/>
  <c r="J1017" i="2"/>
  <c r="E1018" i="2"/>
  <c r="I1018" i="2"/>
  <c r="J1018" i="2"/>
  <c r="E1019" i="2"/>
  <c r="F1019" i="2"/>
  <c r="I1019" i="2"/>
  <c r="E1020" i="2"/>
  <c r="F1020" i="2"/>
  <c r="I1020" i="2"/>
  <c r="E1021" i="2"/>
  <c r="F1021" i="2"/>
  <c r="I1021" i="2"/>
  <c r="E1022" i="2"/>
  <c r="I1022" i="2"/>
  <c r="E1023" i="2"/>
  <c r="I1023" i="2"/>
  <c r="J1023" i="2"/>
  <c r="E1024" i="2"/>
  <c r="I1024" i="2"/>
  <c r="J1024" i="2"/>
  <c r="E1025" i="2"/>
  <c r="I1025" i="2"/>
  <c r="J1025" i="2"/>
  <c r="E1026" i="2"/>
  <c r="I1026" i="2"/>
  <c r="J1026" i="2"/>
  <c r="E1027" i="2"/>
  <c r="I1027" i="2"/>
  <c r="J1027" i="2"/>
  <c r="E1028" i="2"/>
  <c r="I1028" i="2"/>
  <c r="J1028" i="2"/>
  <c r="E1029" i="2"/>
  <c r="F1029" i="2"/>
  <c r="I1029" i="2"/>
  <c r="J1029" i="2"/>
  <c r="E1030" i="2"/>
  <c r="F1030" i="2"/>
  <c r="I1030" i="2"/>
  <c r="E1031" i="2"/>
  <c r="I1031" i="2"/>
  <c r="J1031" i="2"/>
  <c r="E1032" i="2"/>
  <c r="F1032" i="2"/>
  <c r="I1032" i="2"/>
  <c r="J1032" i="2"/>
  <c r="E1033" i="2"/>
  <c r="F1033" i="2"/>
  <c r="I1033" i="2"/>
  <c r="E1034" i="2"/>
  <c r="F1034" i="2"/>
  <c r="I1034" i="2"/>
  <c r="J1034" i="2"/>
  <c r="E1035" i="2"/>
  <c r="I1035" i="2"/>
  <c r="E1036" i="2"/>
  <c r="I1036" i="2"/>
  <c r="E1037" i="2"/>
  <c r="I1037" i="2"/>
  <c r="J1037" i="2"/>
  <c r="E1038" i="2"/>
  <c r="I1038" i="2"/>
  <c r="J1038" i="2"/>
  <c r="E1039" i="2"/>
  <c r="I1039" i="2"/>
  <c r="J1039" i="2"/>
  <c r="E1040" i="2"/>
  <c r="F1040" i="2"/>
  <c r="I1040" i="2"/>
  <c r="J1040" i="2"/>
  <c r="E1041" i="2"/>
  <c r="F1041" i="2"/>
  <c r="I1041" i="2"/>
  <c r="J1041" i="2"/>
  <c r="E1042" i="2"/>
  <c r="I1042" i="2"/>
  <c r="J1042" i="2"/>
  <c r="E1043" i="2"/>
  <c r="I1043" i="2"/>
  <c r="E1044" i="2"/>
  <c r="I1044" i="2"/>
  <c r="J1044" i="2"/>
  <c r="E1045" i="2"/>
  <c r="F1045" i="2"/>
  <c r="I1045" i="2"/>
  <c r="E1046" i="2"/>
  <c r="F1046" i="2"/>
  <c r="I1046" i="2"/>
  <c r="J1046" i="2"/>
  <c r="E1047" i="2"/>
  <c r="F1047" i="2"/>
  <c r="I1047" i="2"/>
  <c r="J1047" i="2"/>
  <c r="E1048" i="2"/>
  <c r="F1048" i="2"/>
  <c r="I1048" i="2"/>
  <c r="J1048" i="2"/>
  <c r="E1049" i="2"/>
  <c r="F1049" i="2"/>
  <c r="I1049" i="2"/>
  <c r="E1050" i="2"/>
  <c r="F1050" i="2"/>
  <c r="I1050" i="2"/>
  <c r="J1050" i="2"/>
  <c r="E1051" i="2"/>
  <c r="F1051" i="2"/>
  <c r="I1051" i="2"/>
  <c r="J1051" i="2"/>
  <c r="E1052" i="2"/>
  <c r="F1052" i="2"/>
  <c r="I1052" i="2"/>
  <c r="E1053" i="2"/>
  <c r="F1053" i="2"/>
  <c r="I1053" i="2"/>
  <c r="J1053" i="2"/>
  <c r="E1054" i="2"/>
  <c r="F1054" i="2"/>
  <c r="I1054" i="2"/>
  <c r="E1055" i="2"/>
  <c r="F1055" i="2"/>
  <c r="I1055" i="2"/>
  <c r="E1056" i="2"/>
  <c r="F1056" i="2"/>
  <c r="I1056" i="2"/>
  <c r="E1057" i="2"/>
  <c r="I1057" i="2"/>
  <c r="J1057" i="2"/>
  <c r="E1058" i="2"/>
  <c r="F1058" i="2"/>
  <c r="I1058" i="2"/>
  <c r="E1059" i="2"/>
  <c r="I1059" i="2"/>
  <c r="J1059" i="2"/>
  <c r="E1060" i="2"/>
  <c r="F1060" i="2"/>
  <c r="I1060" i="2"/>
  <c r="J1060" i="2"/>
  <c r="E1061" i="2"/>
  <c r="F1061" i="2"/>
  <c r="I1061" i="2"/>
  <c r="J1061" i="2"/>
  <c r="E1062" i="2"/>
  <c r="F1062" i="2"/>
  <c r="I1062" i="2"/>
  <c r="J1062" i="2"/>
  <c r="E1063" i="2"/>
  <c r="F1063" i="2"/>
  <c r="I1063" i="2"/>
  <c r="J1063" i="2"/>
  <c r="E1064" i="2"/>
  <c r="I1064" i="2"/>
  <c r="J1064" i="2"/>
  <c r="E1065" i="2"/>
  <c r="F1065" i="2"/>
  <c r="I1065" i="2"/>
  <c r="E1066" i="2"/>
  <c r="F1066" i="2"/>
  <c r="I1066" i="2"/>
  <c r="J1066" i="2"/>
  <c r="E1067" i="2"/>
  <c r="F1067" i="2"/>
  <c r="I1067" i="2"/>
  <c r="J1067" i="2"/>
  <c r="E1068" i="2"/>
  <c r="F1068" i="2"/>
  <c r="I1068" i="2"/>
  <c r="J1068" i="2"/>
  <c r="E1069" i="2"/>
  <c r="F1069" i="2"/>
  <c r="I1069" i="2"/>
  <c r="J1069" i="2"/>
  <c r="E1070" i="2"/>
  <c r="F1070" i="2"/>
  <c r="I1070" i="2"/>
  <c r="E1071" i="2"/>
  <c r="F1071" i="2"/>
  <c r="I1071" i="2"/>
  <c r="E1072" i="2"/>
  <c r="F1072" i="2"/>
  <c r="I1072" i="2"/>
  <c r="J1072" i="2"/>
  <c r="E1073" i="2"/>
  <c r="I1073" i="2"/>
  <c r="J1073" i="2"/>
  <c r="E1074" i="2"/>
  <c r="F1074" i="2"/>
  <c r="I1074" i="2"/>
  <c r="E1075" i="2"/>
  <c r="F1075" i="2"/>
  <c r="I1075" i="2"/>
  <c r="E1076" i="2"/>
  <c r="F1076" i="2"/>
  <c r="I1076" i="2"/>
  <c r="E1077" i="2"/>
  <c r="F1077" i="2"/>
  <c r="I1077" i="2"/>
  <c r="J1077" i="2"/>
  <c r="E1078" i="2"/>
  <c r="F1078" i="2"/>
  <c r="I1078" i="2"/>
  <c r="J1078" i="2"/>
  <c r="E1079" i="2"/>
  <c r="F1079" i="2"/>
  <c r="I1079" i="2"/>
  <c r="J1079" i="2"/>
  <c r="E1080" i="2"/>
  <c r="F1080" i="2"/>
  <c r="I1080" i="2"/>
  <c r="J1080" i="2"/>
  <c r="E1081" i="2"/>
  <c r="F1081" i="2"/>
  <c r="I1081" i="2"/>
  <c r="J1081" i="2"/>
  <c r="E1082" i="2"/>
  <c r="F1082" i="2"/>
  <c r="I1082" i="2"/>
  <c r="E1083" i="2"/>
  <c r="F1083" i="2"/>
  <c r="I1083" i="2"/>
  <c r="J1083" i="2"/>
  <c r="E1084" i="2"/>
  <c r="F1084" i="2"/>
  <c r="I1084" i="2"/>
  <c r="E1085" i="2"/>
  <c r="F1085" i="2"/>
  <c r="I1085" i="2"/>
  <c r="J1085" i="2"/>
  <c r="E1086" i="2"/>
  <c r="F1086" i="2"/>
  <c r="I1086" i="2"/>
  <c r="J1086" i="2"/>
  <c r="E1087" i="2"/>
  <c r="F1087" i="2"/>
  <c r="I1087" i="2"/>
  <c r="J1087" i="2"/>
  <c r="E1088" i="2"/>
  <c r="F1088" i="2"/>
  <c r="I1088" i="2"/>
  <c r="J1088" i="2"/>
  <c r="E1089" i="2"/>
  <c r="F1089" i="2"/>
  <c r="I1089" i="2"/>
  <c r="J1089" i="2"/>
  <c r="E1090" i="2"/>
  <c r="F1090" i="2"/>
  <c r="I1090" i="2"/>
  <c r="J1090" i="2"/>
  <c r="E1091" i="2"/>
  <c r="F1091" i="2"/>
  <c r="I1091" i="2"/>
  <c r="E1092" i="2"/>
  <c r="F1092" i="2"/>
  <c r="I1092" i="2"/>
  <c r="E1093" i="2"/>
  <c r="F1093" i="2"/>
  <c r="I1093" i="2"/>
  <c r="J1093" i="2"/>
  <c r="E1094" i="2"/>
  <c r="F1094" i="2"/>
  <c r="I1094" i="2"/>
  <c r="E1095" i="2"/>
  <c r="F1095" i="2"/>
  <c r="I1095" i="2"/>
  <c r="J1095" i="2"/>
  <c r="E1096" i="2"/>
  <c r="F1096" i="2"/>
  <c r="I1096" i="2"/>
  <c r="E1097" i="2"/>
  <c r="F1097" i="2"/>
  <c r="I1097" i="2"/>
  <c r="J1097" i="2"/>
  <c r="E1098" i="2"/>
  <c r="I1098" i="2"/>
  <c r="J1098" i="2"/>
  <c r="E1099" i="2"/>
  <c r="F1099" i="2"/>
  <c r="I1099" i="2"/>
  <c r="E1100" i="2"/>
  <c r="F1100" i="2"/>
  <c r="I1100" i="2"/>
  <c r="J1100" i="2"/>
  <c r="E1101" i="2"/>
  <c r="F1101" i="2"/>
  <c r="I1101" i="2"/>
  <c r="J1101" i="2"/>
  <c r="E1102" i="2"/>
  <c r="I1102" i="2"/>
  <c r="J1102" i="2"/>
  <c r="E1103" i="2"/>
  <c r="F1103" i="2"/>
  <c r="I1103" i="2"/>
  <c r="J1103" i="2"/>
  <c r="E1104" i="2"/>
  <c r="F1104" i="2"/>
  <c r="I1104" i="2"/>
  <c r="E1105" i="2"/>
  <c r="F1105" i="2"/>
  <c r="I1105" i="2"/>
  <c r="J1105" i="2"/>
  <c r="E1106" i="2"/>
  <c r="F1106" i="2"/>
  <c r="I1106" i="2"/>
  <c r="J1106" i="2"/>
  <c r="E1107" i="2"/>
  <c r="I1107" i="2"/>
  <c r="J1107" i="2"/>
  <c r="E1108" i="2"/>
  <c r="I1108" i="2"/>
  <c r="E1109" i="2"/>
  <c r="I1109" i="2"/>
  <c r="J1109" i="2"/>
  <c r="E1110" i="2"/>
  <c r="I1110" i="2"/>
  <c r="J1110" i="2"/>
  <c r="E1111" i="2"/>
  <c r="F1111" i="2"/>
  <c r="I1111" i="2"/>
  <c r="J1111" i="2"/>
  <c r="E1112" i="2"/>
  <c r="F1112" i="2"/>
  <c r="I1112" i="2"/>
  <c r="J1112" i="2"/>
  <c r="E1113" i="2"/>
  <c r="F1113" i="2"/>
  <c r="I1113" i="2"/>
  <c r="J1113" i="2"/>
  <c r="E1114" i="2"/>
  <c r="I1114" i="2"/>
  <c r="J1114" i="2"/>
  <c r="E1115" i="2"/>
  <c r="F1115" i="2"/>
  <c r="I1115" i="2"/>
  <c r="J1115" i="2"/>
  <c r="E1116" i="2"/>
  <c r="F1116" i="2"/>
  <c r="I1116" i="2"/>
  <c r="E1117" i="2"/>
  <c r="F1117" i="2"/>
  <c r="I1117" i="2"/>
  <c r="J1117" i="2"/>
  <c r="E1118" i="2"/>
  <c r="F1118" i="2"/>
  <c r="I1118" i="2"/>
  <c r="J1118" i="2"/>
  <c r="E1119" i="2"/>
  <c r="F1119" i="2"/>
  <c r="I1119" i="2"/>
  <c r="J1119" i="2"/>
  <c r="E1120" i="2"/>
  <c r="F1120" i="2"/>
  <c r="I1120" i="2"/>
  <c r="J1120" i="2"/>
  <c r="E1121" i="2"/>
  <c r="F1121" i="2"/>
  <c r="I1121" i="2"/>
  <c r="J1121" i="2"/>
  <c r="E1122" i="2"/>
  <c r="I1122" i="2"/>
  <c r="J1122" i="2"/>
  <c r="E1123" i="2"/>
  <c r="F1123" i="2"/>
  <c r="I1123" i="2"/>
  <c r="E1124" i="2"/>
  <c r="I1124" i="2"/>
  <c r="J1124" i="2"/>
  <c r="E1125" i="2"/>
  <c r="F1125" i="2"/>
  <c r="I1125" i="2"/>
  <c r="J1125" i="2"/>
  <c r="E1126" i="2"/>
  <c r="F1126" i="2"/>
  <c r="I1126" i="2"/>
  <c r="J1126" i="2"/>
  <c r="E1127" i="2"/>
  <c r="F1127" i="2"/>
  <c r="I1127" i="2"/>
  <c r="J1127" i="2"/>
  <c r="E1128" i="2"/>
  <c r="F1128" i="2"/>
  <c r="I1128" i="2"/>
  <c r="J1128" i="2"/>
  <c r="E1129" i="2"/>
  <c r="I1129" i="2"/>
  <c r="J1129" i="2"/>
  <c r="E1130" i="2"/>
  <c r="F1130" i="2"/>
  <c r="I1130" i="2"/>
  <c r="J1130" i="2"/>
  <c r="E1131" i="2"/>
  <c r="I1131" i="2"/>
  <c r="J1131" i="2"/>
  <c r="E1132" i="2"/>
  <c r="I1132" i="2"/>
  <c r="J1132" i="2"/>
  <c r="E1133" i="2"/>
  <c r="I1133" i="2"/>
  <c r="J1133" i="2"/>
  <c r="E1134" i="2"/>
  <c r="I1134" i="2"/>
  <c r="J1134" i="2"/>
  <c r="E1135" i="2"/>
  <c r="I1135" i="2"/>
  <c r="J1135" i="2"/>
  <c r="E1136" i="2"/>
  <c r="I1136" i="2"/>
  <c r="J1136" i="2"/>
  <c r="E1137" i="2"/>
  <c r="F1137" i="2"/>
  <c r="I1137" i="2"/>
  <c r="J1137" i="2"/>
  <c r="E1138" i="2"/>
  <c r="I1138" i="2"/>
  <c r="J1138" i="2"/>
  <c r="E1139" i="2"/>
  <c r="F1139" i="2"/>
  <c r="I1139" i="2"/>
  <c r="E1140" i="2"/>
  <c r="I1140" i="2"/>
  <c r="J1140" i="2"/>
  <c r="E1141" i="2"/>
  <c r="I1141" i="2"/>
  <c r="J1141" i="2"/>
  <c r="E1142" i="2"/>
  <c r="I1142" i="2"/>
  <c r="J1142" i="2"/>
  <c r="E1143" i="2"/>
  <c r="I1143" i="2"/>
  <c r="J1143" i="2"/>
  <c r="E1144" i="2"/>
  <c r="I1144" i="2"/>
  <c r="E1145" i="2"/>
  <c r="F1145" i="2"/>
  <c r="I1145" i="2"/>
  <c r="J1145" i="2"/>
  <c r="E1146" i="2"/>
  <c r="F1146" i="2"/>
  <c r="I1146" i="2"/>
  <c r="J1146" i="2"/>
  <c r="E1147" i="2"/>
  <c r="F1147" i="2"/>
  <c r="I1147" i="2"/>
  <c r="J1147" i="2"/>
  <c r="E1148" i="2"/>
  <c r="F1148" i="2"/>
  <c r="I1148" i="2"/>
  <c r="J1148" i="2"/>
  <c r="E1149" i="2"/>
  <c r="F1149" i="2"/>
  <c r="I1149" i="2"/>
  <c r="J1149" i="2"/>
  <c r="E1150" i="2"/>
  <c r="I1150" i="2"/>
  <c r="J1150" i="2"/>
  <c r="E1151" i="2"/>
  <c r="F1151" i="2"/>
  <c r="I1151" i="2"/>
  <c r="J1151" i="2"/>
  <c r="E1152" i="2"/>
  <c r="I1152" i="2"/>
  <c r="J1152" i="2"/>
  <c r="E1153" i="2"/>
  <c r="I1153" i="2"/>
  <c r="J1153" i="2"/>
  <c r="E1154" i="2"/>
  <c r="I1154" i="2"/>
  <c r="J1154" i="2"/>
  <c r="E1155" i="2"/>
  <c r="I1155" i="2"/>
  <c r="J1155" i="2"/>
  <c r="E1156" i="2"/>
  <c r="I1156" i="2"/>
  <c r="J1156" i="2"/>
  <c r="E1157" i="2"/>
  <c r="I1157" i="2"/>
  <c r="E1158" i="2"/>
  <c r="I1158" i="2"/>
  <c r="J1158" i="2"/>
  <c r="E1159" i="2"/>
  <c r="I1159" i="2"/>
  <c r="J1159" i="2"/>
  <c r="E1160" i="2"/>
  <c r="F1160" i="2"/>
  <c r="I1160" i="2"/>
  <c r="J1160" i="2"/>
  <c r="E1161" i="2"/>
  <c r="F1161" i="2"/>
  <c r="I1161" i="2"/>
  <c r="J1161" i="2"/>
  <c r="E1162" i="2"/>
  <c r="F1162" i="2"/>
  <c r="I1162" i="2"/>
  <c r="E1163" i="2"/>
  <c r="I1163" i="2"/>
  <c r="J1163" i="2"/>
  <c r="E1164" i="2"/>
  <c r="I1164" i="2"/>
  <c r="E1165" i="2"/>
  <c r="I1165" i="2"/>
  <c r="J1165" i="2"/>
  <c r="E1166" i="2"/>
  <c r="I1166" i="2"/>
  <c r="J1166" i="2"/>
  <c r="E1167" i="2"/>
  <c r="I1167" i="2"/>
  <c r="J1167" i="2"/>
  <c r="E1168" i="2"/>
  <c r="I1168" i="2"/>
  <c r="J1168" i="2"/>
  <c r="E1169" i="2"/>
  <c r="F1169" i="2"/>
  <c r="I1169" i="2"/>
  <c r="J1169" i="2"/>
  <c r="E1170" i="2"/>
  <c r="F1170" i="2"/>
  <c r="I1170" i="2"/>
  <c r="J1170" i="2"/>
  <c r="E1171" i="2"/>
  <c r="F1171" i="2"/>
  <c r="I1171" i="2"/>
  <c r="J1171" i="2"/>
  <c r="E1172" i="2"/>
  <c r="F1172" i="2"/>
  <c r="I1172" i="2"/>
  <c r="E1173" i="2"/>
  <c r="F1173" i="2"/>
  <c r="I1173" i="2"/>
  <c r="E1174" i="2"/>
  <c r="F1174" i="2"/>
  <c r="I1174" i="2"/>
  <c r="E1175" i="2"/>
  <c r="F1175" i="2"/>
  <c r="I1175" i="2"/>
  <c r="E1176" i="2"/>
  <c r="F1176" i="2"/>
  <c r="I1176" i="2"/>
  <c r="E1177" i="2"/>
  <c r="F1177" i="2"/>
  <c r="I1177" i="2"/>
  <c r="E1178" i="2"/>
  <c r="F1178" i="2"/>
  <c r="I1178" i="2"/>
  <c r="E1179" i="2"/>
  <c r="F1179" i="2"/>
  <c r="I1179" i="2"/>
  <c r="J1179" i="2"/>
  <c r="E1180" i="2"/>
  <c r="F1180" i="2"/>
  <c r="I1180" i="2"/>
  <c r="E1181" i="2"/>
  <c r="F1181" i="2"/>
  <c r="I1181" i="2"/>
  <c r="J1181" i="2"/>
  <c r="E1182" i="2"/>
  <c r="I1182" i="2"/>
  <c r="J1182" i="2"/>
  <c r="E1183" i="2"/>
  <c r="F1183" i="2"/>
  <c r="I1183" i="2"/>
  <c r="J1183" i="2"/>
  <c r="E1184" i="2"/>
  <c r="I1184" i="2"/>
  <c r="J1184" i="2"/>
  <c r="E1185" i="2"/>
  <c r="F1185" i="2"/>
  <c r="I1185" i="2"/>
  <c r="E1186" i="2"/>
  <c r="I1186" i="2"/>
  <c r="J1186" i="2"/>
  <c r="E1187" i="2"/>
  <c r="F1187" i="2"/>
  <c r="I1187" i="2"/>
  <c r="J1187" i="2"/>
  <c r="E1188" i="2"/>
  <c r="F1188" i="2"/>
  <c r="I1188" i="2"/>
  <c r="E1189" i="2"/>
  <c r="F1189" i="2"/>
  <c r="I1189" i="2"/>
  <c r="E1190" i="2"/>
  <c r="F1190" i="2"/>
  <c r="I1190" i="2"/>
  <c r="J1190" i="2"/>
  <c r="E1191" i="2"/>
  <c r="I1191" i="2"/>
  <c r="J1191" i="2"/>
  <c r="E1192" i="2"/>
  <c r="F1192" i="2"/>
  <c r="I1192" i="2"/>
  <c r="J1192" i="2"/>
  <c r="E1193" i="2"/>
  <c r="F1193" i="2"/>
  <c r="I1193" i="2"/>
  <c r="E1194" i="2"/>
  <c r="I1194" i="2"/>
  <c r="J1194" i="2"/>
  <c r="E1195" i="2"/>
  <c r="F1195" i="2"/>
  <c r="I1195" i="2"/>
  <c r="E1196" i="2"/>
  <c r="I1196" i="2"/>
  <c r="J1196" i="2"/>
  <c r="E1197" i="2"/>
  <c r="F1197" i="2"/>
  <c r="I1197" i="2"/>
  <c r="J1197" i="2"/>
  <c r="E1198" i="2"/>
  <c r="F1198" i="2"/>
  <c r="I1198" i="2"/>
  <c r="J1198" i="2"/>
  <c r="E1199" i="2"/>
  <c r="I1199" i="2"/>
  <c r="J1199" i="2"/>
  <c r="E1200" i="2"/>
  <c r="I1200" i="2"/>
  <c r="J1200" i="2"/>
  <c r="E1201" i="2"/>
  <c r="I1201" i="2"/>
  <c r="J1201" i="2"/>
  <c r="E1202" i="2"/>
  <c r="F1202" i="2"/>
  <c r="I1202" i="2"/>
  <c r="J1202" i="2"/>
  <c r="E1203" i="2"/>
  <c r="F1203" i="2"/>
  <c r="I1203" i="2"/>
  <c r="J1203" i="2"/>
  <c r="E1204" i="2"/>
  <c r="F1204" i="2"/>
  <c r="I1204" i="2"/>
  <c r="J1204" i="2"/>
  <c r="E1205" i="2"/>
  <c r="F1205" i="2"/>
  <c r="I1205" i="2"/>
  <c r="J1205" i="2"/>
  <c r="E1206" i="2"/>
  <c r="F1206" i="2"/>
  <c r="I1206" i="2"/>
  <c r="J1206" i="2"/>
  <c r="E1207" i="2"/>
  <c r="F1207" i="2"/>
  <c r="I1207" i="2"/>
  <c r="E1208" i="2"/>
  <c r="I1208" i="2"/>
  <c r="J1208" i="2"/>
  <c r="E1209" i="2"/>
  <c r="I1209" i="2"/>
  <c r="J1209" i="2"/>
  <c r="E1210" i="2"/>
  <c r="I1210" i="2"/>
  <c r="J1210" i="2"/>
  <c r="E1211" i="2"/>
  <c r="F1211" i="2"/>
  <c r="I1211" i="2"/>
  <c r="E1212" i="2"/>
  <c r="F1212" i="2"/>
  <c r="I1212" i="2"/>
  <c r="E1213" i="2"/>
  <c r="F1213" i="2"/>
  <c r="I1213" i="2"/>
  <c r="J1213" i="2"/>
  <c r="E1214" i="2"/>
  <c r="F1214" i="2"/>
  <c r="I1214" i="2"/>
  <c r="J1214" i="2"/>
  <c r="E1215" i="2"/>
  <c r="F1215" i="2"/>
  <c r="I1215" i="2"/>
  <c r="E1216" i="2"/>
  <c r="F1216" i="2"/>
  <c r="I1216" i="2"/>
  <c r="E1217" i="2"/>
  <c r="F1217" i="2"/>
  <c r="I1217" i="2"/>
  <c r="E1218" i="2"/>
  <c r="F1218" i="2"/>
  <c r="I1218" i="2"/>
  <c r="J1218" i="2"/>
  <c r="E1219" i="2"/>
  <c r="I1219" i="2"/>
  <c r="J1219" i="2"/>
  <c r="E1220" i="2"/>
  <c r="I1220" i="2"/>
  <c r="J1220" i="2"/>
  <c r="E1221" i="2"/>
  <c r="F1221" i="2"/>
  <c r="I1221" i="2"/>
  <c r="J1221" i="2"/>
  <c r="E1222" i="2"/>
  <c r="F1222" i="2"/>
  <c r="I1222" i="2"/>
  <c r="J1222" i="2"/>
  <c r="E1223" i="2"/>
  <c r="F1223" i="2"/>
  <c r="I1223" i="2"/>
  <c r="J1223" i="2"/>
  <c r="E1224" i="2"/>
  <c r="I1224" i="2"/>
  <c r="E1225" i="2"/>
  <c r="I1225" i="2"/>
  <c r="J1225" i="2"/>
  <c r="E1226" i="2"/>
  <c r="F1226" i="2"/>
  <c r="I1226" i="2"/>
  <c r="J1226" i="2"/>
  <c r="E1227" i="2"/>
  <c r="F1227" i="2"/>
  <c r="I1227" i="2"/>
  <c r="J1227" i="2"/>
  <c r="E1228" i="2"/>
  <c r="F1228" i="2"/>
  <c r="I1228" i="2"/>
  <c r="E1229" i="2"/>
  <c r="F1229" i="2"/>
  <c r="I1229" i="2"/>
  <c r="E1230" i="2"/>
  <c r="F1230" i="2"/>
  <c r="I1230" i="2"/>
  <c r="E1231" i="2"/>
  <c r="I1231" i="2"/>
  <c r="J1231" i="2"/>
  <c r="E1232" i="2"/>
  <c r="I1232" i="2"/>
  <c r="J1232" i="2"/>
  <c r="E1233" i="2"/>
  <c r="I1233" i="2"/>
  <c r="J1233" i="2"/>
  <c r="E1234" i="2"/>
  <c r="F1234" i="2"/>
  <c r="I1234" i="2"/>
  <c r="J1234" i="2"/>
  <c r="E1235" i="2"/>
  <c r="I1235" i="2"/>
  <c r="J1235" i="2"/>
  <c r="E1236" i="2"/>
  <c r="I1236" i="2"/>
  <c r="J1236" i="2"/>
  <c r="E1237" i="2"/>
  <c r="F1237" i="2"/>
  <c r="I1237" i="2"/>
  <c r="E1238" i="2"/>
  <c r="I1238" i="2"/>
  <c r="J1238" i="2"/>
  <c r="E1239" i="2"/>
  <c r="I1239" i="2"/>
  <c r="J1239" i="2"/>
  <c r="E1240" i="2"/>
  <c r="I1240" i="2"/>
  <c r="J1240" i="2"/>
  <c r="E1241" i="2"/>
  <c r="F1241" i="2"/>
  <c r="I1241" i="2"/>
  <c r="E1242" i="2"/>
  <c r="F1242" i="2"/>
  <c r="I1242" i="2"/>
  <c r="E1243" i="2"/>
  <c r="I1243" i="2"/>
  <c r="J1243" i="2"/>
  <c r="E1244" i="2"/>
  <c r="I1244" i="2"/>
  <c r="E1245" i="2"/>
  <c r="I1245" i="2"/>
  <c r="J1245" i="2"/>
  <c r="E1246" i="2"/>
  <c r="I1246" i="2"/>
  <c r="E1247" i="2"/>
  <c r="I1247" i="2"/>
  <c r="E1248" i="2"/>
  <c r="F1248" i="2"/>
  <c r="I1248" i="2"/>
  <c r="J1248" i="2"/>
  <c r="E1249" i="2"/>
  <c r="I1249" i="2"/>
  <c r="E1250" i="2"/>
  <c r="F1250" i="2"/>
  <c r="I1250" i="2"/>
  <c r="J1250" i="2"/>
  <c r="E1251" i="2"/>
  <c r="F1251" i="2"/>
  <c r="I1251" i="2"/>
  <c r="E1252" i="2"/>
  <c r="I1252" i="2"/>
  <c r="J1252" i="2"/>
  <c r="E1253" i="2"/>
  <c r="F1253" i="2"/>
  <c r="I1253" i="2"/>
  <c r="E1254" i="2"/>
  <c r="F1254" i="2"/>
  <c r="I1254" i="2"/>
  <c r="J1254" i="2"/>
  <c r="E1255" i="2"/>
  <c r="F1255" i="2"/>
  <c r="I1255" i="2"/>
  <c r="J1255" i="2"/>
  <c r="E1256" i="2"/>
  <c r="F1256" i="2"/>
  <c r="I1256" i="2"/>
  <c r="E1257" i="2"/>
  <c r="I1257" i="2"/>
  <c r="E1258" i="2"/>
  <c r="I1258" i="2"/>
  <c r="J1258" i="2"/>
  <c r="E1259" i="2"/>
  <c r="I1259" i="2"/>
  <c r="J1259" i="2"/>
  <c r="E1260" i="2"/>
  <c r="I1260" i="2"/>
  <c r="J1260" i="2"/>
  <c r="E1261" i="2"/>
  <c r="I1261" i="2"/>
  <c r="J1261" i="2"/>
  <c r="E1262" i="2"/>
  <c r="F1262" i="2"/>
  <c r="I1262" i="2"/>
  <c r="J1262" i="2"/>
  <c r="E1263" i="2"/>
  <c r="I1263" i="2"/>
  <c r="E1264" i="2"/>
  <c r="F1264" i="2"/>
  <c r="I1264" i="2"/>
  <c r="J1264" i="2"/>
  <c r="E1265" i="2"/>
  <c r="I1265" i="2"/>
  <c r="J1265" i="2"/>
  <c r="E1266" i="2"/>
  <c r="F1266" i="2"/>
  <c r="I1266" i="2"/>
  <c r="J1266" i="2"/>
  <c r="E1267" i="2"/>
  <c r="I1267" i="2"/>
  <c r="J1267" i="2"/>
  <c r="E1268" i="2"/>
  <c r="I1268" i="2"/>
  <c r="J1268" i="2"/>
  <c r="E1269" i="2"/>
  <c r="I1269" i="2"/>
  <c r="J1269" i="2"/>
  <c r="E1270" i="2"/>
  <c r="F1270" i="2"/>
  <c r="I1270" i="2"/>
  <c r="J1270" i="2"/>
  <c r="E1271" i="2"/>
  <c r="F1271" i="2"/>
  <c r="I1271" i="2"/>
  <c r="J1271" i="2"/>
  <c r="E1272" i="2"/>
  <c r="F1272" i="2"/>
  <c r="I1272" i="2"/>
  <c r="E1273" i="2"/>
  <c r="F1273" i="2"/>
  <c r="I1273" i="2"/>
  <c r="E1274" i="2"/>
  <c r="F1274" i="2"/>
  <c r="I1274" i="2"/>
  <c r="J1274" i="2"/>
  <c r="E1275" i="2"/>
  <c r="F1275" i="2"/>
  <c r="I1275" i="2"/>
  <c r="J1275" i="2"/>
  <c r="E1276" i="2"/>
  <c r="F1276" i="2"/>
  <c r="I1276" i="2"/>
  <c r="J1276" i="2"/>
  <c r="E1277" i="2"/>
  <c r="F1277" i="2"/>
  <c r="I1277" i="2"/>
  <c r="E1278" i="2"/>
  <c r="F1278" i="2"/>
  <c r="I1278" i="2"/>
  <c r="J1278" i="2"/>
  <c r="E1279" i="2"/>
  <c r="F1279" i="2"/>
  <c r="I1279" i="2"/>
  <c r="J1279" i="2"/>
  <c r="E1280" i="2"/>
  <c r="F1280" i="2"/>
  <c r="I1280" i="2"/>
  <c r="J1280" i="2"/>
  <c r="E1281" i="2"/>
  <c r="F1281" i="2"/>
  <c r="I1281" i="2"/>
  <c r="E1282" i="2"/>
  <c r="F1282" i="2"/>
  <c r="I1282" i="2"/>
  <c r="J1282" i="2"/>
  <c r="E1283" i="2"/>
  <c r="F1283" i="2"/>
  <c r="I1283" i="2"/>
  <c r="J1283" i="2"/>
  <c r="E1284" i="2"/>
  <c r="F1284" i="2"/>
  <c r="I1284" i="2"/>
  <c r="E1285" i="2"/>
  <c r="I1285" i="2"/>
  <c r="J1285" i="2"/>
  <c r="E1286" i="2"/>
  <c r="I1286" i="2"/>
  <c r="J1286" i="2"/>
  <c r="E1287" i="2"/>
  <c r="I1287" i="2"/>
  <c r="J1287" i="2"/>
  <c r="E1288" i="2"/>
  <c r="F1288" i="2"/>
  <c r="I1288" i="2"/>
  <c r="E1289" i="2"/>
  <c r="F1289" i="2"/>
  <c r="I1289" i="2"/>
  <c r="E1290" i="2"/>
  <c r="F1290" i="2"/>
  <c r="I1290" i="2"/>
  <c r="J1290" i="2"/>
  <c r="E1291" i="2"/>
  <c r="F1291" i="2"/>
  <c r="I1291" i="2"/>
  <c r="J1291" i="2"/>
  <c r="E1292" i="2"/>
  <c r="F1292" i="2"/>
  <c r="I1292" i="2"/>
  <c r="J1292" i="2"/>
  <c r="E1293" i="2"/>
  <c r="F1293" i="2"/>
  <c r="I1293" i="2"/>
  <c r="J1293" i="2"/>
  <c r="E1294" i="2"/>
  <c r="F1294" i="2"/>
  <c r="I1294" i="2"/>
  <c r="J1294" i="2"/>
  <c r="E1295" i="2"/>
  <c r="I1295" i="2"/>
  <c r="J1295" i="2"/>
  <c r="E1296" i="2"/>
  <c r="I1296" i="2"/>
  <c r="J1296" i="2"/>
  <c r="E1297" i="2"/>
  <c r="I1297" i="2"/>
  <c r="J1297" i="2"/>
  <c r="E1298" i="2"/>
  <c r="I1298" i="2"/>
  <c r="E1299" i="2"/>
  <c r="I1299" i="2"/>
  <c r="J1299" i="2"/>
  <c r="E1300" i="2"/>
  <c r="I1300" i="2"/>
  <c r="J1300" i="2"/>
  <c r="E1301" i="2"/>
  <c r="F1301" i="2"/>
  <c r="I1301" i="2"/>
  <c r="J1301" i="2"/>
  <c r="E1302" i="2"/>
  <c r="F1302" i="2"/>
  <c r="I1302" i="2"/>
  <c r="J1302" i="2"/>
  <c r="E1303" i="2"/>
  <c r="I1303" i="2"/>
  <c r="J1303" i="2"/>
  <c r="E1304" i="2"/>
  <c r="F1304" i="2"/>
  <c r="I1304" i="2"/>
  <c r="J1304" i="2"/>
  <c r="E1305" i="2"/>
  <c r="F1305" i="2"/>
  <c r="I1305" i="2"/>
  <c r="E1306" i="2"/>
  <c r="F1306" i="2"/>
  <c r="I1306" i="2"/>
  <c r="J1306" i="2"/>
  <c r="E1307" i="2"/>
  <c r="I1307" i="2"/>
  <c r="J1307" i="2"/>
  <c r="E1308" i="2"/>
  <c r="F1308" i="2"/>
  <c r="I1308" i="2"/>
  <c r="J1308" i="2"/>
  <c r="E1309" i="2"/>
  <c r="F1309" i="2"/>
  <c r="I1309" i="2"/>
  <c r="E1310" i="2"/>
  <c r="I1310" i="2"/>
  <c r="E1311" i="2"/>
  <c r="F1311" i="2"/>
  <c r="I1311" i="2"/>
  <c r="E1312" i="2"/>
  <c r="F1312" i="2"/>
  <c r="I1312" i="2"/>
  <c r="E1313" i="2"/>
  <c r="F1313" i="2"/>
  <c r="I1313" i="2"/>
  <c r="E1314" i="2"/>
  <c r="F1314" i="2"/>
  <c r="I1314" i="2"/>
  <c r="E1315" i="2"/>
  <c r="F1315" i="2"/>
  <c r="I1315" i="2"/>
  <c r="J1315" i="2"/>
  <c r="E1316" i="2"/>
  <c r="I1316" i="2"/>
  <c r="J1316" i="2"/>
  <c r="E1317" i="2"/>
  <c r="F1317" i="2"/>
  <c r="I1317" i="2"/>
  <c r="J1317" i="2"/>
  <c r="E1318" i="2"/>
  <c r="F1318" i="2"/>
  <c r="I1318" i="2"/>
  <c r="J1318" i="2"/>
  <c r="E1319" i="2"/>
  <c r="F1319" i="2"/>
  <c r="I1319" i="2"/>
  <c r="E1320" i="2"/>
  <c r="F1320" i="2"/>
  <c r="I1320" i="2"/>
  <c r="E1321" i="2"/>
  <c r="F1321" i="2"/>
  <c r="I1321" i="2"/>
  <c r="E1322" i="2"/>
  <c r="F1322" i="2"/>
  <c r="I1322" i="2"/>
  <c r="E1323" i="2"/>
  <c r="I1323" i="2"/>
  <c r="J1323" i="2"/>
  <c r="E1324" i="2"/>
  <c r="F1324" i="2"/>
  <c r="I1324" i="2"/>
  <c r="J1324" i="2"/>
  <c r="E1325" i="2"/>
  <c r="F1325" i="2"/>
  <c r="I1325" i="2"/>
  <c r="J1325" i="2"/>
  <c r="E1326" i="2"/>
  <c r="F1326" i="2"/>
  <c r="I1326" i="2"/>
  <c r="E1327" i="2"/>
  <c r="I1327" i="2"/>
  <c r="J1327" i="2"/>
  <c r="E1328" i="2"/>
  <c r="I1328" i="2"/>
  <c r="J1328" i="2"/>
  <c r="E1329" i="2"/>
  <c r="F1329" i="2"/>
  <c r="I1329" i="2"/>
  <c r="J1329" i="2"/>
  <c r="E1330" i="2"/>
  <c r="F1330" i="2"/>
  <c r="I1330" i="2"/>
  <c r="E1331" i="2"/>
  <c r="F1331" i="2"/>
  <c r="I1331" i="2"/>
  <c r="J1331" i="2"/>
  <c r="E1332" i="2"/>
  <c r="I1332" i="2"/>
  <c r="J1332" i="2"/>
  <c r="E1333" i="2"/>
  <c r="I1333" i="2"/>
  <c r="J1333" i="2"/>
  <c r="E1334" i="2"/>
  <c r="F1334" i="2"/>
  <c r="I1334" i="2"/>
  <c r="E1335" i="2"/>
  <c r="I1335" i="2"/>
  <c r="J1335" i="2"/>
  <c r="E1336" i="2"/>
  <c r="F1336" i="2"/>
  <c r="I1336" i="2"/>
  <c r="J1336" i="2"/>
  <c r="E1337" i="2"/>
  <c r="F1337" i="2"/>
  <c r="I1337" i="2"/>
  <c r="J1337" i="2"/>
  <c r="E1338" i="2"/>
  <c r="F1338" i="2"/>
  <c r="I1338" i="2"/>
  <c r="J1338" i="2"/>
  <c r="E1339" i="2"/>
  <c r="F1339" i="2"/>
  <c r="I1339" i="2"/>
  <c r="E1340" i="2"/>
  <c r="F1340" i="2"/>
  <c r="I1340" i="2"/>
  <c r="E1341" i="2"/>
  <c r="F1341" i="2"/>
  <c r="I1341" i="2"/>
  <c r="E1342" i="2"/>
  <c r="F1342" i="2"/>
  <c r="I1342" i="2"/>
  <c r="E1343" i="2"/>
  <c r="F1343" i="2"/>
  <c r="I1343" i="2"/>
  <c r="E1344" i="2"/>
  <c r="I1344" i="2"/>
  <c r="J1344" i="2"/>
  <c r="E1345" i="2"/>
  <c r="F1345" i="2"/>
  <c r="I1345" i="2"/>
  <c r="E1346" i="2"/>
  <c r="F1346" i="2"/>
  <c r="I1346" i="2"/>
  <c r="E1347" i="2"/>
  <c r="F1347" i="2"/>
  <c r="I1347" i="2"/>
  <c r="E1348" i="2"/>
  <c r="F1348" i="2"/>
  <c r="I1348" i="2"/>
  <c r="J1348" i="2"/>
  <c r="E1349" i="2"/>
  <c r="I1349" i="2"/>
  <c r="J1349" i="2"/>
  <c r="E1350" i="2"/>
  <c r="F1350" i="2"/>
  <c r="I1350" i="2"/>
  <c r="J1350" i="2"/>
  <c r="E1351" i="2"/>
  <c r="F1351" i="2"/>
  <c r="I1351" i="2"/>
  <c r="E1352" i="2"/>
  <c r="F1352" i="2"/>
  <c r="I1352" i="2"/>
  <c r="E1353" i="2"/>
  <c r="I1353" i="2"/>
  <c r="J1353" i="2"/>
  <c r="E1354" i="2"/>
  <c r="F1354" i="2"/>
  <c r="I1354" i="2"/>
  <c r="J1354" i="2"/>
  <c r="E1355" i="2"/>
  <c r="F1355" i="2"/>
  <c r="I1355" i="2"/>
  <c r="J1355" i="2"/>
  <c r="E1356" i="2"/>
  <c r="F1356" i="2"/>
  <c r="I1356" i="2"/>
  <c r="E1357" i="2"/>
  <c r="I1357" i="2"/>
  <c r="J1357" i="2"/>
  <c r="E1358" i="2"/>
  <c r="I1358" i="2"/>
  <c r="J1358" i="2"/>
  <c r="E1359" i="2"/>
  <c r="F1359" i="2"/>
  <c r="I1359" i="2"/>
  <c r="J1359" i="2"/>
  <c r="E1360" i="2"/>
  <c r="I1360" i="2"/>
  <c r="J1360" i="2"/>
  <c r="E1361" i="2"/>
  <c r="I1361" i="2"/>
  <c r="J1361" i="2"/>
  <c r="E1362" i="2"/>
  <c r="F1362" i="2"/>
  <c r="I1362" i="2"/>
  <c r="E1363" i="2"/>
  <c r="I1363" i="2"/>
  <c r="J1363" i="2"/>
  <c r="E1364" i="2"/>
  <c r="I1364" i="2"/>
  <c r="J1364" i="2"/>
  <c r="E1365" i="2"/>
  <c r="I1365" i="2"/>
  <c r="J1365" i="2"/>
  <c r="E1366" i="2"/>
  <c r="I1366" i="2"/>
  <c r="J1366" i="2"/>
  <c r="E1367" i="2"/>
  <c r="I1367" i="2"/>
  <c r="J1367" i="2"/>
  <c r="E1368" i="2"/>
  <c r="I1368" i="2"/>
  <c r="J1368" i="2"/>
  <c r="E1369" i="2"/>
  <c r="I1369" i="2"/>
  <c r="J1369" i="2"/>
  <c r="E1370" i="2"/>
  <c r="F1370" i="2"/>
  <c r="I1370" i="2"/>
  <c r="J1370" i="2"/>
  <c r="E1371" i="2"/>
  <c r="I1371" i="2"/>
  <c r="J1371" i="2"/>
  <c r="E1372" i="2"/>
  <c r="I1372" i="2"/>
  <c r="J1372" i="2"/>
  <c r="E1373" i="2"/>
  <c r="F1373" i="2"/>
  <c r="I1373" i="2"/>
  <c r="E1374" i="2"/>
  <c r="F1374" i="2"/>
  <c r="I1374" i="2"/>
  <c r="E1375" i="2"/>
  <c r="F1375" i="2"/>
  <c r="I1375" i="2"/>
  <c r="E1376" i="2"/>
  <c r="F1376" i="2"/>
  <c r="I1376" i="2"/>
  <c r="E1377" i="2"/>
  <c r="F1377" i="2"/>
  <c r="I1377" i="2"/>
  <c r="E1378" i="2"/>
  <c r="F1378" i="2"/>
  <c r="I1378" i="2"/>
  <c r="E1379" i="2"/>
  <c r="F1379" i="2"/>
  <c r="I1379" i="2"/>
  <c r="J1379" i="2"/>
  <c r="E1380" i="2"/>
  <c r="I1380" i="2"/>
  <c r="E1381" i="2"/>
  <c r="I1381" i="2"/>
  <c r="E1382" i="2"/>
  <c r="F1382" i="2"/>
  <c r="I1382" i="2"/>
  <c r="E1383" i="2"/>
  <c r="I1383" i="2"/>
  <c r="E1384" i="2"/>
  <c r="I1384" i="2"/>
  <c r="E1385" i="2"/>
  <c r="F1385" i="2"/>
  <c r="I1385" i="2"/>
  <c r="E1386" i="2"/>
  <c r="F1386" i="2"/>
  <c r="I1386" i="2"/>
  <c r="E1387" i="2"/>
  <c r="I1387" i="2"/>
  <c r="E1388" i="2"/>
  <c r="F1388" i="2"/>
  <c r="I1388" i="2"/>
  <c r="J1388" i="2"/>
  <c r="E1389" i="2"/>
  <c r="F1389" i="2"/>
  <c r="I1389" i="2"/>
  <c r="J1389" i="2"/>
  <c r="E1390" i="2"/>
  <c r="F1390" i="2"/>
  <c r="I1390" i="2"/>
  <c r="E1391" i="2"/>
  <c r="F1391" i="2"/>
  <c r="I1391" i="2"/>
  <c r="J1391" i="2"/>
  <c r="E1392" i="2"/>
  <c r="F1392" i="2"/>
  <c r="I1392" i="2"/>
  <c r="E1393" i="2"/>
  <c r="F1393" i="2"/>
  <c r="I1393" i="2"/>
  <c r="E1394" i="2"/>
  <c r="F1394" i="2"/>
  <c r="I1394" i="2"/>
  <c r="J1394" i="2"/>
  <c r="E1395" i="2"/>
  <c r="F1395" i="2"/>
  <c r="I1395" i="2"/>
  <c r="J1395" i="2"/>
  <c r="E1396" i="2"/>
  <c r="F1396" i="2"/>
  <c r="I1396" i="2"/>
  <c r="J1396" i="2"/>
  <c r="E1397" i="2"/>
  <c r="F1397" i="2"/>
  <c r="I1397" i="2"/>
  <c r="E1398" i="2"/>
  <c r="F1398" i="2"/>
  <c r="I1398" i="2"/>
  <c r="E1399" i="2"/>
  <c r="F1399" i="2"/>
  <c r="I1399" i="2"/>
  <c r="E1400" i="2"/>
  <c r="F1400" i="2"/>
  <c r="I1400" i="2"/>
  <c r="J1400" i="2"/>
  <c r="E1401" i="2"/>
  <c r="F1401" i="2"/>
  <c r="I1401" i="2"/>
  <c r="E1402" i="2"/>
  <c r="F1402" i="2"/>
  <c r="I1402" i="2"/>
  <c r="E1403" i="2"/>
  <c r="F1403" i="2"/>
  <c r="I1403" i="2"/>
  <c r="J1403" i="2"/>
  <c r="E1404" i="2"/>
  <c r="F1404" i="2"/>
  <c r="I1404" i="2"/>
  <c r="E1405" i="2"/>
  <c r="I1405" i="2"/>
  <c r="J1405" i="2"/>
  <c r="E1406" i="2"/>
  <c r="F1406" i="2"/>
  <c r="I1406" i="2"/>
  <c r="E1407" i="2"/>
  <c r="F1407" i="2"/>
  <c r="I1407" i="2"/>
  <c r="E1408" i="2"/>
  <c r="F1408" i="2"/>
  <c r="I1408" i="2"/>
  <c r="J1408" i="2"/>
  <c r="E1409" i="2"/>
  <c r="I1409" i="2"/>
  <c r="J1409" i="2"/>
  <c r="E1410" i="2"/>
  <c r="I1410" i="2"/>
  <c r="J1410" i="2"/>
  <c r="E1411" i="2"/>
  <c r="F1411" i="2"/>
  <c r="I1411" i="2"/>
  <c r="J1411" i="2"/>
  <c r="E1412" i="2"/>
  <c r="F1412" i="2"/>
  <c r="I1412" i="2"/>
  <c r="J1412" i="2"/>
  <c r="E1413" i="2"/>
  <c r="F1413" i="2"/>
  <c r="I1413" i="2"/>
  <c r="E1414" i="2"/>
  <c r="F1414" i="2"/>
  <c r="I1414" i="2"/>
  <c r="E1415" i="2"/>
  <c r="F1415" i="2"/>
  <c r="I1415" i="2"/>
  <c r="E1416" i="2"/>
  <c r="F1416" i="2"/>
  <c r="I1416" i="2"/>
  <c r="E1417" i="2"/>
  <c r="F1417" i="2"/>
  <c r="I1417" i="2"/>
  <c r="E1418" i="2"/>
  <c r="F1418" i="2"/>
  <c r="I1418" i="2"/>
  <c r="E1419" i="2"/>
  <c r="F1419" i="2"/>
  <c r="I1419" i="2"/>
  <c r="E1420" i="2"/>
  <c r="F1420" i="2"/>
  <c r="I1420" i="2"/>
  <c r="E1421" i="2"/>
  <c r="F1421" i="2"/>
  <c r="I1421" i="2"/>
  <c r="J1421" i="2"/>
  <c r="E1422" i="2"/>
  <c r="F1422" i="2"/>
  <c r="I1422" i="2"/>
  <c r="J1422" i="2"/>
  <c r="E1423" i="2"/>
  <c r="F1423" i="2"/>
  <c r="I1423" i="2"/>
  <c r="J1423" i="2"/>
  <c r="E1424" i="2"/>
  <c r="F1424" i="2"/>
  <c r="I1424" i="2"/>
  <c r="E1425" i="2"/>
  <c r="F1425" i="2"/>
  <c r="I1425" i="2"/>
  <c r="J1425" i="2"/>
  <c r="E1426" i="2"/>
  <c r="I1426" i="2"/>
  <c r="J1426" i="2"/>
  <c r="E1427" i="2"/>
  <c r="F1427" i="2"/>
  <c r="I1427" i="2"/>
  <c r="J1427" i="2"/>
  <c r="E1428" i="2"/>
  <c r="F1428" i="2"/>
  <c r="I1428" i="2"/>
  <c r="J1428" i="2"/>
  <c r="E1429" i="2"/>
  <c r="F1429" i="2"/>
  <c r="I1429" i="2"/>
  <c r="J1429" i="2"/>
  <c r="E1430" i="2"/>
  <c r="F1430" i="2"/>
  <c r="I1430" i="2"/>
  <c r="E1431" i="2"/>
  <c r="F1431" i="2"/>
  <c r="I1431" i="2"/>
  <c r="E1432" i="2"/>
  <c r="F1432" i="2"/>
  <c r="I1432" i="2"/>
  <c r="J1432" i="2"/>
  <c r="E1433" i="2"/>
  <c r="I1433" i="2"/>
  <c r="J1433" i="2"/>
  <c r="E1434" i="2"/>
  <c r="F1434" i="2"/>
  <c r="I1434" i="2"/>
  <c r="E1435" i="2"/>
  <c r="F1435" i="2"/>
  <c r="I1435" i="2"/>
  <c r="E1436" i="2"/>
  <c r="F1436" i="2"/>
  <c r="I1436" i="2"/>
  <c r="J1436" i="2"/>
  <c r="E1437" i="2"/>
  <c r="F1437" i="2"/>
  <c r="I1437" i="2"/>
  <c r="J1437" i="2"/>
  <c r="E1438" i="2"/>
  <c r="I1438" i="2"/>
  <c r="J1438" i="2"/>
  <c r="E1439" i="2"/>
  <c r="I1439" i="2"/>
  <c r="E1440" i="2"/>
  <c r="F1440" i="2"/>
  <c r="I1440" i="2"/>
  <c r="E1441" i="2"/>
  <c r="F1441" i="2"/>
  <c r="I1441" i="2"/>
  <c r="E1442" i="2"/>
  <c r="F1442" i="2"/>
  <c r="I1442" i="2"/>
  <c r="J1442" i="2"/>
  <c r="E1443" i="2"/>
  <c r="F1443" i="2"/>
  <c r="I1443" i="2"/>
  <c r="J1443" i="2"/>
  <c r="E1444" i="2"/>
  <c r="F1444" i="2"/>
  <c r="I1444" i="2"/>
  <c r="E1445" i="2"/>
  <c r="I1445" i="2"/>
  <c r="J1445" i="2"/>
  <c r="E1446" i="2"/>
  <c r="F1446" i="2"/>
  <c r="I1446" i="2"/>
  <c r="J1446" i="2"/>
  <c r="E1447" i="2"/>
  <c r="F1447" i="2"/>
  <c r="I1447" i="2"/>
  <c r="J1447" i="2"/>
  <c r="E1448" i="2"/>
  <c r="F1448" i="2"/>
  <c r="I1448" i="2"/>
  <c r="J1448" i="2"/>
  <c r="E1449" i="2"/>
  <c r="F1449" i="2"/>
  <c r="I1449" i="2"/>
  <c r="J1449" i="2"/>
  <c r="E1450" i="2"/>
  <c r="F1450" i="2"/>
  <c r="I1450" i="2"/>
  <c r="J1450" i="2"/>
  <c r="E1451" i="2"/>
  <c r="F1451" i="2"/>
  <c r="I1451" i="2"/>
  <c r="E1452" i="2"/>
  <c r="F1452" i="2"/>
  <c r="I1452" i="2"/>
  <c r="E1453" i="2"/>
  <c r="I1453" i="2"/>
  <c r="J1453" i="2"/>
  <c r="E1454" i="2"/>
  <c r="F1454" i="2"/>
  <c r="I1454" i="2"/>
  <c r="J1454" i="2"/>
  <c r="E1455" i="2"/>
  <c r="F1455" i="2"/>
  <c r="I1455" i="2"/>
  <c r="J1455" i="2"/>
  <c r="E1456" i="2"/>
  <c r="F1456" i="2"/>
  <c r="I1456" i="2"/>
  <c r="J1456" i="2"/>
  <c r="E1457" i="2"/>
  <c r="F1457" i="2"/>
  <c r="I1457" i="2"/>
  <c r="J1457" i="2"/>
  <c r="E1458" i="2"/>
  <c r="I1458" i="2"/>
  <c r="J1458" i="2"/>
  <c r="E1459" i="2"/>
  <c r="I1459" i="2"/>
  <c r="E1460" i="2"/>
  <c r="F1460" i="2"/>
  <c r="I1460" i="2"/>
  <c r="J1460" i="2"/>
  <c r="E1461" i="2"/>
  <c r="I1461" i="2"/>
  <c r="J1461" i="2"/>
  <c r="E1462" i="2"/>
  <c r="I1462" i="2"/>
  <c r="J1462" i="2"/>
  <c r="E1463" i="2"/>
  <c r="I1463" i="2"/>
  <c r="J1463" i="2"/>
  <c r="E1464" i="2"/>
  <c r="I1464" i="2"/>
  <c r="J1464" i="2"/>
  <c r="E1465" i="2"/>
  <c r="F1465" i="2"/>
  <c r="I1465" i="2"/>
  <c r="J1465" i="2"/>
  <c r="E1466" i="2"/>
  <c r="F1466" i="2"/>
  <c r="I1466" i="2"/>
  <c r="J1466" i="2"/>
  <c r="E1467" i="2"/>
  <c r="I1467" i="2"/>
  <c r="J1467" i="2"/>
  <c r="E1468" i="2"/>
  <c r="I1468" i="2"/>
  <c r="E1469" i="2"/>
  <c r="F1469" i="2"/>
  <c r="I1469" i="2"/>
  <c r="J1469" i="2"/>
  <c r="E1470" i="2"/>
  <c r="I1470" i="2"/>
  <c r="J1470" i="2"/>
  <c r="E1471" i="2"/>
  <c r="F1471" i="2"/>
  <c r="I1471" i="2"/>
  <c r="J1471" i="2"/>
  <c r="E1472" i="2"/>
  <c r="F1472" i="2"/>
  <c r="I1472" i="2"/>
  <c r="J1472" i="2"/>
  <c r="E1473" i="2"/>
  <c r="F1473" i="2"/>
  <c r="I1473" i="2"/>
  <c r="E1474" i="2"/>
  <c r="F1474" i="2"/>
  <c r="I1474" i="2"/>
  <c r="J1474" i="2"/>
  <c r="E1475" i="2"/>
  <c r="F1475" i="2"/>
  <c r="I1475" i="2"/>
  <c r="J1475" i="2"/>
  <c r="E1476" i="2"/>
  <c r="I1476" i="2"/>
  <c r="E1477" i="2"/>
  <c r="I1477" i="2"/>
  <c r="J1477" i="2"/>
  <c r="E1478" i="2"/>
  <c r="F1478" i="2"/>
  <c r="I1478" i="2"/>
  <c r="E1479" i="2"/>
  <c r="F1479" i="2"/>
  <c r="I1479" i="2"/>
  <c r="J1479" i="2"/>
  <c r="E1480" i="2"/>
  <c r="F1480" i="2"/>
  <c r="I1480" i="2"/>
  <c r="E1481" i="2"/>
  <c r="F1481" i="2"/>
  <c r="I1481" i="2"/>
  <c r="E1482" i="2"/>
  <c r="F1482" i="2"/>
  <c r="I1482" i="2"/>
  <c r="E1483" i="2"/>
  <c r="F1483" i="2"/>
  <c r="I1483" i="2"/>
  <c r="E1484" i="2"/>
  <c r="F1484" i="2"/>
  <c r="I1484" i="2"/>
  <c r="E1485" i="2"/>
  <c r="F1485" i="2"/>
  <c r="I1485" i="2"/>
  <c r="E1486" i="2"/>
  <c r="F1486" i="2"/>
  <c r="I1486" i="2"/>
  <c r="E1487" i="2"/>
  <c r="F1487" i="2"/>
  <c r="I1487" i="2"/>
  <c r="E1488" i="2"/>
  <c r="F1488" i="2"/>
  <c r="I1488" i="2"/>
  <c r="J1488" i="2"/>
  <c r="E1489" i="2"/>
  <c r="F1489" i="2"/>
  <c r="I1489" i="2"/>
  <c r="E1490" i="2"/>
  <c r="F1490" i="2"/>
  <c r="I1490" i="2"/>
  <c r="E1491" i="2"/>
  <c r="F1491" i="2"/>
  <c r="I1491" i="2"/>
  <c r="E1492" i="2"/>
  <c r="F1492" i="2"/>
  <c r="I1492" i="2"/>
  <c r="J1492" i="2"/>
  <c r="E1493" i="2"/>
  <c r="F1493" i="2"/>
  <c r="I1493" i="2"/>
  <c r="E1494" i="2"/>
  <c r="F1494" i="2"/>
  <c r="I1494" i="2"/>
  <c r="E1495" i="2"/>
  <c r="F1495" i="2"/>
  <c r="I1495" i="2"/>
  <c r="J1495" i="2"/>
  <c r="E1496" i="2"/>
  <c r="F1496" i="2"/>
  <c r="I1496" i="2"/>
  <c r="J1496" i="2"/>
  <c r="E1497" i="2"/>
  <c r="F1497" i="2"/>
  <c r="I1497" i="2"/>
  <c r="E1498" i="2"/>
  <c r="I1498" i="2"/>
  <c r="J1498" i="2"/>
  <c r="E1499" i="2"/>
  <c r="F1499" i="2"/>
  <c r="I1499" i="2"/>
  <c r="E1500" i="2"/>
  <c r="I1500" i="2"/>
  <c r="J1500" i="2"/>
  <c r="E1501" i="2"/>
  <c r="I1501" i="2"/>
  <c r="J1501" i="2"/>
  <c r="E1502" i="2"/>
  <c r="I1502" i="2"/>
  <c r="J1502" i="2"/>
  <c r="E1503" i="2"/>
  <c r="I1503" i="2"/>
  <c r="J1503" i="2"/>
  <c r="E1504" i="2"/>
  <c r="F1504" i="2"/>
  <c r="I1504" i="2"/>
  <c r="E1505" i="2"/>
  <c r="F1505" i="2"/>
  <c r="I1505" i="2"/>
  <c r="E1506" i="2"/>
  <c r="F1506" i="2"/>
  <c r="I1506" i="2"/>
  <c r="E1507" i="2"/>
  <c r="F1507" i="2"/>
  <c r="I1507" i="2"/>
  <c r="E1508" i="2"/>
  <c r="F1508" i="2"/>
  <c r="I1508" i="2"/>
  <c r="E1509" i="2"/>
  <c r="I1509" i="2"/>
  <c r="J1509" i="2"/>
  <c r="E1510" i="2"/>
  <c r="I1510" i="2"/>
  <c r="J1510" i="2"/>
  <c r="E1511" i="2"/>
  <c r="F1511" i="2"/>
  <c r="I1511" i="2"/>
  <c r="E1512" i="2"/>
  <c r="F1512" i="2"/>
  <c r="I1512" i="2"/>
  <c r="E1513" i="2"/>
  <c r="F1513" i="2"/>
  <c r="I1513" i="2"/>
  <c r="E1514" i="2"/>
  <c r="F1514" i="2"/>
  <c r="I1514" i="2"/>
  <c r="E1515" i="2"/>
  <c r="F1515" i="2"/>
  <c r="I1515" i="2"/>
  <c r="J1515" i="2"/>
  <c r="E1516" i="2"/>
  <c r="F1516" i="2"/>
  <c r="I1516" i="2"/>
  <c r="J1516" i="2"/>
  <c r="E1517" i="2"/>
  <c r="I1517" i="2"/>
  <c r="E1518" i="2"/>
  <c r="F1518" i="2"/>
  <c r="I1518" i="2"/>
  <c r="J1518" i="2"/>
  <c r="E1519" i="2"/>
  <c r="I1519" i="2"/>
  <c r="J1519" i="2"/>
  <c r="E1520" i="2"/>
  <c r="I1520" i="2"/>
  <c r="J1520" i="2"/>
  <c r="E1521" i="2"/>
  <c r="F1521" i="2"/>
  <c r="I1521" i="2"/>
  <c r="J1521" i="2"/>
  <c r="E1522" i="2"/>
  <c r="I1522" i="2"/>
  <c r="J1522" i="2"/>
  <c r="E1523" i="2"/>
  <c r="F1523" i="2"/>
  <c r="I1523" i="2"/>
  <c r="J1523" i="2"/>
  <c r="E1524" i="2"/>
  <c r="F1524" i="2"/>
  <c r="I1524" i="2"/>
  <c r="J1524" i="2"/>
  <c r="E1525" i="2"/>
  <c r="I1525" i="2"/>
  <c r="J1525" i="2"/>
  <c r="E1526" i="2"/>
  <c r="I1526" i="2"/>
  <c r="J1526" i="2"/>
  <c r="E1527" i="2"/>
  <c r="I1527" i="2"/>
  <c r="J1527" i="2"/>
  <c r="E1528" i="2"/>
  <c r="F1528" i="2"/>
  <c r="I1528" i="2"/>
  <c r="J1528" i="2"/>
  <c r="E1529" i="2"/>
  <c r="I1529" i="2"/>
  <c r="J1529" i="2"/>
  <c r="E1530" i="2"/>
  <c r="I1530" i="2"/>
  <c r="J1530" i="2"/>
  <c r="E1531" i="2"/>
  <c r="I1531" i="2"/>
  <c r="J1531" i="2"/>
  <c r="E1532" i="2"/>
  <c r="I1532" i="2"/>
  <c r="J1532" i="2"/>
  <c r="E1533" i="2"/>
  <c r="F1533" i="2"/>
  <c r="I1533" i="2"/>
  <c r="J1533" i="2"/>
  <c r="E1534" i="2"/>
  <c r="F1534" i="2"/>
  <c r="I1534" i="2"/>
  <c r="J1534" i="2"/>
  <c r="E1535" i="2"/>
  <c r="I1535" i="2"/>
  <c r="J1535" i="2"/>
  <c r="E1536" i="2"/>
  <c r="I1536" i="2"/>
  <c r="J1536" i="2"/>
  <c r="E1537" i="2"/>
  <c r="F1537" i="2"/>
  <c r="I1537" i="2"/>
  <c r="J1537" i="2"/>
  <c r="E1538" i="2"/>
  <c r="I1538" i="2"/>
  <c r="J1538" i="2"/>
  <c r="E1539" i="2"/>
  <c r="F1539" i="2"/>
  <c r="I1539" i="2"/>
  <c r="E1540" i="2"/>
  <c r="F1540" i="2"/>
  <c r="I1540" i="2"/>
  <c r="J1540" i="2"/>
  <c r="E1541" i="2"/>
  <c r="I1541" i="2"/>
  <c r="J1541" i="2"/>
  <c r="E1542" i="2"/>
  <c r="I1542" i="2"/>
  <c r="J1542" i="2"/>
  <c r="E1543" i="2"/>
  <c r="I1543" i="2"/>
  <c r="J1543" i="2"/>
  <c r="E1544" i="2"/>
  <c r="I1544" i="2"/>
  <c r="J1544" i="2"/>
  <c r="E1545" i="2"/>
  <c r="I1545" i="2"/>
  <c r="E1546" i="2"/>
  <c r="F1546" i="2"/>
  <c r="I1546" i="2"/>
  <c r="J1546" i="2"/>
  <c r="E1547" i="2"/>
  <c r="I1547" i="2"/>
  <c r="E1548" i="2"/>
  <c r="F1548" i="2"/>
  <c r="I1548" i="2"/>
  <c r="E1549" i="2"/>
  <c r="F1549" i="2"/>
  <c r="I1549" i="2"/>
  <c r="E1550" i="2"/>
  <c r="F1550" i="2"/>
  <c r="I1550" i="2"/>
  <c r="E1551" i="2"/>
  <c r="F1551" i="2"/>
  <c r="I1551" i="2"/>
  <c r="E1552" i="2"/>
  <c r="F1552" i="2"/>
  <c r="I1552" i="2"/>
  <c r="E1553" i="2"/>
  <c r="F1553" i="2"/>
  <c r="I1553" i="2"/>
  <c r="E1554" i="2"/>
  <c r="F1554" i="2"/>
  <c r="I1554" i="2"/>
  <c r="E1555" i="2"/>
  <c r="F1555" i="2"/>
  <c r="I1555" i="2"/>
  <c r="E1556" i="2"/>
  <c r="F1556" i="2"/>
  <c r="I1556" i="2"/>
  <c r="E1557" i="2"/>
  <c r="F1557" i="2"/>
  <c r="I1557" i="2"/>
  <c r="E1558" i="2"/>
  <c r="I1558" i="2"/>
  <c r="E1559" i="2"/>
  <c r="I1559" i="2"/>
  <c r="E1560" i="2"/>
  <c r="I1560" i="2"/>
  <c r="E1561" i="2"/>
  <c r="I1561" i="2"/>
  <c r="E1562" i="2"/>
  <c r="I1562" i="2"/>
  <c r="E1563" i="2"/>
  <c r="I1563" i="2"/>
  <c r="J1563" i="2"/>
  <c r="E1564" i="2"/>
  <c r="F1564" i="2"/>
  <c r="I1564" i="2"/>
  <c r="J1564" i="2"/>
  <c r="E1565" i="2"/>
  <c r="I1565" i="2"/>
  <c r="J1565" i="2"/>
  <c r="E1566" i="2"/>
  <c r="F1566" i="2"/>
  <c r="I1566" i="2"/>
  <c r="E1567" i="2"/>
  <c r="F1567" i="2"/>
  <c r="I1567" i="2"/>
  <c r="E1568" i="2"/>
  <c r="F1568" i="2"/>
  <c r="I1568" i="2"/>
  <c r="E1569" i="2"/>
  <c r="F1569" i="2"/>
  <c r="I1569" i="2"/>
  <c r="E1570" i="2"/>
  <c r="F1570" i="2"/>
  <c r="I1570" i="2"/>
  <c r="J1570" i="2"/>
  <c r="E1571" i="2"/>
  <c r="I1571" i="2"/>
  <c r="J1571" i="2"/>
  <c r="E1572" i="2"/>
  <c r="I1572" i="2"/>
  <c r="J1572" i="2"/>
  <c r="E1573" i="2"/>
  <c r="I1573" i="2"/>
  <c r="E1574" i="2"/>
  <c r="I1574" i="2"/>
  <c r="E1575" i="2"/>
  <c r="I1575" i="2"/>
  <c r="E1576" i="2"/>
  <c r="I1576" i="2"/>
  <c r="E1577" i="2"/>
  <c r="F1577" i="2"/>
  <c r="I1577" i="2"/>
  <c r="E1578" i="2"/>
  <c r="I1578" i="2"/>
  <c r="J1578" i="2"/>
  <c r="E1579" i="2"/>
  <c r="I1579" i="2"/>
  <c r="J1579" i="2"/>
  <c r="E1580" i="2"/>
  <c r="F1580" i="2"/>
  <c r="I1580" i="2"/>
  <c r="E1581" i="2"/>
  <c r="F1581" i="2"/>
  <c r="I1581" i="2"/>
  <c r="E1582" i="2"/>
  <c r="I1582" i="2"/>
  <c r="J1582" i="2"/>
  <c r="E1583" i="2"/>
  <c r="I1583" i="2"/>
  <c r="J1583" i="2"/>
  <c r="E1584" i="2"/>
  <c r="I1584" i="2"/>
  <c r="J1584" i="2"/>
  <c r="E1585" i="2"/>
  <c r="I1585" i="2"/>
  <c r="J1585" i="2"/>
  <c r="E1586" i="2"/>
  <c r="F1586" i="2"/>
  <c r="I1586" i="2"/>
  <c r="J1586" i="2"/>
  <c r="E1587" i="2"/>
  <c r="I1587" i="2"/>
  <c r="J1587" i="2"/>
  <c r="E1588" i="2"/>
  <c r="F1588" i="2"/>
  <c r="I1588" i="2"/>
  <c r="J1588" i="2"/>
  <c r="E1589" i="2"/>
  <c r="I1589" i="2"/>
  <c r="J1589" i="2"/>
  <c r="E1590" i="2"/>
  <c r="I1590" i="2"/>
  <c r="J1590" i="2"/>
  <c r="E1591" i="2"/>
  <c r="I1591" i="2"/>
  <c r="J1591" i="2"/>
  <c r="E1592" i="2"/>
  <c r="F1592" i="2"/>
  <c r="I1592" i="2"/>
  <c r="E1593" i="2"/>
  <c r="F1593" i="2"/>
  <c r="I1593" i="2"/>
  <c r="E1594" i="2"/>
  <c r="F1594" i="2"/>
  <c r="I1594" i="2"/>
  <c r="E1595" i="2"/>
  <c r="I1595" i="2"/>
  <c r="J1595" i="2"/>
  <c r="E1596" i="2"/>
  <c r="F1596" i="2"/>
  <c r="I1596" i="2"/>
  <c r="J1596" i="2"/>
  <c r="E1597" i="2"/>
  <c r="I1597" i="2"/>
  <c r="J1597" i="2"/>
  <c r="E1598" i="2"/>
  <c r="F1598" i="2"/>
  <c r="I1598" i="2"/>
  <c r="J1598" i="2"/>
  <c r="E1599" i="2"/>
  <c r="I1599" i="2"/>
  <c r="J1599" i="2"/>
  <c r="E1600" i="2"/>
  <c r="I1600" i="2"/>
  <c r="J1600" i="2"/>
  <c r="E1601" i="2"/>
  <c r="I1601" i="2"/>
  <c r="J1601" i="2"/>
  <c r="E1602" i="2"/>
  <c r="F1602" i="2"/>
  <c r="I1602" i="2"/>
  <c r="J1602" i="2"/>
  <c r="E1603" i="2"/>
  <c r="F1603" i="2"/>
  <c r="I1603" i="2"/>
  <c r="J1603" i="2"/>
  <c r="E1604" i="2"/>
  <c r="I1604" i="2"/>
  <c r="J1604" i="2"/>
  <c r="E1605" i="2"/>
  <c r="I1605" i="2"/>
  <c r="J1605" i="2"/>
  <c r="E1606" i="2"/>
  <c r="I1606" i="2"/>
  <c r="J1606" i="2"/>
  <c r="E1607" i="2"/>
  <c r="I1607" i="2"/>
  <c r="J1607" i="2"/>
  <c r="E1608" i="2"/>
  <c r="I1608" i="2"/>
  <c r="J1608" i="2"/>
  <c r="E1609" i="2"/>
  <c r="I1609" i="2"/>
  <c r="J1609" i="2"/>
  <c r="E1610" i="2"/>
  <c r="I1610" i="2"/>
  <c r="J1610" i="2"/>
  <c r="E1611" i="2"/>
  <c r="I1611" i="2"/>
  <c r="J1611" i="2"/>
  <c r="E1612" i="2"/>
  <c r="I1612" i="2"/>
  <c r="E1613" i="2"/>
  <c r="F1613" i="2"/>
  <c r="I1613" i="2"/>
  <c r="E1614" i="2"/>
  <c r="F1614" i="2"/>
  <c r="I1614" i="2"/>
  <c r="E1615" i="2"/>
  <c r="F1615" i="2"/>
  <c r="I1615" i="2"/>
  <c r="E1616" i="2"/>
  <c r="I1616" i="2"/>
  <c r="J1616" i="2"/>
  <c r="E1617" i="2"/>
  <c r="F1617" i="2"/>
  <c r="I1617" i="2"/>
  <c r="J1617" i="2"/>
  <c r="E1618" i="2"/>
  <c r="F1618" i="2"/>
  <c r="I1618" i="2"/>
  <c r="J1618" i="2"/>
  <c r="E1619" i="2"/>
  <c r="F1619" i="2"/>
  <c r="I1619" i="2"/>
  <c r="J1619" i="2"/>
  <c r="E1620" i="2"/>
  <c r="F1620" i="2"/>
  <c r="I1620" i="2"/>
  <c r="J1620" i="2"/>
  <c r="E1621" i="2"/>
  <c r="F1621" i="2"/>
  <c r="I1621" i="2"/>
  <c r="J1621" i="2"/>
  <c r="E1622" i="2"/>
  <c r="I1622" i="2"/>
  <c r="J1622" i="2"/>
  <c r="E1623" i="2"/>
  <c r="I1623" i="2"/>
  <c r="J1623" i="2"/>
  <c r="E1624" i="2"/>
  <c r="I1624" i="2"/>
  <c r="J1624" i="2"/>
  <c r="E1625" i="2"/>
  <c r="F1625" i="2"/>
  <c r="I1625" i="2"/>
  <c r="J1625" i="2"/>
  <c r="E1626" i="2"/>
  <c r="F1626" i="2"/>
  <c r="I1626" i="2"/>
  <c r="J1626" i="2"/>
  <c r="E1627" i="2"/>
  <c r="F1627" i="2"/>
  <c r="I1627" i="2"/>
  <c r="J1627" i="2"/>
  <c r="E1628" i="2"/>
  <c r="F1628" i="2"/>
  <c r="I1628" i="2"/>
  <c r="J1628" i="2"/>
  <c r="E1629" i="2"/>
  <c r="F1629" i="2"/>
  <c r="I1629" i="2"/>
  <c r="J1629" i="2"/>
  <c r="E1630" i="2"/>
  <c r="I1630" i="2"/>
  <c r="J1630" i="2"/>
  <c r="E1631" i="2"/>
  <c r="F1631" i="2"/>
  <c r="I1631" i="2"/>
  <c r="E1632" i="2"/>
  <c r="F1632" i="2"/>
  <c r="I1632" i="2"/>
  <c r="J1632" i="2"/>
  <c r="E1633" i="2"/>
  <c r="F1633" i="2"/>
  <c r="I1633" i="2"/>
  <c r="J1633" i="2"/>
  <c r="E1634" i="2"/>
  <c r="I1634" i="2"/>
  <c r="E1635" i="2"/>
  <c r="I1635" i="2"/>
  <c r="J1635" i="2"/>
  <c r="E1636" i="2"/>
  <c r="I1636" i="2"/>
  <c r="J1636" i="2"/>
  <c r="E1637" i="2"/>
  <c r="F1637" i="2"/>
  <c r="I1637" i="2"/>
  <c r="J1637" i="2"/>
  <c r="E1638" i="2"/>
  <c r="F1638" i="2"/>
  <c r="I1638" i="2"/>
  <c r="E1639" i="2"/>
  <c r="I1639" i="2"/>
  <c r="J1639" i="2"/>
  <c r="E1640" i="2"/>
  <c r="I1640" i="2"/>
  <c r="J1640" i="2"/>
  <c r="E1641" i="2"/>
  <c r="I1641" i="2"/>
  <c r="J1641" i="2"/>
  <c r="E1642" i="2"/>
  <c r="I1642" i="2"/>
  <c r="J1642" i="2"/>
  <c r="E1643" i="2"/>
  <c r="F1643" i="2"/>
  <c r="I1643" i="2"/>
  <c r="J1643" i="2"/>
  <c r="E1644" i="2"/>
  <c r="I1644" i="2"/>
  <c r="E1645" i="2"/>
  <c r="I1645" i="2"/>
  <c r="E1646" i="2"/>
  <c r="I1646" i="2"/>
  <c r="J1646" i="2"/>
  <c r="E1647" i="2"/>
  <c r="I1647" i="2"/>
  <c r="J1647" i="2"/>
  <c r="E1648" i="2"/>
  <c r="I1648" i="2"/>
  <c r="J1648" i="2"/>
  <c r="E1649" i="2"/>
  <c r="I1649" i="2"/>
  <c r="J1649" i="2"/>
  <c r="E1650" i="2"/>
  <c r="I1650" i="2"/>
  <c r="J1650" i="2"/>
  <c r="E1651" i="2"/>
  <c r="I1651" i="2"/>
  <c r="J1651" i="2"/>
  <c r="E1652" i="2"/>
  <c r="I1652" i="2"/>
  <c r="J1652" i="2"/>
  <c r="E1653" i="2"/>
  <c r="I1653" i="2"/>
  <c r="J1653" i="2"/>
  <c r="E1654" i="2"/>
  <c r="I1654" i="2"/>
  <c r="J1654" i="2"/>
  <c r="E1655" i="2"/>
  <c r="I1655" i="2"/>
  <c r="J1655" i="2"/>
  <c r="E1656" i="2"/>
  <c r="I1656" i="2"/>
  <c r="J1656" i="2"/>
  <c r="E1657" i="2"/>
  <c r="I1657" i="2"/>
  <c r="J1657" i="2"/>
  <c r="E1658" i="2"/>
  <c r="I1658" i="2"/>
  <c r="J1658" i="2"/>
  <c r="E1659" i="2"/>
  <c r="I1659" i="2"/>
  <c r="J1659" i="2"/>
  <c r="E1660" i="2"/>
  <c r="I1660" i="2"/>
  <c r="J1660" i="2"/>
  <c r="E1661" i="2"/>
  <c r="I1661" i="2"/>
  <c r="J1661" i="2"/>
  <c r="E1662" i="2"/>
  <c r="I1662" i="2"/>
  <c r="J1662" i="2"/>
  <c r="E1663" i="2"/>
  <c r="I1663" i="2"/>
  <c r="E1664" i="2"/>
  <c r="F1664" i="2"/>
  <c r="I1664" i="2"/>
  <c r="E1665" i="2"/>
  <c r="F1665" i="2"/>
  <c r="I1665" i="2"/>
  <c r="E1666" i="2"/>
  <c r="I1666" i="2"/>
  <c r="J1666" i="2"/>
  <c r="E1667" i="2"/>
  <c r="F1667" i="2"/>
  <c r="I1667" i="2"/>
  <c r="E1668" i="2"/>
  <c r="I1668" i="2"/>
  <c r="J1668" i="2"/>
  <c r="E1669" i="2"/>
  <c r="I1669" i="2"/>
  <c r="J1669" i="2"/>
  <c r="E1670" i="2"/>
  <c r="F1670" i="2"/>
  <c r="I1670" i="2"/>
  <c r="E1671" i="2"/>
  <c r="F1671" i="2"/>
  <c r="I1671" i="2"/>
  <c r="E1672" i="2"/>
  <c r="I1672" i="2"/>
  <c r="J1672" i="2"/>
  <c r="E1673" i="2"/>
  <c r="I1673" i="2"/>
  <c r="E1674" i="2"/>
  <c r="I1674" i="2"/>
  <c r="E1675" i="2"/>
  <c r="I1675" i="2"/>
  <c r="J1675" i="2"/>
  <c r="E1676" i="2"/>
  <c r="F1676" i="2"/>
  <c r="I1676" i="2"/>
  <c r="J1676" i="2"/>
  <c r="E1677" i="2"/>
  <c r="F1677" i="2"/>
  <c r="I1677" i="2"/>
  <c r="E1678" i="2"/>
  <c r="F1678" i="2"/>
  <c r="I1678" i="2"/>
  <c r="J1678" i="2"/>
  <c r="E1679" i="2"/>
  <c r="F1679" i="2"/>
  <c r="I1679" i="2"/>
  <c r="J1679" i="2"/>
  <c r="E1680" i="2"/>
  <c r="F1680" i="2"/>
  <c r="I1680" i="2"/>
  <c r="J1680" i="2"/>
  <c r="E1681" i="2"/>
  <c r="F1681" i="2"/>
  <c r="I1681" i="2"/>
  <c r="J1681" i="2"/>
  <c r="E1682" i="2"/>
  <c r="F1682" i="2"/>
  <c r="I1682" i="2"/>
  <c r="J1682" i="2"/>
  <c r="E1683" i="2"/>
  <c r="I1683" i="2"/>
  <c r="J1683" i="2"/>
  <c r="E1684" i="2"/>
  <c r="I1684" i="2"/>
  <c r="J1684" i="2"/>
  <c r="E1685" i="2"/>
  <c r="F1685" i="2"/>
  <c r="I1685" i="2"/>
  <c r="J1685" i="2"/>
  <c r="E1686" i="2"/>
  <c r="F1686" i="2"/>
  <c r="I1686" i="2"/>
  <c r="J1686" i="2"/>
  <c r="E1687" i="2"/>
  <c r="F1687" i="2"/>
  <c r="I1687" i="2"/>
  <c r="E1688" i="2"/>
  <c r="F1688" i="2"/>
  <c r="I1688" i="2"/>
  <c r="E1689" i="2"/>
  <c r="F1689" i="2"/>
  <c r="I1689" i="2"/>
  <c r="J1689" i="2"/>
  <c r="E1690" i="2"/>
  <c r="F1690" i="2"/>
  <c r="I1690" i="2"/>
  <c r="J1690" i="2"/>
  <c r="E1691" i="2"/>
  <c r="F1691" i="2"/>
  <c r="I1691" i="2"/>
  <c r="J1691" i="2"/>
  <c r="E1692" i="2"/>
  <c r="F1692" i="2"/>
  <c r="I1692" i="2"/>
  <c r="J1692" i="2"/>
  <c r="E1693" i="2"/>
  <c r="I1693" i="2"/>
  <c r="J1693" i="2"/>
  <c r="E1694" i="2"/>
  <c r="I1694" i="2"/>
  <c r="J1694" i="2"/>
  <c r="E1695" i="2"/>
  <c r="F1695" i="2"/>
  <c r="I1695" i="2"/>
  <c r="E1696" i="2"/>
  <c r="I1696" i="2"/>
  <c r="J1696" i="2"/>
  <c r="E1697" i="2"/>
  <c r="I1697" i="2"/>
  <c r="J1697" i="2"/>
  <c r="E1698" i="2"/>
  <c r="I1698" i="2"/>
  <c r="J1698" i="2"/>
  <c r="E1699" i="2"/>
  <c r="I1699" i="2"/>
  <c r="E1700" i="2"/>
  <c r="I1700" i="2"/>
  <c r="J1700" i="2"/>
  <c r="E1701" i="2"/>
  <c r="I1701" i="2"/>
  <c r="E1702" i="2"/>
  <c r="I1702" i="2"/>
  <c r="E1703" i="2"/>
  <c r="I1703" i="2"/>
  <c r="E1704" i="2"/>
  <c r="F1704" i="2"/>
  <c r="I1704" i="2"/>
  <c r="E1705" i="2"/>
  <c r="F1705" i="2"/>
  <c r="I1705" i="2"/>
  <c r="J1705" i="2"/>
  <c r="E1706" i="2"/>
  <c r="F1706" i="2"/>
  <c r="I1706" i="2"/>
  <c r="J1706" i="2"/>
  <c r="E1707" i="2"/>
  <c r="I1707" i="2"/>
  <c r="J1707" i="2"/>
  <c r="E1708" i="2"/>
  <c r="F1708" i="2"/>
  <c r="I1708" i="2"/>
  <c r="J1708" i="2"/>
  <c r="E1709" i="2"/>
  <c r="F1709" i="2"/>
  <c r="I1709" i="2"/>
  <c r="J1709" i="2"/>
  <c r="E1710" i="2"/>
  <c r="F1710" i="2"/>
  <c r="I1710" i="2"/>
  <c r="J1710" i="2"/>
  <c r="E1711" i="2"/>
  <c r="I1711" i="2"/>
  <c r="J1711" i="2"/>
  <c r="E1712" i="2"/>
  <c r="F1712" i="2"/>
  <c r="I1712" i="2"/>
  <c r="E1713" i="2"/>
  <c r="I1713" i="2"/>
  <c r="J1713" i="2"/>
  <c r="E1714" i="2"/>
  <c r="F1714" i="2"/>
  <c r="I1714" i="2"/>
  <c r="E1715" i="2"/>
  <c r="F1715" i="2"/>
  <c r="I1715" i="2"/>
  <c r="J1715" i="2"/>
  <c r="E1716" i="2"/>
  <c r="I1716" i="2"/>
  <c r="J1716" i="2"/>
  <c r="E1717" i="2"/>
  <c r="I1717" i="2"/>
  <c r="J1717" i="2"/>
  <c r="E1718" i="2"/>
  <c r="F1718" i="2"/>
  <c r="I1718" i="2"/>
  <c r="J1718" i="2"/>
  <c r="E1719" i="2"/>
  <c r="I1719" i="2"/>
  <c r="J1719" i="2"/>
  <c r="E1720" i="2"/>
  <c r="I1720" i="2"/>
  <c r="J1720" i="2"/>
  <c r="E1721" i="2"/>
  <c r="F1721" i="2"/>
  <c r="I1721" i="2"/>
  <c r="J1721" i="2"/>
  <c r="E1722" i="2"/>
  <c r="F1722" i="2"/>
  <c r="I1722" i="2"/>
  <c r="E1723" i="2"/>
  <c r="I1723" i="2"/>
  <c r="J1723" i="2"/>
  <c r="E1724" i="2"/>
  <c r="I1724" i="2"/>
  <c r="E1725" i="2"/>
  <c r="F1725" i="2"/>
  <c r="I1725" i="2"/>
  <c r="E1726" i="2"/>
  <c r="F1726" i="2"/>
  <c r="I1726" i="2"/>
  <c r="J1726" i="2"/>
  <c r="E1727" i="2"/>
  <c r="I1727" i="2"/>
  <c r="J1727" i="2"/>
  <c r="E1728" i="2"/>
  <c r="F1728" i="2"/>
  <c r="I1728" i="2"/>
  <c r="E1729" i="2"/>
  <c r="F1729" i="2"/>
  <c r="I1729" i="2"/>
  <c r="J1729" i="2"/>
  <c r="E1730" i="2"/>
  <c r="F1730" i="2"/>
  <c r="I1730" i="2"/>
  <c r="J1730" i="2"/>
  <c r="E1731" i="2"/>
  <c r="F1731" i="2"/>
  <c r="I1731" i="2"/>
  <c r="E1732" i="2"/>
  <c r="F1732" i="2"/>
  <c r="I1732" i="2"/>
  <c r="E1733" i="2"/>
  <c r="F1733" i="2"/>
  <c r="I1733" i="2"/>
  <c r="J1733" i="2"/>
  <c r="E1734" i="2"/>
  <c r="I1734" i="2"/>
  <c r="J1734" i="2"/>
  <c r="E1735" i="2"/>
  <c r="I1735" i="2"/>
  <c r="J1735" i="2"/>
  <c r="E1736" i="2"/>
  <c r="I1736" i="2"/>
  <c r="J1736" i="2"/>
  <c r="E1737" i="2"/>
  <c r="F1737" i="2"/>
  <c r="I1737" i="2"/>
  <c r="J1737" i="2"/>
  <c r="E1738" i="2"/>
  <c r="F1738" i="2"/>
  <c r="I1738" i="2"/>
  <c r="J1738" i="2"/>
  <c r="E1739" i="2"/>
  <c r="F1739" i="2"/>
  <c r="I1739" i="2"/>
  <c r="J1739" i="2"/>
  <c r="E1740" i="2"/>
  <c r="F1740" i="2"/>
  <c r="I1740" i="2"/>
  <c r="J1740" i="2"/>
  <c r="E1741" i="2"/>
  <c r="F1741" i="2"/>
  <c r="I1741" i="2"/>
  <c r="E1742" i="2"/>
  <c r="F1742" i="2"/>
  <c r="I1742" i="2"/>
  <c r="E1743" i="2"/>
  <c r="F1743" i="2"/>
  <c r="I1743" i="2"/>
  <c r="E1744" i="2"/>
  <c r="I1744" i="2"/>
  <c r="E1745" i="2"/>
  <c r="F1745" i="2"/>
  <c r="I1745" i="2"/>
  <c r="E1746" i="2"/>
  <c r="F1746" i="2"/>
  <c r="I1746" i="2"/>
  <c r="E1747" i="2"/>
  <c r="F1747" i="2"/>
  <c r="I1747" i="2"/>
  <c r="E1748" i="2"/>
  <c r="I1748" i="2"/>
  <c r="J1748" i="2"/>
  <c r="E1749" i="2"/>
  <c r="F1749" i="2"/>
  <c r="I1749" i="2"/>
  <c r="J1749" i="2"/>
  <c r="E1750" i="2"/>
  <c r="I1750" i="2"/>
  <c r="J1750" i="2"/>
  <c r="E1751" i="2"/>
  <c r="F1751" i="2"/>
  <c r="I1751" i="2"/>
  <c r="J1751" i="2"/>
  <c r="E1752" i="2"/>
  <c r="I1752" i="2"/>
  <c r="J1752" i="2"/>
  <c r="E1753" i="2"/>
  <c r="I1753" i="2"/>
  <c r="E1754" i="2"/>
  <c r="I1754" i="2"/>
  <c r="E1755" i="2"/>
  <c r="I1755" i="2"/>
  <c r="E1756" i="2"/>
  <c r="I1756" i="2"/>
  <c r="E1757" i="2"/>
  <c r="I1757" i="2"/>
  <c r="E1758" i="2"/>
  <c r="I1758" i="2"/>
  <c r="J1758" i="2"/>
  <c r="E1759" i="2"/>
  <c r="I1759" i="2"/>
  <c r="J1759" i="2"/>
  <c r="E1760" i="2"/>
  <c r="F1760" i="2"/>
  <c r="I1760" i="2"/>
  <c r="J1760" i="2"/>
  <c r="E1761" i="2"/>
  <c r="F1761" i="2"/>
  <c r="I1761" i="2"/>
  <c r="J1761" i="2"/>
  <c r="E1762" i="2"/>
  <c r="F1762" i="2"/>
  <c r="I1762" i="2"/>
  <c r="E1763" i="2"/>
  <c r="F1763" i="2"/>
  <c r="I1763" i="2"/>
  <c r="J1763" i="2"/>
  <c r="E1764" i="2"/>
  <c r="I1764" i="2"/>
  <c r="J1764" i="2"/>
  <c r="E1765" i="2"/>
  <c r="F1765" i="2"/>
  <c r="I1765" i="2"/>
  <c r="E1766" i="2"/>
  <c r="I1766" i="2"/>
  <c r="J1766" i="2"/>
  <c r="E1767" i="2"/>
  <c r="I1767" i="2"/>
  <c r="J1767" i="2"/>
  <c r="E1768" i="2"/>
  <c r="F1768" i="2"/>
  <c r="I1768" i="2"/>
  <c r="E1769" i="2"/>
  <c r="I1769" i="2"/>
  <c r="J1769" i="2"/>
  <c r="E1770" i="2"/>
  <c r="I1770" i="2"/>
  <c r="J1770" i="2"/>
  <c r="E1771" i="2"/>
  <c r="F1771" i="2"/>
  <c r="I1771" i="2"/>
  <c r="J1771" i="2"/>
  <c r="E1772" i="2"/>
  <c r="I1772" i="2"/>
  <c r="J1772" i="2"/>
  <c r="E1773" i="2"/>
  <c r="I1773" i="2"/>
  <c r="J1773" i="2"/>
  <c r="E1774" i="2"/>
  <c r="I1774" i="2"/>
  <c r="J1774" i="2"/>
  <c r="E1775" i="2"/>
  <c r="F1775" i="2"/>
  <c r="I1775" i="2"/>
  <c r="J1775" i="2"/>
  <c r="E1776" i="2"/>
  <c r="I1776" i="2"/>
  <c r="E1777" i="2"/>
  <c r="I1777" i="2"/>
  <c r="E1778" i="2"/>
  <c r="I1778" i="2"/>
  <c r="J1778" i="2"/>
  <c r="E1779" i="2"/>
  <c r="I1779" i="2"/>
  <c r="E1780" i="2"/>
  <c r="I1780" i="2"/>
  <c r="J1780" i="2"/>
  <c r="E1781" i="2"/>
  <c r="F1781" i="2"/>
  <c r="I1781" i="2"/>
  <c r="J1781" i="2"/>
  <c r="E1782" i="2"/>
  <c r="I1782" i="2"/>
  <c r="J1782" i="2"/>
  <c r="E1783" i="2"/>
  <c r="I1783" i="2"/>
  <c r="J1783" i="2"/>
  <c r="E1784" i="2"/>
  <c r="I1784" i="2"/>
  <c r="J1784" i="2"/>
  <c r="E1785" i="2"/>
  <c r="I1785" i="2"/>
  <c r="J1785" i="2"/>
  <c r="E1786" i="2"/>
  <c r="F1786" i="2"/>
  <c r="I1786" i="2"/>
  <c r="J1786" i="2"/>
  <c r="E1787" i="2"/>
  <c r="F1787" i="2"/>
  <c r="I1787" i="2"/>
  <c r="J1787" i="2"/>
  <c r="E1788" i="2"/>
  <c r="F1788" i="2"/>
  <c r="I1788" i="2"/>
  <c r="J1788" i="2"/>
  <c r="E1789" i="2"/>
  <c r="F1789" i="2"/>
  <c r="I1789" i="2"/>
  <c r="J1789" i="2"/>
  <c r="E1790" i="2"/>
  <c r="F1790" i="2"/>
  <c r="I1790" i="2"/>
  <c r="J1790" i="2"/>
  <c r="E1791" i="2"/>
  <c r="F1791" i="2"/>
  <c r="I1791" i="2"/>
  <c r="J1791" i="2"/>
  <c r="E1792" i="2"/>
  <c r="I1792" i="2"/>
  <c r="J1792" i="2"/>
  <c r="E1793" i="2"/>
  <c r="I1793" i="2"/>
  <c r="J1793" i="2"/>
  <c r="E1794" i="2"/>
  <c r="F1794" i="2"/>
  <c r="I1794" i="2"/>
  <c r="E1795" i="2"/>
  <c r="I1795" i="2"/>
  <c r="J1795" i="2"/>
  <c r="E1796" i="2"/>
  <c r="I1796" i="2"/>
  <c r="J1796" i="2"/>
  <c r="E1797" i="2"/>
  <c r="F1797" i="2"/>
  <c r="I1797" i="2"/>
  <c r="E1798" i="2"/>
  <c r="F1798" i="2"/>
  <c r="I1798" i="2"/>
  <c r="E1799" i="2"/>
  <c r="I1799" i="2"/>
  <c r="J1799" i="2"/>
  <c r="E1800" i="2"/>
  <c r="I1800" i="2"/>
  <c r="J1800" i="2"/>
  <c r="E1801" i="2"/>
  <c r="I1801" i="2"/>
  <c r="J1801" i="2"/>
  <c r="E1802" i="2"/>
  <c r="F1802" i="2"/>
  <c r="I1802" i="2"/>
  <c r="J1802" i="2"/>
  <c r="E1803" i="2"/>
  <c r="F1803" i="2"/>
  <c r="I1803" i="2"/>
  <c r="J1803" i="2"/>
  <c r="E1804" i="2"/>
  <c r="I1804" i="2"/>
  <c r="J1804" i="2"/>
  <c r="E1805" i="2"/>
  <c r="I1805" i="2"/>
  <c r="J1805" i="2"/>
  <c r="E1806" i="2"/>
  <c r="I1806" i="2"/>
  <c r="J1806" i="2"/>
  <c r="E1807" i="2"/>
  <c r="F1807" i="2"/>
  <c r="I1807" i="2"/>
  <c r="J1807" i="2"/>
  <c r="E1808" i="2"/>
  <c r="I1808" i="2"/>
  <c r="E1809" i="2"/>
  <c r="I1809" i="2"/>
  <c r="J1809" i="2"/>
  <c r="E1810" i="2"/>
  <c r="F1810" i="2"/>
  <c r="I1810" i="2"/>
  <c r="J1810" i="2"/>
  <c r="E1811" i="2"/>
  <c r="I1811" i="2"/>
  <c r="J1811" i="2"/>
  <c r="E1812" i="2"/>
  <c r="I1812" i="2"/>
  <c r="E1813" i="2"/>
  <c r="I1813" i="2"/>
  <c r="J1813" i="2"/>
  <c r="E1814" i="2"/>
  <c r="I1814" i="2"/>
  <c r="J1814" i="2"/>
  <c r="E1815" i="2"/>
  <c r="I1815" i="2"/>
  <c r="J1815" i="2"/>
  <c r="E1816" i="2"/>
  <c r="I1816" i="2"/>
  <c r="J1816" i="2"/>
  <c r="E1817" i="2"/>
  <c r="F1817" i="2"/>
  <c r="I1817" i="2"/>
  <c r="J1817" i="2"/>
  <c r="E1818" i="2"/>
  <c r="F1818" i="2"/>
  <c r="I1818" i="2"/>
  <c r="J1818" i="2"/>
  <c r="E1819" i="2"/>
  <c r="F1819" i="2"/>
  <c r="I1819" i="2"/>
  <c r="J1819" i="2"/>
  <c r="E1820" i="2"/>
  <c r="F1820" i="2"/>
  <c r="I1820" i="2"/>
  <c r="J1820" i="2"/>
  <c r="E1821" i="2"/>
  <c r="I1821" i="2"/>
  <c r="J1821" i="2"/>
  <c r="E1822" i="2"/>
  <c r="I1822" i="2"/>
  <c r="J1822" i="2"/>
  <c r="E1823" i="2"/>
  <c r="I1823" i="2"/>
  <c r="J1823" i="2"/>
  <c r="E1824" i="2"/>
  <c r="F1824" i="2"/>
  <c r="I1824" i="2"/>
  <c r="E1825" i="2"/>
  <c r="I1825" i="2"/>
  <c r="J1825" i="2"/>
  <c r="E1826" i="2"/>
  <c r="I1826" i="2"/>
  <c r="J1826" i="2"/>
  <c r="E1827" i="2"/>
  <c r="F1827" i="2"/>
  <c r="I1827" i="2"/>
  <c r="J1827" i="2"/>
  <c r="E1828" i="2"/>
  <c r="I1828" i="2"/>
  <c r="J1828" i="2"/>
  <c r="E1829" i="2"/>
  <c r="I1829" i="2"/>
  <c r="J1829" i="2"/>
  <c r="E1830" i="2"/>
  <c r="I1830" i="2"/>
  <c r="J1830" i="2"/>
  <c r="E1831" i="2"/>
  <c r="I1831" i="2"/>
  <c r="J1831" i="2"/>
  <c r="E1832" i="2"/>
  <c r="I1832" i="2"/>
  <c r="J1832" i="2"/>
  <c r="E1833" i="2"/>
  <c r="I1833" i="2"/>
  <c r="J1833" i="2"/>
  <c r="E1834" i="2"/>
  <c r="I1834" i="2"/>
  <c r="J1834" i="2"/>
  <c r="E1835" i="2"/>
  <c r="F1835" i="2"/>
  <c r="I1835" i="2"/>
  <c r="J1835" i="2"/>
  <c r="E1836" i="2"/>
  <c r="F1836" i="2"/>
  <c r="I1836" i="2"/>
  <c r="J1836" i="2"/>
  <c r="E1837" i="2"/>
  <c r="I1837" i="2"/>
  <c r="J1837" i="2"/>
  <c r="E1838" i="2"/>
  <c r="I1838" i="2"/>
  <c r="J1838" i="2"/>
  <c r="E1839" i="2"/>
  <c r="F1839" i="2"/>
  <c r="I1839" i="2"/>
  <c r="J1839" i="2"/>
  <c r="E1840" i="2"/>
  <c r="F1840" i="2"/>
  <c r="I1840" i="2"/>
  <c r="J1840" i="2"/>
  <c r="E1841" i="2"/>
  <c r="F1841" i="2"/>
  <c r="I1841" i="2"/>
  <c r="J1841" i="2"/>
  <c r="E1842" i="2"/>
  <c r="F1842" i="2"/>
  <c r="I1842" i="2"/>
  <c r="J1842" i="2"/>
  <c r="E1843" i="2"/>
  <c r="F1843" i="2"/>
  <c r="I1843" i="2"/>
  <c r="J1843" i="2"/>
  <c r="E1844" i="2"/>
  <c r="F1844" i="2"/>
  <c r="I1844" i="2"/>
  <c r="J1844" i="2"/>
  <c r="E1845" i="2"/>
  <c r="F1845" i="2"/>
  <c r="I1845" i="2"/>
  <c r="J1845" i="2"/>
  <c r="E1846" i="2"/>
  <c r="F1846" i="2"/>
  <c r="I1846" i="2"/>
  <c r="J1846" i="2"/>
  <c r="E1847" i="2"/>
  <c r="F1847" i="2"/>
  <c r="I1847" i="2"/>
  <c r="J1847" i="2"/>
  <c r="E1848" i="2"/>
  <c r="F1848" i="2"/>
  <c r="I1848" i="2"/>
  <c r="J1848" i="2"/>
  <c r="E1849" i="2"/>
  <c r="F1849" i="2"/>
  <c r="I1849" i="2"/>
  <c r="J1849" i="2"/>
  <c r="E1850" i="2"/>
  <c r="F1850" i="2"/>
  <c r="I1850" i="2"/>
  <c r="J1850" i="2"/>
  <c r="E1851" i="2"/>
  <c r="F1851" i="2"/>
  <c r="I1851" i="2"/>
  <c r="J1851" i="2"/>
  <c r="E1852" i="2"/>
  <c r="F1852" i="2"/>
  <c r="I1852" i="2"/>
  <c r="J1852" i="2"/>
  <c r="E1853" i="2"/>
  <c r="I1853" i="2"/>
  <c r="J1853" i="2"/>
  <c r="E1854" i="2"/>
  <c r="I1854" i="2"/>
  <c r="E1855" i="2"/>
  <c r="F1855" i="2"/>
  <c r="I1855" i="2"/>
  <c r="J1855" i="2"/>
  <c r="E1856" i="2"/>
  <c r="I1856" i="2"/>
  <c r="E1857" i="2"/>
  <c r="I1857" i="2"/>
  <c r="J1857" i="2"/>
  <c r="E1858" i="2"/>
  <c r="I1858" i="2"/>
  <c r="J1858" i="2"/>
  <c r="E1859" i="2"/>
  <c r="I1859" i="2"/>
  <c r="J1859" i="2"/>
  <c r="E1860" i="2"/>
  <c r="I1860" i="2"/>
  <c r="E1861" i="2"/>
  <c r="I1861" i="2"/>
  <c r="E1862" i="2"/>
  <c r="I1862" i="2"/>
  <c r="E1863" i="2"/>
  <c r="F1863" i="2"/>
  <c r="I1863" i="2"/>
  <c r="E1864" i="2"/>
  <c r="F1864" i="2"/>
  <c r="I1864" i="2"/>
  <c r="E1865" i="2"/>
  <c r="F1865" i="2"/>
  <c r="I1865" i="2"/>
  <c r="E1866" i="2"/>
  <c r="F1866" i="2"/>
  <c r="I1866" i="2"/>
  <c r="E1867" i="2"/>
  <c r="F1867" i="2"/>
  <c r="I1867" i="2"/>
  <c r="E1868" i="2"/>
  <c r="I1868" i="2"/>
  <c r="J1868" i="2"/>
  <c r="E1869" i="2"/>
  <c r="F1869" i="2"/>
  <c r="I1869" i="2"/>
  <c r="E1870" i="2"/>
  <c r="F1870" i="2"/>
  <c r="I1870" i="2"/>
  <c r="E1871" i="2"/>
  <c r="F1871" i="2"/>
  <c r="I1871" i="2"/>
  <c r="E1872" i="2"/>
  <c r="F1872" i="2"/>
  <c r="I1872" i="2"/>
  <c r="E1873" i="2"/>
  <c r="F1873" i="2"/>
  <c r="I1873" i="2"/>
  <c r="J1873" i="2"/>
  <c r="E1874" i="2"/>
  <c r="F1874" i="2"/>
  <c r="I1874" i="2"/>
  <c r="E1875" i="2"/>
  <c r="F1875" i="2"/>
  <c r="I1875" i="2"/>
  <c r="E1876" i="2"/>
  <c r="F1876" i="2"/>
  <c r="I1876" i="2"/>
  <c r="E1877" i="2"/>
  <c r="F1877" i="2"/>
  <c r="I1877" i="2"/>
  <c r="E1878" i="2"/>
  <c r="F1878" i="2"/>
  <c r="I1878" i="2"/>
  <c r="E1879" i="2"/>
  <c r="I1879" i="2"/>
  <c r="J1879" i="2"/>
  <c r="E1880" i="2"/>
  <c r="I1880" i="2"/>
  <c r="J1880" i="2"/>
  <c r="E1881" i="2"/>
  <c r="F1881" i="2"/>
  <c r="I1881" i="2"/>
  <c r="J1881" i="2"/>
  <c r="E1882" i="2"/>
  <c r="F1882" i="2"/>
  <c r="I1882" i="2"/>
  <c r="J1882" i="2"/>
  <c r="E1883" i="2"/>
  <c r="F1883" i="2"/>
  <c r="I1883" i="2"/>
  <c r="E1884" i="2"/>
  <c r="F1884" i="2"/>
  <c r="I1884" i="2"/>
  <c r="E1885" i="2"/>
  <c r="F1885" i="2"/>
  <c r="I1885" i="2"/>
  <c r="J1885" i="2"/>
  <c r="E1886" i="2"/>
  <c r="F1886" i="2"/>
  <c r="I1886" i="2"/>
  <c r="E1887" i="2"/>
  <c r="F1887" i="2"/>
  <c r="I1887" i="2"/>
  <c r="J1887" i="2"/>
  <c r="E1888" i="2"/>
  <c r="F1888" i="2"/>
  <c r="I1888" i="2"/>
  <c r="J1888" i="2"/>
  <c r="E1889" i="2"/>
  <c r="F1889" i="2"/>
  <c r="I1889" i="2"/>
  <c r="J1889" i="2"/>
  <c r="E1890" i="2"/>
  <c r="F1890" i="2"/>
  <c r="I1890" i="2"/>
  <c r="J1890" i="2"/>
  <c r="E1891" i="2"/>
  <c r="F1891" i="2"/>
  <c r="I1891" i="2"/>
  <c r="E1892" i="2"/>
  <c r="F1892" i="2"/>
  <c r="I1892" i="2"/>
  <c r="J1892" i="2"/>
  <c r="E1893" i="2"/>
  <c r="F1893" i="2"/>
  <c r="I1893" i="2"/>
  <c r="E1894" i="2"/>
  <c r="F1894" i="2"/>
  <c r="I1894" i="2"/>
  <c r="J1894" i="2"/>
  <c r="E1895" i="2"/>
  <c r="F1895" i="2"/>
  <c r="I1895" i="2"/>
  <c r="E1896" i="2"/>
  <c r="F1896" i="2"/>
  <c r="I1896" i="2"/>
  <c r="E1897" i="2"/>
  <c r="F1897" i="2"/>
  <c r="I1897" i="2"/>
  <c r="E1898" i="2"/>
  <c r="F1898" i="2"/>
  <c r="I1898" i="2"/>
  <c r="E1899" i="2"/>
  <c r="F1899" i="2"/>
  <c r="I1899" i="2"/>
  <c r="E1900" i="2"/>
  <c r="F1900" i="2"/>
  <c r="I1900" i="2"/>
  <c r="E1901" i="2"/>
  <c r="I1901" i="2"/>
  <c r="J1901" i="2"/>
  <c r="E1902" i="2"/>
  <c r="I1902" i="2"/>
  <c r="J1902" i="2"/>
  <c r="E1903" i="2"/>
  <c r="I1903" i="2"/>
  <c r="J1903" i="2"/>
  <c r="E1904" i="2"/>
  <c r="I1904" i="2"/>
  <c r="J1904" i="2"/>
  <c r="E1905" i="2"/>
  <c r="I1905" i="2"/>
  <c r="J1905" i="2"/>
  <c r="E1906" i="2"/>
  <c r="F1906" i="2"/>
  <c r="I1906" i="2"/>
  <c r="E1907" i="2"/>
  <c r="F1907" i="2"/>
  <c r="I1907" i="2"/>
  <c r="J1907" i="2"/>
  <c r="E1908" i="2"/>
  <c r="I1908" i="2"/>
  <c r="J1908" i="2"/>
  <c r="E1909" i="2"/>
  <c r="I1909" i="2"/>
  <c r="J1909" i="2"/>
  <c r="E1910" i="2"/>
  <c r="F1910" i="2"/>
  <c r="I1910" i="2"/>
  <c r="E1911" i="2"/>
  <c r="I1911" i="2"/>
  <c r="E1912" i="2"/>
  <c r="F1912" i="2"/>
  <c r="I1912" i="2"/>
  <c r="J1912" i="2"/>
  <c r="E1913" i="2"/>
  <c r="I1913" i="2"/>
  <c r="E1914" i="2"/>
  <c r="F1914" i="2"/>
  <c r="I1914" i="2"/>
  <c r="J1914" i="2"/>
  <c r="E1915" i="2"/>
  <c r="I1915" i="2"/>
  <c r="J1915" i="2"/>
  <c r="E1916" i="2"/>
  <c r="F1916" i="2"/>
  <c r="I1916" i="2"/>
  <c r="E1917" i="2"/>
  <c r="I1917" i="2"/>
  <c r="J1917" i="2"/>
  <c r="E1918" i="2"/>
  <c r="I1918" i="2"/>
  <c r="J1918" i="2"/>
  <c r="E1919" i="2"/>
  <c r="F1919" i="2"/>
  <c r="I1919" i="2"/>
  <c r="E1920" i="2"/>
  <c r="I1920" i="2"/>
  <c r="E1921" i="2"/>
  <c r="F1921" i="2"/>
  <c r="I1921" i="2"/>
  <c r="J1921" i="2"/>
  <c r="E1922" i="2"/>
  <c r="F1922" i="2"/>
  <c r="I1922" i="2"/>
  <c r="E1923" i="2"/>
  <c r="I1923" i="2"/>
  <c r="J1923" i="2"/>
  <c r="E1924" i="2"/>
  <c r="I1924" i="2"/>
  <c r="J1924" i="2"/>
  <c r="E1925" i="2"/>
  <c r="I1925" i="2"/>
  <c r="E1926" i="2"/>
  <c r="I1926" i="2"/>
  <c r="E1927" i="2"/>
  <c r="I1927" i="2"/>
  <c r="E1928" i="2"/>
  <c r="I1928" i="2"/>
  <c r="E1929" i="2"/>
  <c r="I1929" i="2"/>
  <c r="E1930" i="2"/>
  <c r="I1930" i="2"/>
  <c r="E1931" i="2"/>
  <c r="I1931" i="2"/>
  <c r="J1931" i="2"/>
  <c r="E1932" i="2"/>
  <c r="I1932" i="2"/>
  <c r="E1933" i="2"/>
  <c r="I1933" i="2"/>
  <c r="E1934" i="2"/>
  <c r="I1934" i="2"/>
  <c r="E1935" i="2"/>
  <c r="I1935" i="2"/>
  <c r="J1935" i="2"/>
  <c r="E1936" i="2"/>
  <c r="I1936" i="2"/>
  <c r="E1937" i="2"/>
  <c r="I1937" i="2"/>
  <c r="J1937" i="2"/>
  <c r="E1938" i="2"/>
  <c r="I1938" i="2"/>
  <c r="J1938" i="2"/>
  <c r="E1939" i="2"/>
  <c r="I1939" i="2"/>
  <c r="J1939" i="2"/>
  <c r="E1940" i="2"/>
  <c r="F1940" i="2"/>
  <c r="I1940" i="2"/>
  <c r="E1941" i="2"/>
  <c r="F1941" i="2"/>
  <c r="I1941" i="2"/>
  <c r="E1942" i="2"/>
  <c r="F1942" i="2"/>
  <c r="I1942" i="2"/>
  <c r="E1943" i="2"/>
  <c r="F1943" i="2"/>
  <c r="I1943" i="2"/>
  <c r="E1944" i="2"/>
  <c r="F1944" i="2"/>
  <c r="I1944" i="2"/>
  <c r="E1945" i="2"/>
  <c r="F1945" i="2"/>
  <c r="I1945" i="2"/>
  <c r="E1946" i="2"/>
  <c r="F1946" i="2"/>
  <c r="I1946" i="2"/>
  <c r="E1947" i="2"/>
  <c r="F1947" i="2"/>
  <c r="I1947" i="2"/>
  <c r="E1948" i="2"/>
  <c r="F1948" i="2"/>
  <c r="I1948" i="2"/>
  <c r="E1949" i="2"/>
  <c r="F1949" i="2"/>
  <c r="I1949" i="2"/>
  <c r="E1950" i="2"/>
  <c r="I1950" i="2"/>
  <c r="E1951" i="2"/>
  <c r="F1951" i="2"/>
  <c r="I1951" i="2"/>
  <c r="E1952" i="2"/>
  <c r="I1952" i="2"/>
  <c r="J1952" i="2"/>
  <c r="E1953" i="2"/>
  <c r="F1953" i="2"/>
  <c r="I1953" i="2"/>
  <c r="E1954" i="2"/>
  <c r="F1954" i="2"/>
  <c r="I1954" i="2"/>
  <c r="E1955" i="2"/>
  <c r="F1955" i="2"/>
  <c r="I1955" i="2"/>
  <c r="E1956" i="2"/>
  <c r="F1956" i="2"/>
  <c r="I1956" i="2"/>
  <c r="J1956" i="2"/>
  <c r="E1957" i="2"/>
  <c r="F1957" i="2"/>
  <c r="I1957" i="2"/>
  <c r="J1957" i="2"/>
  <c r="E1958" i="2"/>
  <c r="I1958" i="2"/>
  <c r="J1958" i="2"/>
  <c r="E1959" i="2"/>
  <c r="F1959" i="2"/>
  <c r="I1959" i="2"/>
  <c r="E1960" i="2"/>
  <c r="F1960" i="2"/>
  <c r="I1960" i="2"/>
  <c r="E1961" i="2"/>
  <c r="F1961" i="2"/>
  <c r="I1961" i="2"/>
  <c r="E1962" i="2"/>
  <c r="F1962" i="2"/>
  <c r="I1962" i="2"/>
  <c r="E1963" i="2"/>
  <c r="F1963" i="2"/>
  <c r="I1963" i="2"/>
  <c r="E1964" i="2"/>
  <c r="I1964" i="2"/>
  <c r="J1964" i="2"/>
  <c r="E1965" i="2"/>
  <c r="I1965" i="2"/>
  <c r="J1965" i="2"/>
  <c r="E1966" i="2"/>
  <c r="F1966" i="2"/>
  <c r="I1966" i="2"/>
  <c r="E1967" i="2"/>
  <c r="I1967" i="2"/>
  <c r="J1967" i="2"/>
  <c r="E1968" i="2"/>
  <c r="I1968" i="2"/>
  <c r="J1968" i="2"/>
  <c r="E1969" i="2"/>
  <c r="I1969" i="2"/>
  <c r="J1969" i="2"/>
  <c r="E1970" i="2"/>
  <c r="F1970" i="2"/>
  <c r="I1970" i="2"/>
  <c r="E1971" i="2"/>
  <c r="I1971" i="2"/>
  <c r="J1971" i="2"/>
  <c r="E1972" i="2"/>
  <c r="F1972" i="2"/>
  <c r="I1972" i="2"/>
  <c r="E1973" i="2"/>
  <c r="F1973" i="2"/>
  <c r="I1973" i="2"/>
  <c r="E1974" i="2"/>
  <c r="F1974" i="2"/>
  <c r="I1974" i="2"/>
  <c r="J1974" i="2"/>
  <c r="E1975" i="2"/>
  <c r="I1975" i="2"/>
  <c r="J1975" i="2"/>
  <c r="E1976" i="2"/>
  <c r="I1976" i="2"/>
  <c r="J1976" i="2"/>
  <c r="E1977" i="2"/>
  <c r="F1977" i="2"/>
  <c r="I1977" i="2"/>
  <c r="J1977" i="2"/>
  <c r="E1978" i="2"/>
  <c r="F1978" i="2"/>
  <c r="I1978" i="2"/>
  <c r="J1978" i="2"/>
  <c r="E1979" i="2"/>
  <c r="I1979" i="2"/>
  <c r="J1979" i="2"/>
  <c r="E1980" i="2"/>
  <c r="I1980" i="2"/>
  <c r="J1980" i="2"/>
  <c r="E1981" i="2"/>
  <c r="I1981" i="2"/>
  <c r="J1981" i="2"/>
  <c r="E1982" i="2"/>
  <c r="F1982" i="2"/>
  <c r="I1982" i="2"/>
  <c r="J1982" i="2"/>
  <c r="E1983" i="2"/>
  <c r="F1983" i="2"/>
  <c r="I1983" i="2"/>
  <c r="J1983" i="2"/>
  <c r="E1984" i="2"/>
  <c r="F1984" i="2"/>
  <c r="I1984" i="2"/>
  <c r="J1984" i="2"/>
  <c r="E1985" i="2"/>
  <c r="I1985" i="2"/>
  <c r="J1985" i="2"/>
  <c r="E1986" i="2"/>
  <c r="F1986" i="2"/>
  <c r="I1986" i="2"/>
  <c r="E1987" i="2"/>
  <c r="F1987" i="2"/>
  <c r="I1987" i="2"/>
  <c r="E1988" i="2"/>
  <c r="F1988" i="2"/>
  <c r="I1988" i="2"/>
  <c r="E1989" i="2"/>
  <c r="I1989" i="2"/>
  <c r="E1990" i="2"/>
  <c r="F1990" i="2"/>
  <c r="I1990" i="2"/>
  <c r="E1991" i="2"/>
  <c r="I1991" i="2"/>
  <c r="J1991" i="2"/>
  <c r="E1992" i="2"/>
  <c r="F1992" i="2"/>
  <c r="I1992" i="2"/>
  <c r="E1993" i="2"/>
  <c r="F1993" i="2"/>
  <c r="I1993" i="2"/>
  <c r="J1993" i="2"/>
  <c r="E1994" i="2"/>
  <c r="F1994" i="2"/>
  <c r="I1994" i="2"/>
  <c r="E1995" i="2"/>
  <c r="F1995" i="2"/>
  <c r="I1995" i="2"/>
  <c r="E1996" i="2"/>
  <c r="I1996" i="2"/>
  <c r="E1997" i="2"/>
  <c r="F1997" i="2"/>
  <c r="I1997" i="2"/>
  <c r="J1997" i="2"/>
  <c r="E1998" i="2"/>
  <c r="F1998" i="2"/>
  <c r="I1998" i="2"/>
  <c r="J1998" i="2"/>
  <c r="E1999" i="2"/>
  <c r="F1999" i="2"/>
  <c r="I1999" i="2"/>
  <c r="J1999" i="2"/>
  <c r="E2000" i="2"/>
  <c r="F2000" i="2"/>
  <c r="I2000" i="2"/>
  <c r="E2001" i="2"/>
  <c r="F2001" i="2"/>
  <c r="I2001" i="2"/>
  <c r="E2002" i="2"/>
  <c r="F2002" i="2"/>
  <c r="I2002" i="2"/>
  <c r="E2003" i="2"/>
  <c r="F2003" i="2"/>
  <c r="I2003" i="2"/>
  <c r="E2004" i="2"/>
  <c r="F2004" i="2"/>
  <c r="I2004" i="2"/>
  <c r="E2005" i="2"/>
  <c r="F2005" i="2"/>
  <c r="I2005" i="2"/>
  <c r="E2006" i="2"/>
  <c r="F2006" i="2"/>
  <c r="I2006" i="2"/>
  <c r="E2007" i="2"/>
  <c r="F2007" i="2"/>
  <c r="I2007" i="2"/>
  <c r="E2008" i="2"/>
  <c r="F2008" i="2"/>
  <c r="I2008" i="2"/>
  <c r="E2009" i="2"/>
  <c r="F2009" i="2"/>
  <c r="I2009" i="2"/>
  <c r="E2010" i="2"/>
  <c r="F2010" i="2"/>
  <c r="I2010" i="2"/>
  <c r="E2011" i="2"/>
  <c r="F2011" i="2"/>
  <c r="I2011" i="2"/>
  <c r="E2012" i="2"/>
  <c r="F2012" i="2"/>
  <c r="I2012" i="2"/>
  <c r="E2013" i="2"/>
  <c r="F2013" i="2"/>
  <c r="I2013" i="2"/>
  <c r="E2014" i="2"/>
  <c r="F2014" i="2"/>
  <c r="I2014" i="2"/>
  <c r="E2015" i="2"/>
  <c r="F2015" i="2"/>
  <c r="I2015" i="2"/>
  <c r="E2016" i="2"/>
  <c r="F2016" i="2"/>
  <c r="I2016" i="2"/>
  <c r="J2016" i="2"/>
  <c r="E2017" i="2"/>
  <c r="I2017" i="2"/>
  <c r="J2017" i="2"/>
  <c r="E2018" i="2"/>
  <c r="F2018" i="2"/>
  <c r="I2018" i="2"/>
  <c r="E2019" i="2"/>
  <c r="F2019" i="2"/>
  <c r="I2019" i="2"/>
  <c r="J2019" i="2"/>
  <c r="E2020" i="2"/>
  <c r="F2020" i="2"/>
  <c r="I2020" i="2"/>
  <c r="J2020" i="2"/>
  <c r="E2021" i="2"/>
  <c r="F2021" i="2"/>
  <c r="I2021" i="2"/>
  <c r="E2022" i="2"/>
  <c r="I2022" i="2"/>
  <c r="J2022" i="2"/>
  <c r="E2023" i="2"/>
  <c r="I2023" i="2"/>
  <c r="E2024" i="2"/>
  <c r="F2024" i="2"/>
  <c r="I2024" i="2"/>
  <c r="J2024" i="2"/>
  <c r="E2025" i="2"/>
  <c r="F2025" i="2"/>
  <c r="I2025" i="2"/>
  <c r="J2025" i="2"/>
  <c r="E2026" i="2"/>
  <c r="F2026" i="2"/>
  <c r="I2026" i="2"/>
  <c r="E2027" i="2"/>
  <c r="I2027" i="2"/>
  <c r="E2028" i="2"/>
  <c r="F2028" i="2"/>
  <c r="I2028" i="2"/>
  <c r="E2029" i="2"/>
  <c r="F2029" i="2"/>
  <c r="I2029" i="2"/>
  <c r="E2030" i="2"/>
  <c r="F2030" i="2"/>
  <c r="I2030" i="2"/>
  <c r="E2031" i="2"/>
  <c r="I2031" i="2"/>
  <c r="J2031" i="2"/>
  <c r="E2032" i="2"/>
  <c r="F2032" i="2"/>
  <c r="I2032" i="2"/>
  <c r="E2033" i="2"/>
  <c r="F2033" i="2"/>
  <c r="I2033" i="2"/>
  <c r="E2034" i="2"/>
  <c r="F2034" i="2"/>
  <c r="I2034" i="2"/>
  <c r="E2035" i="2"/>
  <c r="F2035" i="2"/>
  <c r="I2035" i="2"/>
  <c r="E2036" i="2"/>
  <c r="F2036" i="2"/>
  <c r="I2036" i="2"/>
  <c r="E2037" i="2"/>
  <c r="F2037" i="2"/>
  <c r="I2037" i="2"/>
  <c r="E2038" i="2"/>
  <c r="F2038" i="2"/>
  <c r="I2038" i="2"/>
  <c r="E2039" i="2"/>
  <c r="F2039" i="2"/>
  <c r="I2039" i="2"/>
  <c r="J2039" i="2"/>
  <c r="E2040" i="2"/>
  <c r="F2040" i="2"/>
  <c r="I2040" i="2"/>
  <c r="E2041" i="2"/>
  <c r="F2041" i="2"/>
  <c r="I2041" i="2"/>
  <c r="E2042" i="2"/>
  <c r="I2042" i="2"/>
  <c r="J2042" i="2"/>
  <c r="E2043" i="2"/>
  <c r="F2043" i="2"/>
  <c r="I2043" i="2"/>
  <c r="J2043" i="2"/>
  <c r="E2044" i="2"/>
  <c r="F2044" i="2"/>
  <c r="I2044" i="2"/>
  <c r="J2044" i="2"/>
  <c r="E2045" i="2"/>
  <c r="F2045" i="2"/>
  <c r="I2045" i="2"/>
  <c r="E2046" i="2"/>
  <c r="I2046" i="2"/>
  <c r="J2046" i="2"/>
  <c r="E2047" i="2"/>
  <c r="I2047" i="2"/>
  <c r="J2047" i="2"/>
  <c r="E2048" i="2"/>
  <c r="F2048" i="2"/>
  <c r="I2048" i="2"/>
  <c r="E2049" i="2"/>
  <c r="F2049" i="2"/>
  <c r="I2049" i="2"/>
  <c r="E2050" i="2"/>
  <c r="F2050" i="2"/>
  <c r="I2050" i="2"/>
  <c r="E2051" i="2"/>
  <c r="F2051" i="2"/>
  <c r="I2051" i="2"/>
  <c r="J2051" i="2"/>
  <c r="E2052" i="2"/>
  <c r="F2052" i="2"/>
  <c r="I2052" i="2"/>
  <c r="E2053" i="2"/>
  <c r="F2053" i="2"/>
  <c r="I2053" i="2"/>
  <c r="E2054" i="2"/>
  <c r="F2054" i="2"/>
  <c r="I2054" i="2"/>
  <c r="E2055" i="2"/>
  <c r="F2055" i="2"/>
  <c r="I2055" i="2"/>
  <c r="J2055" i="2"/>
  <c r="E2056" i="2"/>
  <c r="F2056" i="2"/>
  <c r="I2056" i="2"/>
  <c r="J2056" i="2"/>
  <c r="E2057" i="2"/>
  <c r="F2057" i="2"/>
  <c r="I2057" i="2"/>
  <c r="J2057" i="2"/>
  <c r="E2058" i="2"/>
  <c r="F2058" i="2"/>
  <c r="I2058" i="2"/>
  <c r="J2058" i="2"/>
  <c r="E2059" i="2"/>
  <c r="I2059" i="2"/>
  <c r="E2060" i="2"/>
  <c r="I2060" i="2"/>
  <c r="E2061" i="2"/>
  <c r="I2061" i="2"/>
  <c r="E2062" i="2"/>
  <c r="I2062" i="2"/>
  <c r="E2063" i="2"/>
  <c r="F2063" i="2"/>
  <c r="I2063" i="2"/>
  <c r="E2064" i="2"/>
  <c r="F2064" i="2"/>
  <c r="I2064" i="2"/>
  <c r="E2065" i="2"/>
  <c r="F2065" i="2"/>
  <c r="I2065" i="2"/>
  <c r="E2066" i="2"/>
  <c r="F2066" i="2"/>
  <c r="I2066" i="2"/>
  <c r="J2066" i="2"/>
  <c r="E2067" i="2"/>
  <c r="F2067" i="2"/>
  <c r="I2067" i="2"/>
  <c r="E2068" i="2"/>
  <c r="I2068" i="2"/>
  <c r="J2068" i="2"/>
  <c r="E2069" i="2"/>
  <c r="F2069" i="2"/>
  <c r="I2069" i="2"/>
  <c r="E2070" i="2"/>
  <c r="F2070" i="2"/>
  <c r="I2070" i="2"/>
  <c r="E2071" i="2"/>
  <c r="I2071" i="2"/>
  <c r="J2071" i="2"/>
  <c r="E2072" i="2"/>
  <c r="F2072" i="2"/>
  <c r="I2072" i="2"/>
  <c r="J2072" i="2"/>
  <c r="E2073" i="2"/>
  <c r="I2073" i="2"/>
  <c r="E2074" i="2"/>
  <c r="F2074" i="2"/>
  <c r="I2074" i="2"/>
  <c r="E2075" i="2"/>
  <c r="F2075" i="2"/>
  <c r="I2075" i="2"/>
  <c r="J2075" i="2"/>
  <c r="E2076" i="2"/>
  <c r="F2076" i="2"/>
  <c r="I2076" i="2"/>
  <c r="J2076" i="2"/>
  <c r="E2077" i="2"/>
  <c r="I2077" i="2"/>
  <c r="J2077" i="2"/>
  <c r="E2078" i="2"/>
  <c r="I2078" i="2"/>
  <c r="J2078" i="2"/>
  <c r="E2079" i="2"/>
  <c r="F2079" i="2"/>
  <c r="I2079" i="2"/>
  <c r="J2079" i="2"/>
  <c r="E2080" i="2"/>
  <c r="I2080" i="2"/>
  <c r="J2080" i="2"/>
  <c r="E2081" i="2"/>
  <c r="I2081" i="2"/>
  <c r="J2081" i="2"/>
  <c r="E2082" i="2"/>
  <c r="I2082" i="2"/>
  <c r="E2083" i="2"/>
  <c r="F2083" i="2"/>
  <c r="I2083" i="2"/>
  <c r="J2083" i="2"/>
  <c r="E2084" i="2"/>
  <c r="F2084" i="2"/>
  <c r="I2084" i="2"/>
  <c r="E2085" i="2"/>
  <c r="F2085" i="2"/>
  <c r="I2085" i="2"/>
  <c r="E2086" i="2"/>
  <c r="F2086" i="2"/>
  <c r="I2086" i="2"/>
  <c r="E2087" i="2"/>
  <c r="I2087" i="2"/>
  <c r="J2087" i="2"/>
  <c r="E2088" i="2"/>
  <c r="F2088" i="2"/>
  <c r="I2088" i="2"/>
  <c r="E2089" i="2"/>
  <c r="F2089" i="2"/>
  <c r="I2089" i="2"/>
  <c r="E2090" i="2"/>
  <c r="F2090" i="2"/>
  <c r="I2090" i="2"/>
  <c r="J2090" i="2"/>
  <c r="E2091" i="2"/>
  <c r="F2091" i="2"/>
  <c r="I2091" i="2"/>
  <c r="E2092" i="2"/>
  <c r="I2092" i="2"/>
  <c r="J2092" i="2"/>
  <c r="E2093" i="2"/>
  <c r="I2093" i="2"/>
  <c r="J2093" i="2"/>
  <c r="E2094" i="2"/>
  <c r="I2094" i="2"/>
  <c r="J2094" i="2"/>
  <c r="E2095" i="2"/>
  <c r="I2095" i="2"/>
  <c r="J2095" i="2"/>
  <c r="E2096" i="2"/>
  <c r="F2096" i="2"/>
  <c r="I2096" i="2"/>
  <c r="E2097" i="2"/>
  <c r="F2097" i="2"/>
  <c r="I2097" i="2"/>
  <c r="E2098" i="2"/>
  <c r="F2098" i="2"/>
  <c r="I2098" i="2"/>
  <c r="E2099" i="2"/>
  <c r="F2099" i="2"/>
  <c r="I2099" i="2"/>
  <c r="E2100" i="2"/>
  <c r="F2100" i="2"/>
  <c r="I2100" i="2"/>
  <c r="E2101" i="2"/>
  <c r="F2101" i="2"/>
  <c r="I2101" i="2"/>
  <c r="J2101" i="2"/>
  <c r="E2102" i="2"/>
  <c r="F2102" i="2"/>
  <c r="I2102" i="2"/>
  <c r="E2103" i="2"/>
  <c r="F2103" i="2"/>
  <c r="I2103" i="2"/>
  <c r="E2104" i="2"/>
  <c r="I2104" i="2"/>
  <c r="J2104" i="2"/>
  <c r="E2105" i="2"/>
  <c r="I2105" i="2"/>
  <c r="J2105" i="2"/>
  <c r="E2106" i="2"/>
  <c r="F2106" i="2"/>
  <c r="I2106" i="2"/>
  <c r="E2107" i="2"/>
  <c r="F2107" i="2"/>
  <c r="I2107" i="2"/>
  <c r="J2107" i="2"/>
  <c r="E2108" i="2"/>
  <c r="I2108" i="2"/>
  <c r="E2109" i="2"/>
  <c r="I2109" i="2"/>
  <c r="J2109" i="2"/>
  <c r="E2110" i="2"/>
  <c r="F2110" i="2"/>
  <c r="I2110" i="2"/>
  <c r="E2111" i="2"/>
  <c r="F2111" i="2"/>
  <c r="I2111" i="2"/>
  <c r="E2112" i="2"/>
  <c r="F2112" i="2"/>
  <c r="I2112" i="2"/>
  <c r="E2113" i="2"/>
  <c r="F2113" i="2"/>
  <c r="I2113" i="2"/>
  <c r="E2114" i="2"/>
  <c r="F2114" i="2"/>
  <c r="I2114" i="2"/>
  <c r="E2115" i="2"/>
  <c r="F2115" i="2"/>
  <c r="I2115" i="2"/>
  <c r="E2116" i="2"/>
  <c r="F2116" i="2"/>
  <c r="I2116" i="2"/>
  <c r="J2116" i="2"/>
  <c r="E2117" i="2"/>
  <c r="F2117" i="2"/>
  <c r="I2117" i="2"/>
  <c r="E2118" i="2"/>
  <c r="I2118" i="2"/>
  <c r="J2118" i="2"/>
  <c r="E2119" i="2"/>
  <c r="I2119" i="2"/>
  <c r="J2119" i="2"/>
  <c r="E2120" i="2"/>
  <c r="F2120" i="2"/>
  <c r="I2120" i="2"/>
  <c r="J2120" i="2"/>
  <c r="E2121" i="2"/>
  <c r="I2121" i="2"/>
  <c r="J2121" i="2"/>
  <c r="E2122" i="2"/>
  <c r="I2122" i="2"/>
  <c r="E2123" i="2"/>
  <c r="I2123" i="2"/>
  <c r="J2123" i="2"/>
  <c r="E2124" i="2"/>
  <c r="I2124" i="2"/>
  <c r="J2124" i="2"/>
  <c r="E2125" i="2"/>
  <c r="I2125" i="2"/>
  <c r="J2125" i="2"/>
  <c r="E2126" i="2"/>
  <c r="I2126" i="2"/>
  <c r="J2126" i="2"/>
  <c r="E2127" i="2"/>
  <c r="F2127" i="2"/>
  <c r="I2127" i="2"/>
  <c r="E2128" i="2"/>
  <c r="I2128" i="2"/>
  <c r="J2128" i="2"/>
  <c r="E2129" i="2"/>
  <c r="I2129" i="2"/>
  <c r="J2129" i="2"/>
  <c r="E2130" i="2"/>
  <c r="F2130" i="2"/>
  <c r="I2130" i="2"/>
  <c r="E2131" i="2"/>
  <c r="I2131" i="2"/>
  <c r="J2131" i="2"/>
  <c r="E2132" i="2"/>
  <c r="I2132" i="2"/>
  <c r="E2133" i="2"/>
  <c r="I2133" i="2"/>
  <c r="J2133" i="2"/>
  <c r="E2134" i="2"/>
  <c r="I2134" i="2"/>
  <c r="J2134" i="2"/>
  <c r="E2135" i="2"/>
  <c r="F2135" i="2"/>
  <c r="I2135" i="2"/>
  <c r="E2136" i="2"/>
  <c r="I2136" i="2"/>
  <c r="J2136" i="2"/>
  <c r="E2137" i="2"/>
  <c r="I2137" i="2"/>
  <c r="J2137" i="2"/>
  <c r="E2138" i="2"/>
  <c r="F2138" i="2"/>
  <c r="I2138" i="2"/>
  <c r="E2139" i="2"/>
  <c r="F2139" i="2"/>
  <c r="I2139" i="2"/>
  <c r="J2139" i="2"/>
  <c r="E2140" i="2"/>
  <c r="F2140" i="2"/>
  <c r="I2140" i="2"/>
  <c r="J2140" i="2"/>
  <c r="E2141" i="2"/>
  <c r="F2141" i="2"/>
  <c r="I2141" i="2"/>
  <c r="J2141" i="2"/>
  <c r="E2142" i="2"/>
  <c r="F2142" i="2"/>
  <c r="I2142" i="2"/>
  <c r="J2142" i="2"/>
  <c r="E2143" i="2"/>
  <c r="F2143" i="2"/>
  <c r="I2143" i="2"/>
  <c r="J2143" i="2"/>
  <c r="E2144" i="2"/>
  <c r="F2144" i="2"/>
  <c r="I2144" i="2"/>
  <c r="E2145" i="2"/>
  <c r="F2145" i="2"/>
  <c r="I2145" i="2"/>
  <c r="J2145" i="2"/>
  <c r="E2146" i="2"/>
  <c r="F2146" i="2"/>
  <c r="I2146" i="2"/>
  <c r="J2146" i="2"/>
  <c r="E2147" i="2"/>
  <c r="I2147" i="2"/>
  <c r="J2147" i="2"/>
  <c r="E2148" i="2"/>
  <c r="I2148" i="2"/>
  <c r="J2148" i="2"/>
  <c r="E2149" i="2"/>
  <c r="F2149" i="2"/>
  <c r="I2149" i="2"/>
  <c r="E2150" i="2"/>
  <c r="F2150" i="2"/>
  <c r="I2150" i="2"/>
  <c r="J2150" i="2"/>
  <c r="E2151" i="2"/>
  <c r="F2151" i="2"/>
  <c r="I2151" i="2"/>
  <c r="J2151" i="2"/>
  <c r="E2152" i="2"/>
  <c r="F2152" i="2"/>
  <c r="I2152" i="2"/>
  <c r="J2152" i="2"/>
  <c r="E2153" i="2"/>
  <c r="F2153" i="2"/>
  <c r="I2153" i="2"/>
  <c r="E2154" i="2"/>
  <c r="F2154" i="2"/>
  <c r="I2154" i="2"/>
  <c r="E2155" i="2"/>
  <c r="F2155" i="2"/>
  <c r="I2155" i="2"/>
  <c r="J2155" i="2"/>
  <c r="E2156" i="2"/>
  <c r="F2156" i="2"/>
  <c r="I2156" i="2"/>
  <c r="J2156" i="2"/>
  <c r="E2157" i="2"/>
  <c r="F2157" i="2"/>
  <c r="I2157" i="2"/>
  <c r="J2157" i="2"/>
  <c r="E2158" i="2"/>
  <c r="F2158" i="2"/>
  <c r="I2158" i="2"/>
  <c r="E2159" i="2"/>
  <c r="F2159" i="2"/>
  <c r="I2159" i="2"/>
  <c r="E2160" i="2"/>
  <c r="F2160" i="2"/>
  <c r="I2160" i="2"/>
  <c r="J2160" i="2"/>
  <c r="E2161" i="2"/>
  <c r="F2161" i="2"/>
  <c r="I2161" i="2"/>
  <c r="E2162" i="2"/>
  <c r="I2162" i="2"/>
  <c r="J2162" i="2"/>
  <c r="E2163" i="2"/>
  <c r="F2163" i="2"/>
  <c r="I2163" i="2"/>
  <c r="E2164" i="2"/>
  <c r="I2164" i="2"/>
  <c r="E2165" i="2"/>
  <c r="F2165" i="2"/>
  <c r="I2165" i="2"/>
  <c r="E2166" i="2"/>
  <c r="I2166" i="2"/>
  <c r="J2166" i="2"/>
  <c r="E2167" i="2"/>
  <c r="I2167" i="2"/>
  <c r="J2167" i="2"/>
  <c r="E2168" i="2"/>
  <c r="F2168" i="2"/>
  <c r="I2168" i="2"/>
  <c r="J2168" i="2"/>
  <c r="E2169" i="2"/>
  <c r="F2169" i="2"/>
  <c r="I2169" i="2"/>
  <c r="J2169" i="2"/>
  <c r="E2170" i="2"/>
  <c r="I2170" i="2"/>
  <c r="E2171" i="2"/>
  <c r="I2171" i="2"/>
  <c r="J2171" i="2"/>
  <c r="E2172" i="2"/>
  <c r="I2172" i="2"/>
  <c r="E2173" i="2"/>
  <c r="F2173" i="2"/>
  <c r="I2173" i="2"/>
  <c r="E2174" i="2"/>
  <c r="F2174" i="2"/>
  <c r="I2174" i="2"/>
  <c r="J2174" i="2"/>
  <c r="E2175" i="2"/>
  <c r="F2175" i="2"/>
  <c r="I2175" i="2"/>
  <c r="J2175" i="2"/>
  <c r="E2176" i="2"/>
  <c r="F2176" i="2"/>
  <c r="I2176" i="2"/>
  <c r="E2177" i="2"/>
  <c r="I2177" i="2"/>
  <c r="J2177" i="2"/>
  <c r="E2178" i="2"/>
  <c r="F2178" i="2"/>
  <c r="I2178" i="2"/>
  <c r="J2178" i="2"/>
  <c r="E2179" i="2"/>
  <c r="I2179" i="2"/>
  <c r="J2179" i="2"/>
  <c r="E2180" i="2"/>
  <c r="I2180" i="2"/>
  <c r="J2180" i="2"/>
  <c r="E2181" i="2"/>
  <c r="I2181" i="2"/>
  <c r="J2181" i="2"/>
  <c r="E2182" i="2"/>
  <c r="F2182" i="2"/>
  <c r="I2182" i="2"/>
  <c r="J2182" i="2"/>
  <c r="E2183" i="2"/>
  <c r="I2183" i="2"/>
  <c r="J2183" i="2"/>
  <c r="E2184" i="2"/>
  <c r="I2184" i="2"/>
  <c r="J2184" i="2"/>
  <c r="E2185" i="2"/>
  <c r="F2185" i="2"/>
  <c r="I2185" i="2"/>
  <c r="J2185" i="2"/>
  <c r="E2186" i="2"/>
  <c r="F2186" i="2"/>
  <c r="I2186" i="2"/>
  <c r="J2186" i="2"/>
  <c r="E2187" i="2"/>
  <c r="I2187" i="2"/>
  <c r="E2188" i="2"/>
  <c r="I2188" i="2"/>
  <c r="J2188" i="2"/>
  <c r="E2189" i="2"/>
  <c r="F2189" i="2"/>
  <c r="I2189" i="2"/>
  <c r="J2189" i="2"/>
  <c r="E2190" i="2"/>
  <c r="I2190" i="2"/>
  <c r="J2190" i="2"/>
  <c r="E2191" i="2"/>
  <c r="F2191" i="2"/>
  <c r="I2191" i="2"/>
  <c r="J2191" i="2"/>
  <c r="E2192" i="2"/>
  <c r="F2192" i="2"/>
  <c r="I2192" i="2"/>
  <c r="J2192" i="2"/>
  <c r="E2193" i="2"/>
  <c r="F2193" i="2"/>
  <c r="I2193" i="2"/>
  <c r="J2193" i="2"/>
  <c r="E2194" i="2"/>
  <c r="F2194" i="2"/>
  <c r="I2194" i="2"/>
  <c r="J2194" i="2"/>
  <c r="E2195" i="2"/>
  <c r="F2195" i="2"/>
  <c r="I2195" i="2"/>
  <c r="J2195" i="2"/>
  <c r="E2196" i="2"/>
  <c r="F2196" i="2"/>
  <c r="I2196" i="2"/>
  <c r="J2196" i="2"/>
  <c r="E2197" i="2"/>
  <c r="I2197" i="2"/>
  <c r="J2197" i="2"/>
  <c r="E2198" i="2"/>
  <c r="I2198" i="2"/>
  <c r="J2198" i="2"/>
  <c r="E2199" i="2"/>
  <c r="F2199" i="2"/>
  <c r="I2199" i="2"/>
  <c r="J2199" i="2"/>
  <c r="E2200" i="2"/>
  <c r="F2200" i="2"/>
  <c r="I2200" i="2"/>
  <c r="J2200" i="2"/>
  <c r="E2201" i="2"/>
  <c r="F2201" i="2"/>
  <c r="I2201" i="2"/>
  <c r="J2201" i="2"/>
  <c r="E2202" i="2"/>
  <c r="I2202" i="2"/>
  <c r="E2203" i="2"/>
  <c r="F2203" i="2"/>
  <c r="I2203" i="2"/>
  <c r="J2203" i="2"/>
  <c r="E2204" i="2"/>
  <c r="I2204" i="2"/>
  <c r="E2205" i="2"/>
  <c r="F2205" i="2"/>
  <c r="I2205" i="2"/>
  <c r="J2205" i="2"/>
  <c r="E2206" i="2"/>
  <c r="I2206" i="2"/>
  <c r="J2206" i="2"/>
  <c r="E2207" i="2"/>
  <c r="I2207" i="2"/>
  <c r="J2207" i="2"/>
  <c r="E2208" i="2"/>
  <c r="I2208" i="2"/>
  <c r="J2208" i="2"/>
  <c r="E2209" i="2"/>
  <c r="I2209" i="2"/>
  <c r="J2209" i="2"/>
  <c r="E2210" i="2"/>
  <c r="I2210" i="2"/>
  <c r="J2210" i="2"/>
  <c r="E2211" i="2"/>
  <c r="I2211" i="2"/>
  <c r="E2212" i="2"/>
  <c r="F2212" i="2"/>
  <c r="I2212" i="2"/>
  <c r="J2212" i="2"/>
  <c r="E2213" i="2"/>
  <c r="I2213" i="2"/>
  <c r="J2213" i="2"/>
  <c r="E2214" i="2"/>
  <c r="F2214" i="2"/>
  <c r="I2214" i="2"/>
  <c r="E2215" i="2"/>
  <c r="F2215" i="2"/>
  <c r="I2215" i="2"/>
  <c r="E2216" i="2"/>
  <c r="F2216" i="2"/>
  <c r="I2216" i="2"/>
  <c r="E2217" i="2"/>
  <c r="F2217" i="2"/>
  <c r="I2217" i="2"/>
  <c r="E2218" i="2"/>
  <c r="F2218" i="2"/>
  <c r="I2218" i="2"/>
  <c r="J2218" i="2"/>
  <c r="E2219" i="2"/>
  <c r="F2219" i="2"/>
  <c r="I2219" i="2"/>
  <c r="J2219" i="2"/>
  <c r="E2220" i="2"/>
  <c r="I2220" i="2"/>
  <c r="J2220" i="2"/>
  <c r="E2221" i="2"/>
  <c r="I2221" i="2"/>
  <c r="J2221" i="2"/>
  <c r="E2222" i="2"/>
  <c r="F2222" i="2"/>
  <c r="I2222" i="2"/>
  <c r="J2222" i="2"/>
  <c r="E2223" i="2"/>
  <c r="F2223" i="2"/>
  <c r="I2223" i="2"/>
  <c r="J2223" i="2"/>
  <c r="E2224" i="2"/>
  <c r="I2224" i="2"/>
  <c r="J2224" i="2"/>
  <c r="E2225" i="2"/>
  <c r="F2225" i="2"/>
  <c r="I2225" i="2"/>
  <c r="J2225" i="2"/>
  <c r="E2226" i="2"/>
  <c r="I2226" i="2"/>
  <c r="J2226" i="2"/>
  <c r="E2227" i="2"/>
  <c r="I2227" i="2"/>
  <c r="J2227" i="2"/>
  <c r="E2228" i="2"/>
  <c r="F2228" i="2"/>
  <c r="I2228" i="2"/>
  <c r="J2228" i="2"/>
  <c r="E2229" i="2"/>
  <c r="I2229" i="2"/>
  <c r="J2229" i="2"/>
  <c r="E2230" i="2"/>
  <c r="F2230" i="2"/>
  <c r="I2230" i="2"/>
  <c r="J2230" i="2"/>
  <c r="E2231" i="2"/>
  <c r="I2231" i="2"/>
  <c r="J2231" i="2"/>
  <c r="E2232" i="2"/>
  <c r="I2232" i="2"/>
  <c r="J2232" i="2"/>
  <c r="E2233" i="2"/>
  <c r="I2233" i="2"/>
  <c r="J2233" i="2"/>
  <c r="E2234" i="2"/>
  <c r="F2234" i="2"/>
  <c r="I2234" i="2"/>
  <c r="E2235" i="2"/>
  <c r="F2235" i="2"/>
  <c r="I2235" i="2"/>
  <c r="J2235" i="2"/>
  <c r="E2236" i="2"/>
  <c r="I2236" i="2"/>
  <c r="J2236" i="2"/>
  <c r="E2237" i="2"/>
  <c r="F2237" i="2"/>
  <c r="I2237" i="2"/>
  <c r="J2237" i="2"/>
  <c r="E2238" i="2"/>
  <c r="F2238" i="2"/>
  <c r="I2238" i="2"/>
  <c r="J2238" i="2"/>
  <c r="E2239" i="2"/>
  <c r="F2239" i="2"/>
  <c r="I2239" i="2"/>
  <c r="E2240" i="2"/>
  <c r="F2240" i="2"/>
  <c r="I2240" i="2"/>
  <c r="E2241" i="2"/>
  <c r="F2241" i="2"/>
  <c r="I2241" i="2"/>
  <c r="J2241" i="2"/>
  <c r="E2242" i="2"/>
  <c r="I2242" i="2"/>
  <c r="J2242" i="2"/>
  <c r="E2243" i="2"/>
  <c r="I2243" i="2"/>
  <c r="E2244" i="2"/>
  <c r="F2244" i="2"/>
  <c r="I2244" i="2"/>
  <c r="J2244" i="2"/>
  <c r="E2245" i="2"/>
  <c r="F2245" i="2"/>
  <c r="I2245" i="2"/>
  <c r="J2245" i="2"/>
  <c r="E2246" i="2"/>
  <c r="I2246" i="2"/>
  <c r="E2247" i="2"/>
  <c r="I2247" i="2"/>
  <c r="E2248" i="2"/>
  <c r="I2248" i="2"/>
  <c r="E2249" i="2"/>
  <c r="I2249" i="2"/>
  <c r="J2249" i="2"/>
  <c r="E2250" i="2"/>
  <c r="F2250" i="2"/>
  <c r="I2250" i="2"/>
  <c r="J2250" i="2"/>
  <c r="E2251" i="2"/>
  <c r="I2251" i="2"/>
  <c r="J2251" i="2"/>
  <c r="E2252" i="2"/>
  <c r="F2252" i="2"/>
  <c r="I2252" i="2"/>
  <c r="J2252" i="2"/>
  <c r="E2253" i="2"/>
  <c r="F2253" i="2"/>
  <c r="I2253" i="2"/>
  <c r="J2253" i="2"/>
  <c r="E2254" i="2"/>
  <c r="I2254" i="2"/>
  <c r="E2255" i="2"/>
  <c r="I2255" i="2"/>
  <c r="E2256" i="2"/>
  <c r="I2256" i="2"/>
  <c r="E2257" i="2"/>
  <c r="I2257" i="2"/>
  <c r="E2258" i="2"/>
  <c r="F2258" i="2"/>
  <c r="I2258" i="2"/>
  <c r="J2258" i="2"/>
  <c r="E2259" i="2"/>
  <c r="I2259" i="2"/>
  <c r="J2259" i="2"/>
  <c r="E2260" i="2"/>
  <c r="I2260" i="2"/>
  <c r="J2260" i="2"/>
  <c r="E2261" i="2"/>
  <c r="I2261" i="2"/>
  <c r="J2261" i="2"/>
  <c r="E2262" i="2"/>
  <c r="F2262" i="2"/>
  <c r="I2262" i="2"/>
  <c r="J2262" i="2"/>
  <c r="E2263" i="2"/>
  <c r="F2263" i="2"/>
  <c r="I2263" i="2"/>
  <c r="J2263" i="2"/>
  <c r="E2264" i="2"/>
  <c r="F2264" i="2"/>
  <c r="I2264" i="2"/>
  <c r="J2264" i="2"/>
  <c r="E2265" i="2"/>
  <c r="I2265" i="2"/>
  <c r="E2266" i="2"/>
  <c r="F2266" i="2"/>
  <c r="I2266" i="2"/>
  <c r="E2267" i="2"/>
  <c r="F2267" i="2"/>
  <c r="I2267" i="2"/>
  <c r="E2268" i="2"/>
  <c r="F2268" i="2"/>
  <c r="I2268" i="2"/>
  <c r="E2269" i="2"/>
  <c r="F2269" i="2"/>
  <c r="I2269" i="2"/>
  <c r="E2270" i="2"/>
  <c r="I2270" i="2"/>
  <c r="E2271" i="2"/>
  <c r="I2271" i="2"/>
  <c r="J2271" i="2"/>
  <c r="E2272" i="2"/>
  <c r="I2272" i="2"/>
  <c r="E2273" i="2"/>
  <c r="I2273" i="2"/>
  <c r="E2274" i="2"/>
  <c r="I2274" i="2"/>
  <c r="J2274" i="2"/>
  <c r="E2275" i="2"/>
  <c r="I2275" i="2"/>
  <c r="E2276" i="2"/>
  <c r="I2276" i="2"/>
  <c r="E2277" i="2"/>
  <c r="I2277" i="2"/>
  <c r="E2278" i="2"/>
  <c r="I2278" i="2"/>
  <c r="E2279" i="2"/>
  <c r="I2279" i="2"/>
  <c r="E2280" i="2"/>
  <c r="I2280" i="2"/>
  <c r="E2281" i="2"/>
  <c r="I2281" i="2"/>
  <c r="J2281" i="2"/>
  <c r="E2282" i="2"/>
  <c r="I2282" i="2"/>
  <c r="J2282" i="2"/>
  <c r="E2283" i="2"/>
  <c r="F2283" i="2"/>
  <c r="I2283" i="2"/>
  <c r="J2283" i="2"/>
  <c r="E2284" i="2"/>
  <c r="I2284" i="2"/>
  <c r="J2284" i="2"/>
  <c r="E2285" i="2"/>
  <c r="I2285" i="2"/>
  <c r="J2285" i="2"/>
  <c r="E2286" i="2"/>
  <c r="I2286" i="2"/>
  <c r="J2286" i="2"/>
  <c r="E2287" i="2"/>
  <c r="I2287" i="2"/>
  <c r="J2287" i="2"/>
  <c r="E2288" i="2"/>
  <c r="F2288" i="2"/>
  <c r="I2288" i="2"/>
  <c r="J2288" i="2"/>
  <c r="E2289" i="2"/>
  <c r="I2289" i="2"/>
  <c r="J2289" i="2"/>
  <c r="E2290" i="2"/>
  <c r="I2290" i="2"/>
  <c r="J2290" i="2"/>
  <c r="E2291" i="2"/>
  <c r="I2291" i="2"/>
  <c r="J2291" i="2"/>
  <c r="E2292" i="2"/>
  <c r="F2292" i="2"/>
  <c r="I2292" i="2"/>
  <c r="E2293" i="2"/>
  <c r="F2293" i="2"/>
  <c r="I2293" i="2"/>
  <c r="E2294" i="2"/>
  <c r="F2294" i="2"/>
  <c r="I2294" i="2"/>
  <c r="E2295" i="2"/>
  <c r="F2295" i="2"/>
  <c r="I2295" i="2"/>
  <c r="E2296" i="2"/>
  <c r="F2296" i="2"/>
  <c r="I2296" i="2"/>
  <c r="E2297" i="2"/>
  <c r="I2297" i="2"/>
  <c r="J2297" i="2"/>
  <c r="E2298" i="2"/>
  <c r="I2298" i="2"/>
  <c r="J2298" i="2"/>
  <c r="E2299" i="2"/>
  <c r="F2299" i="2"/>
  <c r="I2299" i="2"/>
  <c r="J2299" i="2"/>
  <c r="E2300" i="2"/>
  <c r="I2300" i="2"/>
  <c r="E2301" i="2"/>
  <c r="F2301" i="2"/>
  <c r="I2301" i="2"/>
  <c r="J2301" i="2"/>
  <c r="E2302" i="2"/>
  <c r="F2302" i="2"/>
  <c r="I2302" i="2"/>
  <c r="J2302" i="2"/>
  <c r="E2303" i="2"/>
  <c r="F2303" i="2"/>
  <c r="I2303" i="2"/>
  <c r="J2303" i="2"/>
  <c r="E2304" i="2"/>
  <c r="F2304" i="2"/>
  <c r="I2304" i="2"/>
  <c r="J2304" i="2"/>
  <c r="E2305" i="2"/>
  <c r="F2305" i="2"/>
  <c r="I2305" i="2"/>
  <c r="J2305" i="2"/>
  <c r="E2306" i="2"/>
  <c r="I2306" i="2"/>
  <c r="J2306" i="2"/>
  <c r="E2307" i="2"/>
  <c r="I2307" i="2"/>
  <c r="E2308" i="2"/>
  <c r="I2308" i="2"/>
  <c r="E2309" i="2"/>
  <c r="F2309" i="2"/>
  <c r="I2309" i="2"/>
  <c r="J2309" i="2"/>
  <c r="E2310" i="2"/>
  <c r="I2310" i="2"/>
  <c r="E2311" i="2"/>
  <c r="F2311" i="2"/>
  <c r="I2311" i="2"/>
  <c r="E2312" i="2"/>
  <c r="I2312" i="2"/>
  <c r="J2312" i="2"/>
  <c r="E2313" i="2"/>
  <c r="I2313" i="2"/>
  <c r="E2314" i="2"/>
  <c r="F2314" i="2"/>
  <c r="I2314" i="2"/>
  <c r="J2314" i="2"/>
  <c r="E2315" i="2"/>
  <c r="I2315" i="2"/>
  <c r="J2315" i="2"/>
  <c r="E2316" i="2"/>
  <c r="I2316" i="2"/>
  <c r="J2316" i="2"/>
  <c r="E2317" i="2"/>
  <c r="I2317" i="2"/>
  <c r="J2317" i="2"/>
  <c r="E2318" i="2"/>
  <c r="I2318" i="2"/>
  <c r="J2318" i="2"/>
  <c r="E2319" i="2"/>
  <c r="I2319" i="2"/>
  <c r="J2319" i="2"/>
  <c r="E2320" i="2"/>
  <c r="I2320" i="2"/>
  <c r="J2320" i="2"/>
  <c r="E2321" i="2"/>
  <c r="F2321" i="2"/>
  <c r="I2321" i="2"/>
  <c r="J2321" i="2"/>
  <c r="E2322" i="2"/>
  <c r="I2322" i="2"/>
  <c r="J2322" i="2"/>
  <c r="E2323" i="2"/>
  <c r="I2323" i="2"/>
  <c r="J2323" i="2"/>
  <c r="E2324" i="2"/>
  <c r="F2324" i="2"/>
  <c r="I2324" i="2"/>
  <c r="J2324" i="2"/>
  <c r="E2325" i="2"/>
  <c r="I2325" i="2"/>
  <c r="E2326" i="2"/>
  <c r="F2326" i="2"/>
  <c r="I2326" i="2"/>
  <c r="J2326" i="2"/>
  <c r="E2327" i="2"/>
  <c r="F2327" i="2"/>
  <c r="I2327" i="2"/>
  <c r="J2327" i="2"/>
  <c r="E2328" i="2"/>
  <c r="F2328" i="2"/>
  <c r="I2328" i="2"/>
  <c r="J2328" i="2"/>
  <c r="E2329" i="2"/>
  <c r="I2329" i="2"/>
  <c r="J2329" i="2"/>
  <c r="E2330" i="2"/>
  <c r="F2330" i="2"/>
  <c r="I2330" i="2"/>
  <c r="J2330" i="2"/>
  <c r="E2331" i="2"/>
  <c r="I2331" i="2"/>
  <c r="J2331" i="2"/>
  <c r="E2332" i="2"/>
  <c r="F2332" i="2"/>
  <c r="I2332" i="2"/>
  <c r="E2333" i="2"/>
  <c r="F2333" i="2"/>
  <c r="I2333" i="2"/>
  <c r="J2333" i="2"/>
  <c r="E2334" i="2"/>
  <c r="I2334" i="2"/>
  <c r="J2334" i="2"/>
  <c r="E2335" i="2"/>
  <c r="F2335" i="2"/>
  <c r="I2335" i="2"/>
  <c r="J2335" i="2"/>
  <c r="E2336" i="2"/>
  <c r="F2336" i="2"/>
  <c r="I2336" i="2"/>
  <c r="J2336" i="2"/>
  <c r="E2337" i="2"/>
  <c r="F2337" i="2"/>
  <c r="I2337" i="2"/>
  <c r="J2337" i="2"/>
  <c r="E2338" i="2"/>
  <c r="F2338" i="2"/>
  <c r="I2338" i="2"/>
  <c r="J2338" i="2"/>
  <c r="E2339" i="2"/>
  <c r="F2339" i="2"/>
  <c r="I2339" i="2"/>
  <c r="E2340" i="2"/>
  <c r="I2340" i="2"/>
  <c r="J2340" i="2"/>
  <c r="E2341" i="2"/>
  <c r="I2341" i="2"/>
  <c r="J2341" i="2"/>
  <c r="E2342" i="2"/>
  <c r="I2342" i="2"/>
  <c r="E2343" i="2"/>
  <c r="I2343" i="2"/>
  <c r="J2343" i="2"/>
  <c r="E2344" i="2"/>
  <c r="I2344" i="2"/>
  <c r="J2344" i="2"/>
  <c r="E2345" i="2"/>
  <c r="I2345" i="2"/>
  <c r="E2346" i="2"/>
  <c r="I2346" i="2"/>
  <c r="J2346" i="2"/>
  <c r="E2347" i="2"/>
  <c r="I2347" i="2"/>
  <c r="J2347" i="2"/>
  <c r="E2348" i="2"/>
  <c r="F2348" i="2"/>
  <c r="I2348" i="2"/>
  <c r="E2349" i="2"/>
  <c r="F2349" i="2"/>
  <c r="I2349" i="2"/>
  <c r="J2349" i="2"/>
  <c r="E2350" i="2"/>
  <c r="F2350" i="2"/>
  <c r="I2350" i="2"/>
  <c r="J2350" i="2"/>
  <c r="E2351" i="2"/>
  <c r="F2351" i="2"/>
  <c r="I2351" i="2"/>
  <c r="E2352" i="2"/>
  <c r="I2352" i="2"/>
  <c r="J2352" i="2"/>
  <c r="E2353" i="2"/>
  <c r="F2353" i="2"/>
  <c r="I2353" i="2"/>
  <c r="J2353" i="2"/>
  <c r="E2354" i="2"/>
  <c r="F2354" i="2"/>
  <c r="I2354" i="2"/>
  <c r="J2354" i="2"/>
  <c r="E2355" i="2"/>
  <c r="I2355" i="2"/>
  <c r="J2355" i="2"/>
  <c r="E2356" i="2"/>
  <c r="F2356" i="2"/>
  <c r="I2356" i="2"/>
  <c r="E2357" i="2"/>
  <c r="F2357" i="2"/>
  <c r="I2357" i="2"/>
  <c r="J2357" i="2"/>
  <c r="E2358" i="2"/>
  <c r="F2358" i="2"/>
  <c r="I2358" i="2"/>
  <c r="J2358" i="2"/>
  <c r="E2359" i="2"/>
  <c r="I2359" i="2"/>
  <c r="J2359" i="2"/>
  <c r="E2360" i="2"/>
  <c r="I2360" i="2"/>
  <c r="J2360" i="2"/>
  <c r="E2361" i="2"/>
  <c r="I2361" i="2"/>
  <c r="J2361" i="2"/>
  <c r="E2362" i="2"/>
  <c r="I2362" i="2"/>
  <c r="J2362" i="2"/>
  <c r="E2363" i="2"/>
  <c r="F2363" i="2"/>
  <c r="I2363" i="2"/>
  <c r="E2364" i="2"/>
  <c r="F2364" i="2"/>
  <c r="I2364" i="2"/>
  <c r="E2365" i="2"/>
  <c r="F2365" i="2"/>
  <c r="I2365" i="2"/>
  <c r="E2366" i="2"/>
  <c r="I2366" i="2"/>
  <c r="J2366" i="2"/>
  <c r="E2367" i="2"/>
  <c r="I2367" i="2"/>
  <c r="J2367" i="2"/>
  <c r="E2368" i="2"/>
  <c r="F2368" i="2"/>
  <c r="I2368" i="2"/>
  <c r="J2368" i="2"/>
  <c r="E2369" i="2"/>
  <c r="F2369" i="2"/>
  <c r="I2369" i="2"/>
  <c r="J2369" i="2"/>
  <c r="E2370" i="2"/>
  <c r="F2370" i="2"/>
  <c r="I2370" i="2"/>
  <c r="E2371" i="2"/>
  <c r="I2371" i="2"/>
  <c r="J2371" i="2"/>
  <c r="E2372" i="2"/>
  <c r="I2372" i="2"/>
  <c r="J2372" i="2"/>
  <c r="E2373" i="2"/>
  <c r="I2373" i="2"/>
  <c r="J2373" i="2"/>
  <c r="E2374" i="2"/>
  <c r="I2374" i="2"/>
  <c r="J2374" i="2"/>
  <c r="E2375" i="2"/>
  <c r="F2375" i="2"/>
  <c r="I2375" i="2"/>
  <c r="E2376" i="2"/>
  <c r="I2376" i="2"/>
  <c r="J2376" i="2"/>
  <c r="E2377" i="2"/>
  <c r="I2377" i="2"/>
  <c r="J2377" i="2"/>
  <c r="E2378" i="2"/>
  <c r="I2378" i="2"/>
  <c r="J2378" i="2"/>
  <c r="E2379" i="2"/>
  <c r="F2379" i="2"/>
  <c r="I2379" i="2"/>
  <c r="J2379" i="2"/>
  <c r="E2380" i="2"/>
  <c r="F2380" i="2"/>
  <c r="I2380" i="2"/>
  <c r="J2380" i="2"/>
  <c r="E2381" i="2"/>
  <c r="I2381" i="2"/>
  <c r="E2382" i="2"/>
  <c r="F2382" i="2"/>
  <c r="I2382" i="2"/>
  <c r="J2382" i="2"/>
  <c r="E2383" i="2"/>
  <c r="I2383" i="2"/>
  <c r="J2383" i="2"/>
  <c r="E2384" i="2"/>
  <c r="F2384" i="2"/>
  <c r="I2384" i="2"/>
  <c r="J2384" i="2"/>
  <c r="E2385" i="2"/>
  <c r="I2385" i="2"/>
  <c r="J2385" i="2"/>
  <c r="E2386" i="2"/>
  <c r="I2386" i="2"/>
  <c r="J2386" i="2"/>
  <c r="E2387" i="2"/>
  <c r="F2387" i="2"/>
  <c r="I2387" i="2"/>
  <c r="J2387" i="2"/>
  <c r="E2388" i="2"/>
  <c r="I2388" i="2"/>
  <c r="J2388" i="2"/>
  <c r="E2389" i="2"/>
  <c r="I2389" i="2"/>
  <c r="J2389" i="2"/>
  <c r="E2390" i="2"/>
  <c r="F2390" i="2"/>
  <c r="I2390" i="2"/>
  <c r="J2390" i="2"/>
  <c r="E2391" i="2"/>
  <c r="F2391" i="2"/>
  <c r="I2391" i="2"/>
  <c r="J2391" i="2"/>
  <c r="E2392" i="2"/>
  <c r="F2392" i="2"/>
  <c r="I2392" i="2"/>
  <c r="J2392" i="2"/>
  <c r="E2393" i="2"/>
  <c r="F2393" i="2"/>
  <c r="I2393" i="2"/>
  <c r="J2393" i="2"/>
  <c r="E2394" i="2"/>
  <c r="F2394" i="2"/>
  <c r="I2394" i="2"/>
  <c r="E2395" i="2"/>
  <c r="F2395" i="2"/>
  <c r="I2395" i="2"/>
  <c r="E2396" i="2"/>
  <c r="F2396" i="2"/>
  <c r="I2396" i="2"/>
  <c r="J2396" i="2"/>
  <c r="E2397" i="2"/>
  <c r="I2397" i="2"/>
  <c r="J2397" i="2"/>
  <c r="E2398" i="2"/>
  <c r="F2398" i="2"/>
  <c r="I2398" i="2"/>
  <c r="J2398" i="2"/>
  <c r="E2399" i="2"/>
  <c r="I2399" i="2"/>
  <c r="J2399" i="2"/>
  <c r="E2400" i="2"/>
  <c r="I2400" i="2"/>
  <c r="J2400" i="2"/>
  <c r="E2401" i="2"/>
  <c r="I2401" i="2"/>
  <c r="J2401" i="2"/>
  <c r="E2402" i="2"/>
  <c r="F2402" i="2"/>
  <c r="I2402" i="2"/>
  <c r="J2402" i="2"/>
  <c r="E2403" i="2"/>
  <c r="F2403" i="2"/>
  <c r="I2403" i="2"/>
  <c r="J2403" i="2"/>
  <c r="E2404" i="2"/>
  <c r="F2404" i="2"/>
  <c r="I2404" i="2"/>
  <c r="J2404" i="2"/>
  <c r="E2405" i="2"/>
  <c r="F2405" i="2"/>
  <c r="I2405" i="2"/>
  <c r="J2405" i="2"/>
  <c r="E2406" i="2"/>
  <c r="F2406" i="2"/>
  <c r="I2406" i="2"/>
  <c r="J2406" i="2"/>
  <c r="E2407" i="2"/>
  <c r="F2407" i="2"/>
  <c r="I2407" i="2"/>
  <c r="J2407" i="2"/>
  <c r="E2408" i="2"/>
  <c r="F2408" i="2"/>
  <c r="I2408" i="2"/>
  <c r="J2408" i="2"/>
  <c r="E2409" i="2"/>
  <c r="I2409" i="2"/>
  <c r="J2409" i="2"/>
  <c r="E2410" i="2"/>
  <c r="I2410" i="2"/>
  <c r="J2410" i="2"/>
  <c r="E2411" i="2"/>
  <c r="F2411" i="2"/>
  <c r="I2411" i="2"/>
  <c r="J2411" i="2"/>
  <c r="E2412" i="2"/>
  <c r="I2412" i="2"/>
  <c r="J2412" i="2"/>
  <c r="E2413" i="2"/>
  <c r="I2413" i="2"/>
  <c r="J2413" i="2"/>
  <c r="E2414" i="2"/>
  <c r="I2414" i="2"/>
  <c r="J2414" i="2"/>
  <c r="E2415" i="2"/>
  <c r="I2415" i="2"/>
  <c r="J2415" i="2"/>
  <c r="E2416" i="2"/>
  <c r="F2416" i="2"/>
  <c r="I2416" i="2"/>
  <c r="E2417" i="2"/>
  <c r="F2417" i="2"/>
  <c r="I2417" i="2"/>
  <c r="J2417" i="2"/>
  <c r="E2418" i="2"/>
  <c r="I2418" i="2"/>
  <c r="J2418" i="2"/>
  <c r="E2419" i="2"/>
  <c r="I2419" i="2"/>
  <c r="J2419" i="2"/>
  <c r="E2420" i="2"/>
  <c r="I2420" i="2"/>
  <c r="J2420" i="2"/>
  <c r="E2421" i="2"/>
  <c r="F2421" i="2"/>
  <c r="I2421" i="2"/>
  <c r="J2421" i="2"/>
  <c r="E2422" i="2"/>
  <c r="F2422" i="2"/>
  <c r="I2422" i="2"/>
  <c r="E2423" i="2"/>
  <c r="F2423" i="2"/>
  <c r="I2423" i="2"/>
  <c r="E2424" i="2"/>
  <c r="F2424" i="2"/>
  <c r="I2424" i="2"/>
  <c r="J2424" i="2"/>
  <c r="E2425" i="2"/>
  <c r="F2425" i="2"/>
  <c r="I2425" i="2"/>
  <c r="E2426" i="2"/>
  <c r="F2426" i="2"/>
  <c r="I2426" i="2"/>
  <c r="E2427" i="2"/>
  <c r="F2427" i="2"/>
  <c r="I2427" i="2"/>
  <c r="E2428" i="2"/>
  <c r="F2428" i="2"/>
  <c r="I2428" i="2"/>
  <c r="E2429" i="2"/>
  <c r="F2429" i="2"/>
  <c r="I2429" i="2"/>
  <c r="E2430" i="2"/>
  <c r="F2430" i="2"/>
  <c r="I2430" i="2"/>
  <c r="E2431" i="2"/>
  <c r="F2431" i="2"/>
  <c r="I2431" i="2"/>
  <c r="E2432" i="2"/>
  <c r="F2432" i="2"/>
  <c r="I2432" i="2"/>
  <c r="E2433" i="2"/>
  <c r="F2433" i="2"/>
  <c r="I2433" i="2"/>
  <c r="E2434" i="2"/>
  <c r="I2434" i="2"/>
  <c r="J2434" i="2"/>
  <c r="E2435" i="2"/>
  <c r="I2435" i="2"/>
  <c r="J2435" i="2"/>
  <c r="E2436" i="2"/>
  <c r="F2436" i="2"/>
  <c r="I2436" i="2"/>
  <c r="E2437" i="2"/>
  <c r="I2437" i="2"/>
  <c r="J2437" i="2"/>
  <c r="E2438" i="2"/>
  <c r="F2438" i="2"/>
  <c r="I2438" i="2"/>
  <c r="E2439" i="2"/>
  <c r="F2439" i="2"/>
  <c r="I2439" i="2"/>
  <c r="E2440" i="2"/>
  <c r="F2440" i="2"/>
  <c r="I2440" i="2"/>
  <c r="J2440" i="2"/>
  <c r="E2441" i="2"/>
  <c r="F2441" i="2"/>
  <c r="I2441" i="2"/>
  <c r="J2441" i="2"/>
  <c r="E2442" i="2"/>
  <c r="I2442" i="2"/>
  <c r="E2443" i="2"/>
  <c r="I2443" i="2"/>
  <c r="J2443" i="2"/>
  <c r="E2444" i="2"/>
  <c r="I2444" i="2"/>
  <c r="J2444" i="2"/>
  <c r="E2445" i="2"/>
  <c r="F2445" i="2"/>
  <c r="I2445" i="2"/>
  <c r="E2446" i="2"/>
  <c r="F2446" i="2"/>
  <c r="I2446" i="2"/>
  <c r="E2447" i="2"/>
  <c r="F2447" i="2"/>
  <c r="I2447" i="2"/>
  <c r="J2447" i="2"/>
  <c r="E2448" i="2"/>
  <c r="I2448" i="2"/>
  <c r="J2448" i="2"/>
  <c r="E2449" i="2"/>
  <c r="F2449" i="2"/>
  <c r="I2449" i="2"/>
  <c r="E2450" i="2"/>
  <c r="F2450" i="2"/>
  <c r="I2450" i="2"/>
  <c r="J2450" i="2"/>
  <c r="E2451" i="2"/>
  <c r="F2451" i="2"/>
  <c r="I2451" i="2"/>
  <c r="J2451" i="2"/>
  <c r="E2452" i="2"/>
  <c r="I2452" i="2"/>
  <c r="J2452" i="2"/>
  <c r="E2453" i="2"/>
  <c r="F2453" i="2"/>
  <c r="I2453" i="2"/>
  <c r="J2453" i="2"/>
  <c r="E2454" i="2"/>
  <c r="F2454" i="2"/>
  <c r="I2454" i="2"/>
  <c r="J2454" i="2"/>
  <c r="E2455" i="2"/>
  <c r="F2455" i="2"/>
  <c r="I2455" i="2"/>
  <c r="J2455" i="2"/>
  <c r="E2456" i="2"/>
  <c r="F2456" i="2"/>
  <c r="I2456" i="2"/>
  <c r="E2457" i="2"/>
  <c r="I2457" i="2"/>
  <c r="J2457" i="2"/>
  <c r="E2458" i="2"/>
  <c r="I2458" i="2"/>
  <c r="J2458" i="2"/>
  <c r="E2459" i="2"/>
  <c r="F2459" i="2"/>
  <c r="I2459" i="2"/>
  <c r="J2459" i="2"/>
  <c r="E2460" i="2"/>
  <c r="I2460" i="2"/>
  <c r="E2461" i="2"/>
  <c r="I2461" i="2"/>
  <c r="J2461" i="2"/>
  <c r="E2462" i="2"/>
  <c r="F2462" i="2"/>
  <c r="I2462" i="2"/>
  <c r="E2463" i="2"/>
  <c r="I2463" i="2"/>
  <c r="J2463" i="2"/>
  <c r="E2464" i="2"/>
  <c r="F2464" i="2"/>
  <c r="I2464" i="2"/>
  <c r="J2464" i="2"/>
  <c r="E2465" i="2"/>
  <c r="I2465" i="2"/>
  <c r="J2465" i="2"/>
  <c r="E2466" i="2"/>
  <c r="F2466" i="2"/>
  <c r="I2466" i="2"/>
  <c r="E2467" i="2"/>
  <c r="I2467" i="2"/>
  <c r="E2468" i="2"/>
  <c r="I2468" i="2"/>
  <c r="J2468" i="2"/>
  <c r="E2469" i="2"/>
  <c r="F2469" i="2"/>
  <c r="I2469" i="2"/>
  <c r="J2469" i="2"/>
  <c r="E2470" i="2"/>
  <c r="I2470" i="2"/>
  <c r="J2470" i="2"/>
  <c r="E2471" i="2"/>
  <c r="I2471" i="2"/>
  <c r="J2471" i="2"/>
  <c r="E2472" i="2"/>
  <c r="I2472" i="2"/>
  <c r="J2472" i="2"/>
  <c r="E2473" i="2"/>
  <c r="F2473" i="2"/>
  <c r="I2473" i="2"/>
  <c r="J2473" i="2"/>
  <c r="E2474" i="2"/>
  <c r="I2474" i="2"/>
  <c r="E2475" i="2"/>
  <c r="F2475" i="2"/>
  <c r="I2475" i="2"/>
  <c r="J2475" i="2"/>
  <c r="E2476" i="2"/>
  <c r="I2476" i="2"/>
  <c r="J2476" i="2"/>
  <c r="E2477" i="2"/>
  <c r="I2477" i="2"/>
  <c r="J2477" i="2"/>
  <c r="E2478" i="2"/>
  <c r="I2478" i="2"/>
  <c r="J2478" i="2"/>
  <c r="E2479" i="2"/>
  <c r="F2479" i="2"/>
  <c r="I2479" i="2"/>
  <c r="J2479" i="2"/>
  <c r="E2480" i="2"/>
  <c r="I2480" i="2"/>
  <c r="J2480" i="2"/>
  <c r="E2481" i="2"/>
  <c r="F2481" i="2"/>
  <c r="I2481" i="2"/>
  <c r="E2482" i="2"/>
  <c r="I2482" i="2"/>
  <c r="J2482" i="2"/>
  <c r="E2483" i="2"/>
  <c r="F2483" i="2"/>
  <c r="I2483" i="2"/>
  <c r="J2483" i="2"/>
  <c r="E2484" i="2"/>
  <c r="F2484" i="2"/>
  <c r="I2484" i="2"/>
  <c r="J2484" i="2"/>
  <c r="E2485" i="2"/>
  <c r="I2485" i="2"/>
  <c r="J2485" i="2"/>
  <c r="E2486" i="2"/>
  <c r="I2486" i="2"/>
  <c r="J2486" i="2"/>
  <c r="E2487" i="2"/>
  <c r="I2487" i="2"/>
  <c r="J2487" i="2"/>
  <c r="E2488" i="2"/>
  <c r="F2488" i="2"/>
  <c r="I2488" i="2"/>
  <c r="J2488" i="2"/>
  <c r="E2489" i="2"/>
  <c r="F2489" i="2"/>
  <c r="I2489" i="2"/>
  <c r="J2489" i="2"/>
  <c r="E2490" i="2"/>
  <c r="I2490" i="2"/>
  <c r="J2490" i="2"/>
  <c r="E2491" i="2"/>
  <c r="I2491" i="2"/>
  <c r="J2491" i="2"/>
  <c r="E2492" i="2"/>
  <c r="F2492" i="2"/>
  <c r="I2492" i="2"/>
  <c r="J2492" i="2"/>
  <c r="E2493" i="2"/>
  <c r="I2493" i="2"/>
  <c r="J2493" i="2"/>
  <c r="E2494" i="2"/>
  <c r="I2494" i="2"/>
  <c r="J2494" i="2"/>
  <c r="E2495" i="2"/>
  <c r="I2495" i="2"/>
  <c r="J2495" i="2"/>
  <c r="E2496" i="2"/>
  <c r="F2496" i="2"/>
  <c r="I2496" i="2"/>
  <c r="J2496" i="2"/>
  <c r="E2497" i="2"/>
  <c r="I2497" i="2"/>
  <c r="J2497" i="2"/>
  <c r="E2498" i="2"/>
  <c r="F2498" i="2"/>
  <c r="I2498" i="2"/>
  <c r="J2498" i="2"/>
  <c r="E2499" i="2"/>
  <c r="I2499" i="2"/>
  <c r="J2499" i="2"/>
  <c r="E2500" i="2"/>
  <c r="F2500" i="2"/>
  <c r="I2500" i="2"/>
  <c r="J2500" i="2"/>
  <c r="E2501" i="2"/>
  <c r="I2501" i="2"/>
  <c r="E2502" i="2"/>
  <c r="I2502" i="2"/>
  <c r="E2503" i="2"/>
  <c r="I2503" i="2"/>
  <c r="E2504" i="2"/>
  <c r="I2504" i="2"/>
  <c r="J2504" i="2"/>
  <c r="E2505" i="2"/>
  <c r="I2505" i="2"/>
  <c r="J2505" i="2"/>
  <c r="E2506" i="2"/>
  <c r="I2506" i="2"/>
  <c r="J2506" i="2"/>
  <c r="E2507" i="2"/>
  <c r="I2507" i="2"/>
  <c r="E2508" i="2"/>
  <c r="I2508" i="2"/>
  <c r="J2508" i="2"/>
  <c r="E2509" i="2"/>
  <c r="F2509" i="2"/>
  <c r="I2509" i="2"/>
  <c r="J2509" i="2"/>
  <c r="E2510" i="2"/>
  <c r="F2510" i="2"/>
  <c r="I2510" i="2"/>
  <c r="E2511" i="2"/>
  <c r="F2511" i="2"/>
  <c r="I2511" i="2"/>
  <c r="J2511" i="2"/>
  <c r="E2512" i="2"/>
  <c r="F2512" i="2"/>
  <c r="I2512" i="2"/>
  <c r="J2512" i="2"/>
  <c r="E2513" i="2"/>
  <c r="F2513" i="2"/>
  <c r="I2513" i="2"/>
  <c r="J2513" i="2"/>
  <c r="E2514" i="2"/>
  <c r="I2514" i="2"/>
  <c r="E2515" i="2"/>
  <c r="F2515" i="2"/>
  <c r="I2515" i="2"/>
  <c r="J2515" i="2"/>
  <c r="E2516" i="2"/>
  <c r="F2516" i="2"/>
  <c r="I2516" i="2"/>
  <c r="J2516" i="2"/>
  <c r="E2517" i="2"/>
  <c r="F2517" i="2"/>
  <c r="I2517" i="2"/>
  <c r="J2517" i="2"/>
  <c r="E2518" i="2"/>
  <c r="I2518" i="2"/>
  <c r="E2519" i="2"/>
  <c r="F2519" i="2"/>
  <c r="I2519" i="2"/>
  <c r="E2520" i="2"/>
  <c r="I2520" i="2"/>
  <c r="J2520" i="2"/>
  <c r="E2521" i="2"/>
  <c r="F2521" i="2"/>
  <c r="I2521" i="2"/>
  <c r="E2522" i="2"/>
  <c r="F2522" i="2"/>
  <c r="I2522" i="2"/>
  <c r="E2523" i="2"/>
  <c r="I2523" i="2"/>
  <c r="J2523" i="2"/>
  <c r="E2524" i="2"/>
  <c r="I2524" i="2"/>
  <c r="J2524" i="2"/>
  <c r="E2525" i="2"/>
  <c r="I2525" i="2"/>
  <c r="E2526" i="2"/>
  <c r="I2526" i="2"/>
  <c r="E2527" i="2"/>
  <c r="I2527" i="2"/>
  <c r="J2527" i="2"/>
  <c r="E2528" i="2"/>
  <c r="I2528" i="2"/>
  <c r="E2529" i="2"/>
  <c r="I2529" i="2"/>
  <c r="J2529" i="2"/>
  <c r="E2530" i="2"/>
  <c r="F2530" i="2"/>
  <c r="I2530" i="2"/>
  <c r="J2530" i="2"/>
  <c r="E2531" i="2"/>
  <c r="I2531" i="2"/>
  <c r="J2531" i="2"/>
  <c r="E2532" i="2"/>
  <c r="I2532" i="2"/>
  <c r="J2532" i="2"/>
  <c r="E2533" i="2"/>
  <c r="I2533" i="2"/>
  <c r="E2534" i="2"/>
  <c r="I2534" i="2"/>
  <c r="E2535" i="2"/>
  <c r="I2535" i="2"/>
  <c r="J2535" i="2"/>
  <c r="E2536" i="2"/>
  <c r="I2536" i="2"/>
  <c r="J2536" i="2"/>
  <c r="E2537" i="2"/>
  <c r="I2537" i="2"/>
  <c r="E2538" i="2"/>
  <c r="I2538" i="2"/>
  <c r="J2538" i="2"/>
  <c r="E2539" i="2"/>
  <c r="I2539" i="2"/>
  <c r="J2539" i="2"/>
  <c r="E2540" i="2"/>
  <c r="I2540" i="2"/>
  <c r="J2540" i="2"/>
  <c r="E2541" i="2"/>
  <c r="F2541" i="2"/>
  <c r="I2541" i="2"/>
  <c r="E2542" i="2"/>
  <c r="F2542" i="2"/>
  <c r="I2542" i="2"/>
  <c r="E2543" i="2"/>
  <c r="F2543" i="2"/>
  <c r="I2543" i="2"/>
  <c r="E2544" i="2"/>
  <c r="F2544" i="2"/>
  <c r="I2544" i="2"/>
  <c r="E2545" i="2"/>
  <c r="F2545" i="2"/>
  <c r="I2545" i="2"/>
  <c r="E2546" i="2"/>
  <c r="F2546" i="2"/>
  <c r="I2546" i="2"/>
  <c r="E2547" i="2"/>
  <c r="F2547" i="2"/>
  <c r="I2547" i="2"/>
  <c r="E2548" i="2"/>
  <c r="F2548" i="2"/>
  <c r="I2548" i="2"/>
  <c r="E2549" i="2"/>
  <c r="F2549" i="2"/>
  <c r="I2549" i="2"/>
  <c r="E2550" i="2"/>
  <c r="F2550" i="2"/>
  <c r="I2550" i="2"/>
  <c r="E2551" i="2"/>
  <c r="F2551" i="2"/>
  <c r="I2551" i="2"/>
  <c r="J2551" i="2"/>
  <c r="E2552" i="2"/>
  <c r="F2552" i="2"/>
  <c r="I2552" i="2"/>
  <c r="E2553" i="2"/>
  <c r="I2553" i="2"/>
  <c r="J2553" i="2"/>
  <c r="E2554" i="2"/>
  <c r="I2554" i="2"/>
  <c r="E2555" i="2"/>
  <c r="I2555" i="2"/>
  <c r="E2556" i="2"/>
  <c r="F2556" i="2"/>
  <c r="I2556" i="2"/>
  <c r="E2557" i="2"/>
  <c r="I2557" i="2"/>
  <c r="J2557" i="2"/>
  <c r="E2558" i="2"/>
  <c r="I2558" i="2"/>
  <c r="J2558" i="2"/>
  <c r="E2559" i="2"/>
  <c r="I2559" i="2"/>
  <c r="J2559" i="2"/>
  <c r="E2560" i="2"/>
  <c r="I2560" i="2"/>
  <c r="E2561" i="2"/>
  <c r="F2561" i="2"/>
  <c r="I2561" i="2"/>
  <c r="E2562" i="2"/>
  <c r="I2562" i="2"/>
  <c r="J2562" i="2"/>
  <c r="E2563" i="2"/>
  <c r="I2563" i="2"/>
  <c r="J2563" i="2"/>
  <c r="E2564" i="2"/>
  <c r="I2564" i="2"/>
  <c r="J2564" i="2"/>
  <c r="E2565" i="2"/>
  <c r="I2565" i="2"/>
  <c r="J2565" i="2"/>
  <c r="E2566" i="2"/>
  <c r="I2566" i="2"/>
  <c r="J2566" i="2"/>
  <c r="E2567" i="2"/>
  <c r="I2567" i="2"/>
  <c r="J2567" i="2"/>
  <c r="E2568" i="2"/>
  <c r="F2568" i="2"/>
  <c r="I2568" i="2"/>
  <c r="J2568" i="2"/>
  <c r="E2569" i="2"/>
  <c r="I2569" i="2"/>
  <c r="J2569" i="2"/>
  <c r="E2570" i="2"/>
  <c r="I2570" i="2"/>
  <c r="J2570" i="2"/>
  <c r="E2571" i="2"/>
  <c r="F2571" i="2"/>
  <c r="I2571" i="2"/>
  <c r="E2572" i="2"/>
  <c r="I2572" i="2"/>
  <c r="E2573" i="2"/>
  <c r="I2573" i="2"/>
  <c r="J2573" i="2"/>
  <c r="E2574" i="2"/>
  <c r="I2574" i="2"/>
  <c r="E2575" i="2"/>
  <c r="I2575" i="2"/>
  <c r="J2575" i="2"/>
  <c r="E2576" i="2"/>
  <c r="I2576" i="2"/>
  <c r="J2576" i="2"/>
  <c r="E2577" i="2"/>
  <c r="I2577" i="2"/>
  <c r="E2578" i="2"/>
  <c r="F2578" i="2"/>
  <c r="I2578" i="2"/>
  <c r="E2579" i="2"/>
  <c r="F2579" i="2"/>
  <c r="I2579" i="2"/>
  <c r="J2579" i="2"/>
  <c r="E2580" i="2"/>
  <c r="F2580" i="2"/>
  <c r="I2580" i="2"/>
  <c r="E2581" i="2"/>
  <c r="F2581" i="2"/>
  <c r="I2581" i="2"/>
  <c r="E2582" i="2"/>
  <c r="F2582" i="2"/>
  <c r="I2582" i="2"/>
  <c r="E2583" i="2"/>
  <c r="F2583" i="2"/>
  <c r="I2583" i="2"/>
  <c r="E2584" i="2"/>
  <c r="F2584" i="2"/>
  <c r="I2584" i="2"/>
  <c r="E2585" i="2"/>
  <c r="F2585" i="2"/>
  <c r="I2585" i="2"/>
  <c r="E2586" i="2"/>
  <c r="I2586" i="2"/>
  <c r="J2586" i="2"/>
  <c r="E2587" i="2"/>
  <c r="I2587" i="2"/>
  <c r="J2587" i="2"/>
  <c r="E2588" i="2"/>
  <c r="F2588" i="2"/>
  <c r="I2588" i="2"/>
  <c r="E2589" i="2"/>
  <c r="I2589" i="2"/>
  <c r="J2589" i="2"/>
  <c r="E2590" i="2"/>
  <c r="F2590" i="2"/>
  <c r="I2590" i="2"/>
  <c r="E2591" i="2"/>
  <c r="F2591" i="2"/>
  <c r="I2591" i="2"/>
  <c r="J2591" i="2"/>
  <c r="E2592" i="2"/>
  <c r="I2592" i="2"/>
  <c r="J2592" i="2"/>
  <c r="E2593" i="2"/>
  <c r="I2593" i="2"/>
  <c r="J2593" i="2"/>
  <c r="E2594" i="2"/>
  <c r="I2594" i="2"/>
  <c r="J2594" i="2"/>
  <c r="E2595" i="2"/>
  <c r="I2595" i="2"/>
  <c r="J2595" i="2"/>
  <c r="E2596" i="2"/>
  <c r="I2596" i="2"/>
  <c r="E2597" i="2"/>
  <c r="I2597" i="2"/>
  <c r="J2597" i="2"/>
  <c r="E2598" i="2"/>
  <c r="I2598" i="2"/>
  <c r="J2598" i="2"/>
  <c r="E2599" i="2"/>
  <c r="I2599" i="2"/>
  <c r="J2599" i="2"/>
  <c r="E2600" i="2"/>
  <c r="I2600" i="2"/>
  <c r="J2600" i="2"/>
  <c r="E2601" i="2"/>
  <c r="I2601" i="2"/>
  <c r="J2601" i="2"/>
  <c r="E2602" i="2"/>
  <c r="I2602" i="2"/>
  <c r="J2602" i="2"/>
  <c r="E2603" i="2"/>
  <c r="F2603" i="2"/>
  <c r="I2603" i="2"/>
  <c r="J2603" i="2"/>
  <c r="E2604" i="2"/>
  <c r="F2604" i="2"/>
  <c r="I2604" i="2"/>
  <c r="J2604" i="2"/>
  <c r="E2605" i="2"/>
  <c r="I2605" i="2"/>
  <c r="E2606" i="2"/>
  <c r="I2606" i="2"/>
  <c r="E2607" i="2"/>
  <c r="I2607" i="2"/>
  <c r="E2608" i="2"/>
  <c r="I2608" i="2"/>
  <c r="E2609" i="2"/>
  <c r="I2609" i="2"/>
  <c r="E2610" i="2"/>
  <c r="I2610" i="2"/>
  <c r="E2611" i="2"/>
  <c r="I2611" i="2"/>
  <c r="E2612" i="2"/>
  <c r="I2612" i="2"/>
  <c r="E2613" i="2"/>
  <c r="I2613" i="2"/>
  <c r="E2614" i="2"/>
  <c r="I2614" i="2"/>
  <c r="E2615" i="2"/>
  <c r="F2615" i="2"/>
  <c r="I2615" i="2"/>
  <c r="J2615" i="2"/>
  <c r="E2616" i="2"/>
  <c r="F2616" i="2"/>
  <c r="I2616" i="2"/>
  <c r="J2616" i="2"/>
  <c r="E2617" i="2"/>
  <c r="I2617" i="2"/>
  <c r="J2617" i="2"/>
  <c r="E2618" i="2"/>
  <c r="F2618" i="2"/>
  <c r="I2618" i="2"/>
  <c r="E2619" i="2"/>
  <c r="I2619" i="2"/>
  <c r="J2619" i="2"/>
  <c r="E2620" i="2"/>
  <c r="I2620" i="2"/>
  <c r="J2620" i="2"/>
  <c r="E2621" i="2"/>
  <c r="F2621" i="2"/>
  <c r="I2621" i="2"/>
  <c r="E2622" i="2"/>
  <c r="I2622" i="2"/>
  <c r="J2622" i="2"/>
  <c r="E2623" i="2"/>
  <c r="I2623" i="2"/>
  <c r="J2623" i="2"/>
  <c r="E2624" i="2"/>
  <c r="F2624" i="2"/>
  <c r="I2624" i="2"/>
  <c r="E2625" i="2"/>
  <c r="F2625" i="2"/>
  <c r="I2625" i="2"/>
  <c r="E2626" i="2"/>
  <c r="F2626" i="2"/>
  <c r="I2626" i="2"/>
  <c r="E2627" i="2"/>
  <c r="F2627" i="2"/>
  <c r="I2627" i="2"/>
  <c r="E2628" i="2"/>
  <c r="I2628" i="2"/>
  <c r="J2628" i="2"/>
  <c r="E2629" i="2"/>
  <c r="I2629" i="2"/>
  <c r="J2629" i="2"/>
  <c r="E2630" i="2"/>
  <c r="F2630" i="2"/>
  <c r="I2630" i="2"/>
  <c r="J2630" i="2"/>
  <c r="E2631" i="2"/>
  <c r="I2631" i="2"/>
  <c r="J2631" i="2"/>
  <c r="E2632" i="2"/>
  <c r="I2632" i="2"/>
  <c r="E2633" i="2"/>
  <c r="F2633" i="2"/>
  <c r="I2633" i="2"/>
  <c r="E2634" i="2"/>
  <c r="I2634" i="2"/>
  <c r="J2634" i="2"/>
  <c r="E2635" i="2"/>
  <c r="F2635" i="2"/>
  <c r="I2635" i="2"/>
  <c r="E2636" i="2"/>
  <c r="I2636" i="2"/>
  <c r="J2636" i="2"/>
  <c r="E2637" i="2"/>
  <c r="I2637" i="2"/>
  <c r="J2637" i="2"/>
  <c r="E2638" i="2"/>
  <c r="I2638" i="2"/>
  <c r="J2638" i="2"/>
  <c r="E2639" i="2"/>
  <c r="I2639" i="2"/>
  <c r="J2639" i="2"/>
  <c r="E2640" i="2"/>
  <c r="I2640" i="2"/>
  <c r="J2640" i="2"/>
  <c r="E2641" i="2"/>
  <c r="F2641" i="2"/>
  <c r="I2641" i="2"/>
  <c r="J2641" i="2"/>
  <c r="E2642" i="2"/>
  <c r="F2642" i="2"/>
  <c r="I2642" i="2"/>
  <c r="E2643" i="2"/>
  <c r="F2643" i="2"/>
  <c r="I2643" i="2"/>
  <c r="E2644" i="2"/>
  <c r="F2644" i="2"/>
  <c r="I2644" i="2"/>
  <c r="J2644" i="2"/>
  <c r="E2645" i="2"/>
  <c r="F2645" i="2"/>
  <c r="I2645" i="2"/>
  <c r="J2645" i="2"/>
  <c r="E2646" i="2"/>
  <c r="I2646" i="2"/>
  <c r="J2646" i="2"/>
  <c r="E2647" i="2"/>
  <c r="I2647" i="2"/>
  <c r="J2647" i="2"/>
  <c r="E2648" i="2"/>
  <c r="F2648" i="2"/>
  <c r="I2648" i="2"/>
  <c r="E2649" i="2"/>
  <c r="F2649" i="2"/>
  <c r="I2649" i="2"/>
  <c r="E2650" i="2"/>
  <c r="F2650" i="2"/>
  <c r="I2650" i="2"/>
  <c r="E2651" i="2"/>
  <c r="I2651" i="2"/>
  <c r="J2651" i="2"/>
  <c r="E2652" i="2"/>
  <c r="I2652" i="2"/>
  <c r="J2652" i="2"/>
  <c r="E2653" i="2"/>
  <c r="I2653" i="2"/>
  <c r="J2653" i="2"/>
  <c r="E2654" i="2"/>
  <c r="I2654" i="2"/>
  <c r="J2654" i="2"/>
  <c r="E2655" i="2"/>
  <c r="I2655" i="2"/>
  <c r="E2656" i="2"/>
  <c r="F2656" i="2"/>
  <c r="I2656" i="2"/>
  <c r="J2656" i="2"/>
  <c r="E2657" i="2"/>
  <c r="F2657" i="2"/>
  <c r="I2657" i="2"/>
  <c r="E2658" i="2"/>
  <c r="F2658" i="2"/>
  <c r="I2658" i="2"/>
  <c r="J2658" i="2"/>
  <c r="E2659" i="2"/>
  <c r="F2659" i="2"/>
  <c r="I2659" i="2"/>
  <c r="J2659" i="2"/>
  <c r="E2660" i="2"/>
  <c r="I2660" i="2"/>
  <c r="J2660" i="2"/>
  <c r="E2661" i="2"/>
  <c r="I2661" i="2"/>
  <c r="E2662" i="2"/>
  <c r="I2662" i="2"/>
  <c r="J2662" i="2"/>
  <c r="E2663" i="2"/>
  <c r="F2663" i="2"/>
  <c r="I2663" i="2"/>
  <c r="E2664" i="2"/>
  <c r="I2664" i="2"/>
  <c r="J2664" i="2"/>
  <c r="E2665" i="2"/>
  <c r="I2665" i="2"/>
  <c r="J2665" i="2"/>
  <c r="E2666" i="2"/>
  <c r="F2666" i="2"/>
  <c r="I2666" i="2"/>
  <c r="J2666" i="2"/>
  <c r="E2667" i="2"/>
  <c r="I2667" i="2"/>
  <c r="J2667" i="2"/>
  <c r="E2668" i="2"/>
  <c r="F2668" i="2"/>
  <c r="I2668" i="2"/>
  <c r="J2668" i="2"/>
  <c r="E2669" i="2"/>
  <c r="F2669" i="2"/>
  <c r="I2669" i="2"/>
  <c r="J2669" i="2"/>
  <c r="E2670" i="2"/>
  <c r="F2670" i="2"/>
  <c r="I2670" i="2"/>
  <c r="J2670" i="2"/>
  <c r="E2671" i="2"/>
  <c r="F2671" i="2"/>
  <c r="I2671" i="2"/>
  <c r="J2671" i="2"/>
  <c r="E2672" i="2"/>
  <c r="F2672" i="2"/>
  <c r="I2672" i="2"/>
  <c r="J2672" i="2"/>
  <c r="E2673" i="2"/>
  <c r="F2673" i="2"/>
  <c r="I2673" i="2"/>
  <c r="J2673" i="2"/>
  <c r="E2674" i="2"/>
  <c r="I2674" i="2"/>
  <c r="J2674" i="2"/>
  <c r="E2675" i="2"/>
  <c r="I2675" i="2"/>
  <c r="J2675" i="2"/>
  <c r="E2676" i="2"/>
  <c r="I2676" i="2"/>
  <c r="J2676" i="2"/>
  <c r="E2677" i="2"/>
  <c r="I2677" i="2"/>
  <c r="J2677" i="2"/>
  <c r="E2678" i="2"/>
  <c r="I2678" i="2"/>
  <c r="J2678" i="2"/>
  <c r="E2679" i="2"/>
  <c r="F2679" i="2"/>
  <c r="I2679" i="2"/>
  <c r="J2679" i="2"/>
  <c r="E2680" i="2"/>
  <c r="F2680" i="2"/>
  <c r="I2680" i="2"/>
  <c r="J2680" i="2"/>
  <c r="E2681" i="2"/>
  <c r="F2681" i="2"/>
  <c r="I2681" i="2"/>
  <c r="J2681" i="2"/>
  <c r="E2682" i="2"/>
  <c r="F2682" i="2"/>
  <c r="I2682" i="2"/>
  <c r="J2682" i="2"/>
  <c r="E2683" i="2"/>
  <c r="F2683" i="2"/>
  <c r="I2683" i="2"/>
  <c r="J2683" i="2"/>
  <c r="E2684" i="2"/>
  <c r="F2684" i="2"/>
  <c r="I2684" i="2"/>
  <c r="J2684" i="2"/>
  <c r="E2685" i="2"/>
  <c r="F2685" i="2"/>
  <c r="I2685" i="2"/>
  <c r="J2685" i="2"/>
  <c r="E2686" i="2"/>
  <c r="F2686" i="2"/>
  <c r="I2686" i="2"/>
  <c r="J2686" i="2"/>
  <c r="E2687" i="2"/>
  <c r="I2687" i="2"/>
  <c r="J2687" i="2"/>
  <c r="E2688" i="2"/>
  <c r="F2688" i="2"/>
  <c r="I2688" i="2"/>
  <c r="E2689" i="2"/>
  <c r="I2689" i="2"/>
  <c r="J2689" i="2"/>
  <c r="E2690" i="2"/>
  <c r="F2690" i="2"/>
  <c r="I2690" i="2"/>
  <c r="J2690" i="2"/>
  <c r="E2691" i="2"/>
  <c r="F2691" i="2"/>
  <c r="I2691" i="2"/>
  <c r="J2691" i="2"/>
  <c r="E2692" i="2"/>
  <c r="F2692" i="2"/>
  <c r="I2692" i="2"/>
  <c r="J2692" i="2"/>
  <c r="E2693" i="2"/>
  <c r="F2693" i="2"/>
  <c r="I2693" i="2"/>
  <c r="J2693" i="2"/>
  <c r="E2694" i="2"/>
  <c r="F2694" i="2"/>
  <c r="I2694" i="2"/>
  <c r="J2694" i="2"/>
  <c r="E2695" i="2"/>
  <c r="F2695" i="2"/>
  <c r="I2695" i="2"/>
  <c r="J2695" i="2"/>
  <c r="E2696" i="2"/>
  <c r="F2696" i="2"/>
  <c r="I2696" i="2"/>
  <c r="J2696" i="2"/>
  <c r="E2697" i="2"/>
  <c r="I2697" i="2"/>
  <c r="E2698" i="2"/>
  <c r="I2698" i="2"/>
  <c r="E2699" i="2"/>
  <c r="F2699" i="2"/>
  <c r="I2699" i="2"/>
  <c r="J2699" i="2"/>
  <c r="E2700" i="2"/>
  <c r="F2700" i="2"/>
  <c r="I2700" i="2"/>
  <c r="J2700" i="2"/>
  <c r="E2701" i="2"/>
  <c r="F2701" i="2"/>
  <c r="I2701" i="2"/>
  <c r="J2701" i="2"/>
  <c r="E2702" i="2"/>
  <c r="F2702" i="2"/>
  <c r="I2702" i="2"/>
  <c r="J2702" i="2"/>
  <c r="E2703" i="2"/>
  <c r="F2703" i="2"/>
  <c r="I2703" i="2"/>
  <c r="E2704" i="2"/>
  <c r="I2704" i="2"/>
  <c r="E2705" i="2"/>
  <c r="I2705" i="2"/>
  <c r="E2706" i="2"/>
  <c r="I2706" i="2"/>
  <c r="E2707" i="2"/>
  <c r="I2707" i="2"/>
  <c r="E2708" i="2"/>
  <c r="I2708" i="2"/>
  <c r="J2708" i="2"/>
  <c r="E2709" i="2"/>
  <c r="I2709" i="2"/>
  <c r="E2710" i="2"/>
  <c r="I2710" i="2"/>
  <c r="E2711" i="2"/>
  <c r="I2711" i="2"/>
  <c r="E2712" i="2"/>
  <c r="I2712" i="2"/>
  <c r="E2713" i="2"/>
  <c r="I2713" i="2"/>
  <c r="J2713" i="2"/>
  <c r="E2714" i="2"/>
  <c r="F2714" i="2"/>
  <c r="I2714" i="2"/>
  <c r="J2714" i="2"/>
  <c r="E2715" i="2"/>
  <c r="F2715" i="2"/>
  <c r="I2715" i="2"/>
  <c r="J2715" i="2"/>
  <c r="E2716" i="2"/>
  <c r="I2716" i="2"/>
  <c r="J2716" i="2"/>
  <c r="E2717" i="2"/>
  <c r="F2717" i="2"/>
  <c r="I2717" i="2"/>
  <c r="J2717" i="2"/>
  <c r="E2718" i="2"/>
  <c r="F2718" i="2"/>
  <c r="I2718" i="2"/>
  <c r="J2718" i="2"/>
  <c r="E2719" i="2"/>
  <c r="F2719" i="2"/>
  <c r="I2719" i="2"/>
  <c r="J2719" i="2"/>
  <c r="E2720" i="2"/>
  <c r="F2720" i="2"/>
  <c r="I2720" i="2"/>
  <c r="J2720" i="2"/>
  <c r="E2721" i="2"/>
  <c r="F2721" i="2"/>
  <c r="I2721" i="2"/>
  <c r="J2721" i="2"/>
  <c r="E2722" i="2"/>
  <c r="F2722" i="2"/>
  <c r="I2722" i="2"/>
  <c r="J2722" i="2"/>
  <c r="E2723" i="2"/>
  <c r="I2723" i="2"/>
  <c r="E2724" i="2"/>
  <c r="I2724" i="2"/>
  <c r="J2724" i="2"/>
  <c r="E2725" i="2"/>
  <c r="F2725" i="2"/>
  <c r="I2725" i="2"/>
  <c r="E2726" i="2"/>
  <c r="F2726" i="2"/>
  <c r="I2726" i="2"/>
  <c r="J2726" i="2"/>
  <c r="E2727" i="2"/>
  <c r="I2727" i="2"/>
  <c r="J2727" i="2"/>
  <c r="E2728" i="2"/>
  <c r="I2728" i="2"/>
  <c r="J2728" i="2"/>
  <c r="E2729" i="2"/>
  <c r="F2729" i="2"/>
  <c r="I2729" i="2"/>
  <c r="J2729" i="2"/>
  <c r="E2730" i="2"/>
  <c r="I2730" i="2"/>
  <c r="J2730" i="2"/>
  <c r="E2731" i="2"/>
  <c r="I2731" i="2"/>
  <c r="J2731" i="2"/>
  <c r="E2732" i="2"/>
  <c r="I2732" i="2"/>
  <c r="J2732" i="2"/>
  <c r="E2733" i="2"/>
  <c r="I2733" i="2"/>
  <c r="J2733" i="2"/>
  <c r="E2734" i="2"/>
  <c r="F2734" i="2"/>
  <c r="I2734" i="2"/>
  <c r="E2735" i="2"/>
  <c r="I2735" i="2"/>
  <c r="J2735" i="2"/>
  <c r="E2736" i="2"/>
  <c r="F2736" i="2"/>
  <c r="I2736" i="2"/>
  <c r="J2736" i="2"/>
  <c r="E2737" i="2"/>
  <c r="F2737" i="2"/>
  <c r="I2737" i="2"/>
  <c r="E2738" i="2"/>
  <c r="F2738" i="2"/>
  <c r="I2738" i="2"/>
  <c r="E2739" i="2"/>
  <c r="F2739" i="2"/>
  <c r="I2739" i="2"/>
  <c r="J2739" i="2"/>
  <c r="E2740" i="2"/>
  <c r="F2740" i="2"/>
  <c r="I2740" i="2"/>
  <c r="J2740" i="2"/>
  <c r="E2741" i="2"/>
  <c r="F2741" i="2"/>
  <c r="I2741" i="2"/>
  <c r="J2741" i="2"/>
  <c r="E2742" i="2"/>
  <c r="F2742" i="2"/>
  <c r="I2742" i="2"/>
  <c r="J2742" i="2"/>
  <c r="E2743" i="2"/>
  <c r="I2743" i="2"/>
  <c r="E2744" i="2"/>
  <c r="F2744" i="2"/>
  <c r="I2744" i="2"/>
  <c r="J2744" i="2"/>
  <c r="E2745" i="2"/>
  <c r="I2745" i="2"/>
  <c r="J2745" i="2"/>
  <c r="E2746" i="2"/>
  <c r="I2746" i="2"/>
  <c r="J2746" i="2"/>
  <c r="E2747" i="2"/>
  <c r="F2747" i="2"/>
  <c r="I2747" i="2"/>
  <c r="J2747" i="2"/>
  <c r="E2748" i="2"/>
  <c r="I2748" i="2"/>
  <c r="E2749" i="2"/>
  <c r="I2749" i="2"/>
  <c r="J2749" i="2"/>
  <c r="E2750" i="2"/>
  <c r="I2750" i="2"/>
  <c r="J2750" i="2"/>
  <c r="E2751" i="2"/>
  <c r="I2751" i="2"/>
  <c r="J2751" i="2"/>
  <c r="E2752" i="2"/>
  <c r="I2752" i="2"/>
  <c r="J2752" i="2"/>
  <c r="E2753" i="2"/>
  <c r="I2753" i="2"/>
  <c r="E2754" i="2"/>
  <c r="F2754" i="2"/>
  <c r="I2754" i="2"/>
  <c r="E2755" i="2"/>
  <c r="I2755" i="2"/>
  <c r="J2755" i="2"/>
  <c r="E2756" i="2"/>
  <c r="I2756" i="2"/>
  <c r="J2756" i="2"/>
  <c r="E2757" i="2"/>
  <c r="I2757" i="2"/>
  <c r="E2758" i="2"/>
  <c r="F2758" i="2"/>
  <c r="I2758" i="2"/>
  <c r="J2758" i="2"/>
  <c r="E2759" i="2"/>
  <c r="F2759" i="2"/>
  <c r="I2759" i="2"/>
  <c r="E2760" i="2"/>
  <c r="I2760" i="2"/>
  <c r="J2760" i="2"/>
  <c r="E2761" i="2"/>
  <c r="F2761" i="2"/>
  <c r="I2761" i="2"/>
  <c r="E2762" i="2"/>
  <c r="I2762" i="2"/>
  <c r="E2763" i="2"/>
  <c r="F2763" i="2"/>
  <c r="I2763" i="2"/>
  <c r="J2763" i="2"/>
  <c r="E2764" i="2"/>
  <c r="I2764" i="2"/>
  <c r="J2764" i="2"/>
  <c r="E2765" i="2"/>
  <c r="F2765" i="2"/>
  <c r="I2765" i="2"/>
  <c r="E2766" i="2"/>
  <c r="I2766" i="2"/>
  <c r="J2766" i="2"/>
  <c r="E2767" i="2"/>
  <c r="F2767" i="2"/>
  <c r="I2767" i="2"/>
  <c r="E2768" i="2"/>
  <c r="F2768" i="2"/>
  <c r="I2768" i="2"/>
  <c r="E2769" i="2"/>
  <c r="F2769" i="2"/>
  <c r="I2769" i="2"/>
  <c r="E2770" i="2"/>
  <c r="F2770" i="2"/>
  <c r="I2770" i="2"/>
  <c r="J2770" i="2"/>
  <c r="E2771" i="2"/>
  <c r="I2771" i="2"/>
  <c r="J2771" i="2"/>
  <c r="E2772" i="2"/>
  <c r="I2772" i="2"/>
  <c r="J2772" i="2"/>
  <c r="E2773" i="2"/>
  <c r="I2773" i="2"/>
  <c r="J2773" i="2"/>
  <c r="E2774" i="2"/>
  <c r="F2774" i="2"/>
  <c r="I2774" i="2"/>
  <c r="J2774" i="2"/>
  <c r="E2775" i="2"/>
  <c r="F2775" i="2"/>
  <c r="I2775" i="2"/>
  <c r="J2775" i="2"/>
  <c r="E2776" i="2"/>
  <c r="I2776" i="2"/>
  <c r="J2776" i="2"/>
  <c r="E2777" i="2"/>
  <c r="I2777" i="2"/>
  <c r="E2778" i="2"/>
  <c r="I2778" i="2"/>
  <c r="J2778" i="2"/>
  <c r="E2779" i="2"/>
  <c r="I2779" i="2"/>
  <c r="J2779" i="2"/>
  <c r="E2780" i="2"/>
  <c r="F2780" i="2"/>
  <c r="I2780" i="2"/>
  <c r="E2781" i="2"/>
  <c r="F2781" i="2"/>
  <c r="I2781" i="2"/>
  <c r="E2782" i="2"/>
  <c r="F2782" i="2"/>
  <c r="I2782" i="2"/>
  <c r="J2782" i="2"/>
  <c r="E2783" i="2"/>
  <c r="F2783" i="2"/>
  <c r="I2783" i="2"/>
  <c r="E2784" i="2"/>
  <c r="I2784" i="2"/>
  <c r="E2785" i="2"/>
  <c r="F2785" i="2"/>
  <c r="I2785" i="2"/>
  <c r="E2786" i="2"/>
  <c r="F2786" i="2"/>
  <c r="I2786" i="2"/>
  <c r="E2787" i="2"/>
  <c r="F2787" i="2"/>
  <c r="I2787" i="2"/>
  <c r="E2788" i="2"/>
  <c r="F2788" i="2"/>
  <c r="I2788" i="2"/>
  <c r="E2789" i="2"/>
  <c r="F2789" i="2"/>
  <c r="I2789" i="2"/>
  <c r="E2790" i="2"/>
  <c r="F2790" i="2"/>
  <c r="I2790" i="2"/>
  <c r="E2791" i="2"/>
  <c r="F2791" i="2"/>
  <c r="I2791" i="2"/>
  <c r="E2792" i="2"/>
  <c r="F2792" i="2"/>
  <c r="I2792" i="2"/>
  <c r="E2793" i="2"/>
  <c r="I2793" i="2"/>
  <c r="E2794" i="2"/>
  <c r="I2794" i="2"/>
  <c r="J2794" i="2"/>
  <c r="E2795" i="2"/>
  <c r="I2795" i="2"/>
  <c r="J2795" i="2"/>
  <c r="E2796" i="2"/>
  <c r="F2796" i="2"/>
  <c r="I2796" i="2"/>
  <c r="E2797" i="2"/>
  <c r="F2797" i="2"/>
  <c r="I2797" i="2"/>
  <c r="E2798" i="2"/>
  <c r="I2798" i="2"/>
  <c r="J2798" i="2"/>
  <c r="E2799" i="2"/>
  <c r="F2799" i="2"/>
  <c r="I2799" i="2"/>
  <c r="E2800" i="2"/>
  <c r="F2800" i="2"/>
  <c r="I2800" i="2"/>
  <c r="E2801" i="2"/>
  <c r="F2801" i="2"/>
  <c r="I2801" i="2"/>
  <c r="E2802" i="2"/>
  <c r="F2802" i="2"/>
  <c r="I2802" i="2"/>
  <c r="J2802" i="2"/>
  <c r="E2803" i="2"/>
  <c r="I2803" i="2"/>
  <c r="J2803" i="2"/>
  <c r="E2804" i="2"/>
  <c r="I2804" i="2"/>
  <c r="J2804" i="2"/>
  <c r="E2805" i="2"/>
  <c r="I2805" i="2"/>
  <c r="J2805" i="2"/>
  <c r="E2806" i="2"/>
  <c r="I2806" i="2"/>
  <c r="J2806" i="2"/>
  <c r="E2807" i="2"/>
  <c r="F2807" i="2"/>
  <c r="I2807" i="2"/>
  <c r="J2807" i="2"/>
  <c r="E2808" i="2"/>
  <c r="F2808" i="2"/>
  <c r="I2808" i="2"/>
  <c r="E2809" i="2"/>
  <c r="F2809" i="2"/>
  <c r="I2809" i="2"/>
  <c r="J2809" i="2"/>
  <c r="E2810" i="2"/>
  <c r="F2810" i="2"/>
  <c r="I2810" i="2"/>
  <c r="E2811" i="2"/>
  <c r="F2811" i="2"/>
  <c r="I2811" i="2"/>
  <c r="E2812" i="2"/>
  <c r="F2812" i="2"/>
  <c r="I2812" i="2"/>
  <c r="J2812" i="2"/>
  <c r="E2813" i="2"/>
  <c r="F2813" i="2"/>
  <c r="I2813" i="2"/>
  <c r="E2814" i="2"/>
  <c r="I2814" i="2"/>
  <c r="J2814" i="2"/>
  <c r="E2815" i="2"/>
  <c r="I2815" i="2"/>
  <c r="J2815" i="2"/>
  <c r="E2816" i="2"/>
  <c r="F2816" i="2"/>
  <c r="I2816" i="2"/>
  <c r="J2816" i="2"/>
  <c r="E2817" i="2"/>
  <c r="F2817" i="2"/>
  <c r="I2817" i="2"/>
  <c r="J2817" i="2"/>
  <c r="E2818" i="2"/>
  <c r="I2818" i="2"/>
  <c r="J2818" i="2"/>
  <c r="E2819" i="2"/>
  <c r="I2819" i="2"/>
  <c r="J2819" i="2"/>
  <c r="E2820" i="2"/>
  <c r="I2820" i="2"/>
  <c r="J2820" i="2"/>
  <c r="E2821" i="2"/>
  <c r="F2821" i="2"/>
  <c r="I2821" i="2"/>
  <c r="J2821" i="2"/>
  <c r="E2822" i="2"/>
  <c r="F2822" i="2"/>
  <c r="I2822" i="2"/>
  <c r="J2822" i="2"/>
  <c r="E2823" i="2"/>
  <c r="F2823" i="2"/>
  <c r="I2823" i="2"/>
  <c r="J2823" i="2"/>
  <c r="E2824" i="2"/>
  <c r="F2824" i="2"/>
  <c r="I2824" i="2"/>
  <c r="J2824" i="2"/>
  <c r="E2825" i="2"/>
  <c r="F2825" i="2"/>
  <c r="I2825" i="2"/>
  <c r="J2825" i="2"/>
  <c r="E2826" i="2"/>
  <c r="F2826" i="2"/>
  <c r="I2826" i="2"/>
  <c r="J2826" i="2"/>
  <c r="E2827" i="2"/>
  <c r="F2827" i="2"/>
  <c r="I2827" i="2"/>
  <c r="E2828" i="2"/>
  <c r="F2828" i="2"/>
  <c r="I2828" i="2"/>
  <c r="J2828" i="2"/>
  <c r="E2829" i="2"/>
  <c r="F2829" i="2"/>
  <c r="I2829" i="2"/>
  <c r="J2829" i="2"/>
  <c r="E2830" i="2"/>
  <c r="F2830" i="2"/>
  <c r="I2830" i="2"/>
  <c r="J2830" i="2"/>
  <c r="E2831" i="2"/>
  <c r="F2831" i="2"/>
  <c r="I2831" i="2"/>
  <c r="J2831" i="2"/>
  <c r="E2832" i="2"/>
  <c r="F2832" i="2"/>
  <c r="I2832" i="2"/>
  <c r="J2832" i="2"/>
  <c r="E2833" i="2"/>
  <c r="F2833" i="2"/>
  <c r="I2833" i="2"/>
  <c r="E2834" i="2"/>
  <c r="F2834" i="2"/>
  <c r="I2834" i="2"/>
  <c r="E2835" i="2"/>
  <c r="I2835" i="2"/>
  <c r="J2835" i="2"/>
  <c r="E2836" i="2"/>
  <c r="F2836" i="2"/>
  <c r="I2836" i="2"/>
  <c r="J2836" i="2"/>
  <c r="E2837" i="2"/>
  <c r="F2837" i="2"/>
  <c r="I2837" i="2"/>
  <c r="J2837" i="2"/>
  <c r="E2838" i="2"/>
  <c r="F2838" i="2"/>
  <c r="I2838" i="2"/>
  <c r="J2838" i="2"/>
  <c r="E2839" i="2"/>
  <c r="I2839" i="2"/>
  <c r="J2839" i="2"/>
  <c r="E2840" i="2"/>
  <c r="I2840" i="2"/>
  <c r="J2840" i="2"/>
  <c r="E2841" i="2"/>
  <c r="I2841" i="2"/>
  <c r="J2841" i="2"/>
  <c r="E2842" i="2"/>
  <c r="F2842" i="2"/>
  <c r="I2842" i="2"/>
  <c r="E2843" i="2"/>
  <c r="F2843" i="2"/>
  <c r="I2843" i="2"/>
  <c r="E2844" i="2"/>
  <c r="F2844" i="2"/>
  <c r="I2844" i="2"/>
  <c r="J2844" i="2"/>
  <c r="E2845" i="2"/>
  <c r="I2845" i="2"/>
  <c r="E2846" i="2"/>
  <c r="F2846" i="2"/>
  <c r="I2846" i="2"/>
  <c r="J2846" i="2"/>
  <c r="E2847" i="2"/>
  <c r="I2847" i="2"/>
  <c r="J2847" i="2"/>
  <c r="E2848" i="2"/>
  <c r="I2848" i="2"/>
  <c r="J2848" i="2"/>
  <c r="E2849" i="2"/>
  <c r="F2849" i="2"/>
  <c r="I2849" i="2"/>
  <c r="E2850" i="2"/>
  <c r="I2850" i="2"/>
  <c r="J2850" i="2"/>
  <c r="E2851" i="2"/>
  <c r="I2851" i="2"/>
  <c r="J2851" i="2"/>
  <c r="E2852" i="2"/>
  <c r="I2852" i="2"/>
  <c r="J2852" i="2"/>
  <c r="D2" i="1"/>
  <c r="H2" i="1"/>
  <c r="I2" i="1"/>
  <c r="D3" i="1"/>
  <c r="E3" i="1"/>
  <c r="H3" i="1"/>
  <c r="D41" i="1"/>
  <c r="E41" i="1"/>
  <c r="H41" i="1"/>
  <c r="I41" i="1"/>
  <c r="D78" i="1"/>
  <c r="E78" i="1"/>
  <c r="H78" i="1"/>
  <c r="I78" i="1"/>
  <c r="D13" i="1"/>
  <c r="E13" i="1"/>
  <c r="H13" i="1"/>
  <c r="I13" i="1"/>
  <c r="D92" i="1"/>
  <c r="E92" i="1"/>
  <c r="H92" i="1"/>
  <c r="D17" i="1"/>
  <c r="H17" i="1"/>
  <c r="D4" i="1"/>
  <c r="E4" i="1"/>
  <c r="H4" i="1"/>
  <c r="D5" i="1"/>
  <c r="E5" i="1"/>
  <c r="H5" i="1"/>
  <c r="D53" i="1"/>
  <c r="E53" i="1"/>
  <c r="H53" i="1"/>
  <c r="D14" i="1"/>
  <c r="E14" i="1"/>
  <c r="H14" i="1"/>
  <c r="D15" i="1"/>
  <c r="E15" i="1"/>
  <c r="H15" i="1"/>
  <c r="D16" i="1"/>
  <c r="E16" i="1"/>
  <c r="H16" i="1"/>
  <c r="I16" i="1"/>
  <c r="D24" i="1"/>
  <c r="H24" i="1"/>
  <c r="I24" i="1"/>
  <c r="D25" i="1"/>
  <c r="H25" i="1"/>
  <c r="I25" i="1"/>
  <c r="D85" i="1"/>
  <c r="E85" i="1"/>
  <c r="H85" i="1"/>
  <c r="I85" i="1"/>
  <c r="D81" i="1"/>
  <c r="H81" i="1"/>
  <c r="I81" i="1"/>
  <c r="D134" i="1"/>
  <c r="H134" i="1"/>
  <c r="I134" i="1"/>
  <c r="D135" i="1"/>
  <c r="H135" i="1"/>
  <c r="I135" i="1"/>
  <c r="D66" i="1"/>
  <c r="H66" i="1"/>
  <c r="I66" i="1"/>
  <c r="D54" i="1"/>
  <c r="H54" i="1"/>
  <c r="D55" i="1"/>
  <c r="H55" i="1"/>
  <c r="D56" i="1"/>
  <c r="H56" i="1"/>
  <c r="D19" i="1"/>
  <c r="H19" i="1"/>
  <c r="I19" i="1"/>
  <c r="D93" i="1"/>
  <c r="E93" i="1"/>
  <c r="H93" i="1"/>
  <c r="I93" i="1"/>
  <c r="D88" i="1"/>
  <c r="E88" i="1"/>
  <c r="H88" i="1"/>
  <c r="I88" i="1"/>
  <c r="D90" i="1"/>
  <c r="H90" i="1"/>
  <c r="I90" i="1"/>
  <c r="D91" i="1"/>
  <c r="H91" i="1"/>
  <c r="I91" i="1"/>
  <c r="D20" i="1"/>
  <c r="H20" i="1"/>
  <c r="I20" i="1"/>
  <c r="D79" i="1"/>
  <c r="H79" i="1"/>
  <c r="I79" i="1"/>
  <c r="D80" i="1"/>
  <c r="H80" i="1"/>
  <c r="I80" i="1"/>
  <c r="D21" i="1"/>
  <c r="E21" i="1"/>
  <c r="H21" i="1"/>
  <c r="D22" i="1"/>
  <c r="E22" i="1"/>
  <c r="H22" i="1"/>
  <c r="D64" i="1"/>
  <c r="E64" i="1"/>
  <c r="H64" i="1"/>
  <c r="I64" i="1"/>
  <c r="D6" i="1"/>
  <c r="H6" i="1"/>
  <c r="I6" i="1"/>
  <c r="D7" i="1"/>
  <c r="E7" i="1"/>
  <c r="H7" i="1"/>
  <c r="I7" i="1"/>
  <c r="D36" i="1"/>
  <c r="E36" i="1"/>
  <c r="H36" i="1"/>
  <c r="D11" i="1"/>
  <c r="H11" i="1"/>
  <c r="I11" i="1"/>
  <c r="D8" i="1"/>
  <c r="H8" i="1"/>
  <c r="I8" i="1"/>
  <c r="D9" i="1"/>
  <c r="H9" i="1"/>
  <c r="D10" i="1"/>
  <c r="H10" i="1"/>
  <c r="I10" i="1"/>
  <c r="D63" i="1"/>
  <c r="H63" i="1"/>
  <c r="D46" i="1"/>
  <c r="H46" i="1"/>
  <c r="D18" i="1"/>
  <c r="H18" i="1"/>
  <c r="I18" i="1"/>
  <c r="D94" i="1"/>
  <c r="H94" i="1"/>
  <c r="I94" i="1"/>
  <c r="D95" i="1"/>
  <c r="H95" i="1"/>
  <c r="I95" i="1"/>
  <c r="D31" i="1"/>
  <c r="E31" i="1"/>
  <c r="H31" i="1"/>
  <c r="D12" i="1"/>
  <c r="H12" i="1"/>
  <c r="D67" i="1"/>
  <c r="E67" i="1"/>
  <c r="H67" i="1"/>
  <c r="D89" i="1"/>
  <c r="H89" i="1"/>
  <c r="I89" i="1"/>
  <c r="D47" i="1"/>
  <c r="E47" i="1"/>
  <c r="H47" i="1"/>
  <c r="D68" i="1"/>
  <c r="E68" i="1"/>
  <c r="H68" i="1"/>
  <c r="D144" i="1"/>
  <c r="E144" i="1"/>
  <c r="H144" i="1"/>
  <c r="D69" i="1"/>
  <c r="E69" i="1"/>
  <c r="H69" i="1"/>
  <c r="D32" i="1"/>
  <c r="E32" i="1"/>
  <c r="H32" i="1"/>
  <c r="I32" i="1"/>
  <c r="D42" i="1"/>
  <c r="E42" i="1"/>
  <c r="H42" i="1"/>
  <c r="I42" i="1"/>
  <c r="D70" i="1"/>
  <c r="H70" i="1"/>
  <c r="D86" i="1"/>
  <c r="E86" i="1"/>
  <c r="H86" i="1"/>
  <c r="I86" i="1"/>
  <c r="D48" i="1"/>
  <c r="H48" i="1"/>
  <c r="D43" i="1"/>
  <c r="E43" i="1"/>
  <c r="H43" i="1"/>
  <c r="D44" i="1"/>
  <c r="E44" i="1"/>
  <c r="H44" i="1"/>
  <c r="D49" i="1"/>
  <c r="E49" i="1"/>
  <c r="H49" i="1"/>
  <c r="I49" i="1"/>
  <c r="D71" i="1"/>
  <c r="E71" i="1"/>
  <c r="H71" i="1"/>
  <c r="I71" i="1"/>
  <c r="D129" i="1"/>
  <c r="E129" i="1"/>
  <c r="H129" i="1"/>
  <c r="D26" i="1"/>
  <c r="E26" i="1"/>
  <c r="H26" i="1"/>
  <c r="I26" i="1"/>
  <c r="D72" i="1"/>
  <c r="E72" i="1"/>
  <c r="H72" i="1"/>
  <c r="I72" i="1"/>
  <c r="D45" i="1"/>
  <c r="E45" i="1"/>
  <c r="H45" i="1"/>
  <c r="D82" i="1"/>
  <c r="E82" i="1"/>
  <c r="H82" i="1"/>
  <c r="D23" i="1"/>
  <c r="E23" i="1"/>
  <c r="H23" i="1"/>
  <c r="D130" i="1"/>
  <c r="E130" i="1"/>
  <c r="H130" i="1"/>
  <c r="D50" i="1"/>
  <c r="E50" i="1"/>
  <c r="H50" i="1"/>
  <c r="I50" i="1"/>
  <c r="D51" i="1"/>
  <c r="E51" i="1"/>
  <c r="H51" i="1"/>
  <c r="I51" i="1"/>
  <c r="D83" i="1"/>
  <c r="H83" i="1"/>
  <c r="I83" i="1"/>
  <c r="D27" i="1"/>
  <c r="H27" i="1"/>
  <c r="I27" i="1"/>
  <c r="D84" i="1"/>
  <c r="E84" i="1"/>
  <c r="H84" i="1"/>
  <c r="D131" i="1"/>
  <c r="E131" i="1"/>
  <c r="H131" i="1"/>
  <c r="D132" i="1"/>
  <c r="E132" i="1"/>
  <c r="H132" i="1"/>
  <c r="D133" i="1"/>
  <c r="E133" i="1"/>
  <c r="H133" i="1"/>
  <c r="D52" i="1"/>
  <c r="E52" i="1"/>
  <c r="H52" i="1"/>
  <c r="D57" i="1"/>
  <c r="E57" i="1"/>
  <c r="H57" i="1"/>
  <c r="I57" i="1"/>
  <c r="D136" i="1"/>
  <c r="E136" i="1"/>
  <c r="H136" i="1"/>
  <c r="I136" i="1"/>
  <c r="D137" i="1"/>
  <c r="H137" i="1"/>
  <c r="I137" i="1"/>
  <c r="D138" i="1"/>
  <c r="H138" i="1"/>
  <c r="I138" i="1"/>
  <c r="D139" i="1"/>
  <c r="E139" i="1"/>
  <c r="H139" i="1"/>
  <c r="I139" i="1"/>
  <c r="D96" i="1"/>
  <c r="E96" i="1"/>
  <c r="H96" i="1"/>
  <c r="D140" i="1"/>
  <c r="H140" i="1"/>
  <c r="D33" i="1"/>
  <c r="E33" i="1"/>
  <c r="H33" i="1"/>
  <c r="D34" i="1"/>
  <c r="E34" i="1"/>
  <c r="H34" i="1"/>
  <c r="D58" i="1"/>
  <c r="H58" i="1"/>
  <c r="I58" i="1"/>
  <c r="D59" i="1"/>
  <c r="H59" i="1"/>
  <c r="I59" i="1"/>
  <c r="D60" i="1"/>
  <c r="H60" i="1"/>
  <c r="D97" i="1"/>
  <c r="E97" i="1"/>
  <c r="H97" i="1"/>
  <c r="D98" i="1"/>
  <c r="E98" i="1"/>
  <c r="H98" i="1"/>
  <c r="D99" i="1"/>
  <c r="E99" i="1"/>
  <c r="H99" i="1"/>
  <c r="I99" i="1"/>
  <c r="D100" i="1"/>
  <c r="E100" i="1"/>
  <c r="H100" i="1"/>
  <c r="I100" i="1"/>
  <c r="D101" i="1"/>
  <c r="E101" i="1"/>
  <c r="H101" i="1"/>
  <c r="I101" i="1"/>
  <c r="D102" i="1"/>
  <c r="E102" i="1"/>
  <c r="H102" i="1"/>
  <c r="I102" i="1"/>
  <c r="D103" i="1"/>
  <c r="E103" i="1"/>
  <c r="H103" i="1"/>
  <c r="I103" i="1"/>
  <c r="D104" i="1"/>
  <c r="E104" i="1"/>
  <c r="H104" i="1"/>
  <c r="I104" i="1"/>
  <c r="D105" i="1"/>
  <c r="E105" i="1"/>
  <c r="H105" i="1"/>
  <c r="I105" i="1"/>
  <c r="D106" i="1"/>
  <c r="E106" i="1"/>
  <c r="H106" i="1"/>
  <c r="I106" i="1"/>
  <c r="D107" i="1"/>
  <c r="E107" i="1"/>
  <c r="H107" i="1"/>
  <c r="I107" i="1"/>
  <c r="D108" i="1"/>
  <c r="E108" i="1"/>
  <c r="H108" i="1"/>
  <c r="I108" i="1"/>
  <c r="D109" i="1"/>
  <c r="E109" i="1"/>
  <c r="H109" i="1"/>
  <c r="I109" i="1"/>
  <c r="D110" i="1"/>
  <c r="E110" i="1"/>
  <c r="H110" i="1"/>
  <c r="I110" i="1"/>
  <c r="D111" i="1"/>
  <c r="E111" i="1"/>
  <c r="H111" i="1"/>
  <c r="I111" i="1"/>
  <c r="D112" i="1"/>
  <c r="E112" i="1"/>
  <c r="H112" i="1"/>
  <c r="I112" i="1"/>
  <c r="D113" i="1"/>
  <c r="E113" i="1"/>
  <c r="H113" i="1"/>
  <c r="I113" i="1"/>
  <c r="D114" i="1"/>
  <c r="E114" i="1"/>
  <c r="H114" i="1"/>
  <c r="I114" i="1"/>
  <c r="D115" i="1"/>
  <c r="E115" i="1"/>
  <c r="H115" i="1"/>
  <c r="I115" i="1"/>
  <c r="D116" i="1"/>
  <c r="E116" i="1"/>
  <c r="H116" i="1"/>
  <c r="I116" i="1"/>
  <c r="D117" i="1"/>
  <c r="E117" i="1"/>
  <c r="H117" i="1"/>
  <c r="I117" i="1"/>
  <c r="D118" i="1"/>
  <c r="E118" i="1"/>
  <c r="H118" i="1"/>
  <c r="I118" i="1"/>
  <c r="D119" i="1"/>
  <c r="E119" i="1"/>
  <c r="H119" i="1"/>
  <c r="I119" i="1"/>
  <c r="D120" i="1"/>
  <c r="E120" i="1"/>
  <c r="H120" i="1"/>
  <c r="I120" i="1"/>
  <c r="D121" i="1"/>
  <c r="E121" i="1"/>
  <c r="H121" i="1"/>
  <c r="I121" i="1"/>
  <c r="D122" i="1"/>
  <c r="E122" i="1"/>
  <c r="H122" i="1"/>
  <c r="I122" i="1"/>
  <c r="D123" i="1"/>
  <c r="E123" i="1"/>
  <c r="H123" i="1"/>
  <c r="I123" i="1"/>
  <c r="D124" i="1"/>
  <c r="E124" i="1"/>
  <c r="H124" i="1"/>
  <c r="I124" i="1"/>
  <c r="D125" i="1"/>
  <c r="E125" i="1"/>
  <c r="H125" i="1"/>
  <c r="I125" i="1"/>
  <c r="D126" i="1"/>
  <c r="E126" i="1"/>
  <c r="H126" i="1"/>
  <c r="I126" i="1"/>
  <c r="D127" i="1"/>
  <c r="E127" i="1"/>
  <c r="H127" i="1"/>
  <c r="I127" i="1"/>
  <c r="D128" i="1"/>
  <c r="E128" i="1"/>
  <c r="H128" i="1"/>
  <c r="I128" i="1"/>
  <c r="D61" i="1"/>
  <c r="E61" i="1"/>
  <c r="H61" i="1"/>
  <c r="D62" i="1"/>
  <c r="E62" i="1"/>
  <c r="H62" i="1"/>
  <c r="D141" i="1"/>
  <c r="E141" i="1"/>
  <c r="H141" i="1"/>
  <c r="D77" i="1"/>
  <c r="H77" i="1"/>
  <c r="D65" i="1"/>
  <c r="E65" i="1"/>
  <c r="H65" i="1"/>
  <c r="I65" i="1"/>
  <c r="D37" i="1"/>
  <c r="H37" i="1"/>
  <c r="I37" i="1"/>
  <c r="D28" i="1"/>
  <c r="E28" i="1"/>
  <c r="H28" i="1"/>
  <c r="I28" i="1"/>
  <c r="D40" i="1"/>
  <c r="E40" i="1"/>
  <c r="H40" i="1"/>
  <c r="I40" i="1"/>
  <c r="D38" i="1"/>
  <c r="H38" i="1"/>
  <c r="I38" i="1"/>
  <c r="D39" i="1"/>
  <c r="E39" i="1"/>
  <c r="H39" i="1"/>
  <c r="I39" i="1"/>
  <c r="D73" i="1"/>
  <c r="E73" i="1"/>
  <c r="H73" i="1"/>
  <c r="D74" i="1"/>
  <c r="H74" i="1"/>
  <c r="I74" i="1"/>
  <c r="D143" i="1"/>
  <c r="H143" i="1"/>
  <c r="I143" i="1"/>
  <c r="D29" i="1"/>
  <c r="H29" i="1"/>
  <c r="I29" i="1"/>
  <c r="D75" i="1"/>
  <c r="H75" i="1"/>
  <c r="I75" i="1"/>
  <c r="D30" i="1"/>
  <c r="E30" i="1"/>
  <c r="H30" i="1"/>
  <c r="D35" i="1"/>
  <c r="H35" i="1"/>
  <c r="I35" i="1"/>
  <c r="D87" i="1"/>
  <c r="E87" i="1"/>
  <c r="H87" i="1"/>
  <c r="I87" i="1"/>
  <c r="D76" i="1"/>
  <c r="E76" i="1"/>
  <c r="H76" i="1"/>
  <c r="I76" i="1"/>
  <c r="D142" i="1"/>
  <c r="H142" i="1"/>
  <c r="I142" i="1"/>
  <c r="D147" i="1"/>
  <c r="E147" i="1"/>
  <c r="H147" i="1"/>
  <c r="I147" i="1"/>
  <c r="D145" i="1"/>
  <c r="E145" i="1"/>
  <c r="H145" i="1"/>
  <c r="I145" i="1"/>
  <c r="D146" i="1"/>
  <c r="E146" i="1"/>
  <c r="H146" i="1"/>
  <c r="D148" i="1"/>
  <c r="E148" i="1"/>
  <c r="H148" i="1"/>
  <c r="D149" i="1"/>
  <c r="E149" i="1"/>
  <c r="H149" i="1"/>
  <c r="D166" i="1"/>
  <c r="E166" i="1"/>
  <c r="H166" i="1"/>
  <c r="I166" i="1"/>
  <c r="D167" i="1"/>
  <c r="E167" i="1"/>
  <c r="H167" i="1"/>
  <c r="I167" i="1"/>
  <c r="D177" i="1"/>
  <c r="E177" i="1"/>
  <c r="H177" i="1"/>
  <c r="I177" i="1"/>
  <c r="D168" i="1"/>
  <c r="E168" i="1"/>
  <c r="H168" i="1"/>
  <c r="D169" i="1"/>
  <c r="E169" i="1"/>
  <c r="H169" i="1"/>
  <c r="I169" i="1"/>
  <c r="D164" i="1"/>
  <c r="H164" i="1"/>
  <c r="D170" i="1"/>
  <c r="H170" i="1"/>
  <c r="D171" i="1"/>
  <c r="H171" i="1"/>
  <c r="I171" i="1"/>
  <c r="D172" i="1"/>
  <c r="H172" i="1"/>
  <c r="I172" i="1"/>
  <c r="D173" i="1"/>
  <c r="H173" i="1"/>
  <c r="D174" i="1"/>
  <c r="H174" i="1"/>
  <c r="I174" i="1"/>
  <c r="D175" i="1"/>
  <c r="H175" i="1"/>
  <c r="I175" i="1"/>
  <c r="D176" i="1"/>
  <c r="H176" i="1"/>
  <c r="I176" i="1"/>
  <c r="D178" i="1"/>
  <c r="E178" i="1"/>
  <c r="H178" i="1"/>
  <c r="D165" i="1"/>
  <c r="E165" i="1"/>
  <c r="H165" i="1"/>
  <c r="I165" i="1"/>
  <c r="D160" i="1"/>
  <c r="E160" i="1"/>
  <c r="H160" i="1"/>
  <c r="D159" i="1"/>
  <c r="E159" i="1"/>
  <c r="H159" i="1"/>
  <c r="D158" i="1"/>
  <c r="E158" i="1"/>
  <c r="H158" i="1"/>
  <c r="D161" i="1"/>
  <c r="E161" i="1"/>
  <c r="H161" i="1"/>
  <c r="I161" i="1"/>
  <c r="D162" i="1"/>
  <c r="E162" i="1"/>
  <c r="H162" i="1"/>
  <c r="I162" i="1"/>
  <c r="D163" i="1"/>
  <c r="E163" i="1"/>
  <c r="H163" i="1"/>
  <c r="D150" i="1"/>
  <c r="H150" i="1"/>
  <c r="I150" i="1"/>
  <c r="D151" i="1"/>
  <c r="H151" i="1"/>
  <c r="I151" i="1"/>
  <c r="D152" i="1"/>
  <c r="H152" i="1"/>
  <c r="I152" i="1"/>
  <c r="D179" i="1"/>
  <c r="H179" i="1"/>
  <c r="I179" i="1"/>
  <c r="D153" i="1"/>
  <c r="E153" i="1"/>
  <c r="H153" i="1"/>
  <c r="D154" i="1"/>
  <c r="E154" i="1"/>
  <c r="H154" i="1"/>
  <c r="D155" i="1"/>
  <c r="E155" i="1"/>
  <c r="H155" i="1"/>
  <c r="D156" i="1"/>
  <c r="E156" i="1"/>
  <c r="H156" i="1"/>
  <c r="D180" i="1"/>
  <c r="H180" i="1"/>
  <c r="I180" i="1"/>
  <c r="D157" i="1"/>
  <c r="E157" i="1"/>
  <c r="H157" i="1"/>
  <c r="D193" i="1"/>
  <c r="E193" i="1"/>
  <c r="H193" i="1"/>
  <c r="D194" i="1"/>
  <c r="E194" i="1"/>
  <c r="H194" i="1"/>
  <c r="D260" i="1"/>
  <c r="E260" i="1"/>
  <c r="H260" i="1"/>
  <c r="I260" i="1"/>
  <c r="D231" i="1"/>
  <c r="E231" i="1"/>
  <c r="H231" i="1"/>
  <c r="I231" i="1"/>
  <c r="D195" i="1"/>
  <c r="E195" i="1"/>
  <c r="H195" i="1"/>
  <c r="D293" i="1"/>
  <c r="H293" i="1"/>
  <c r="I293" i="1"/>
  <c r="D305" i="1"/>
  <c r="E305" i="1"/>
  <c r="H305" i="1"/>
  <c r="D306" i="1"/>
  <c r="E306" i="1"/>
  <c r="H306" i="1"/>
  <c r="D259" i="1"/>
  <c r="H259" i="1"/>
  <c r="I259" i="1"/>
  <c r="D238" i="1"/>
  <c r="H238" i="1"/>
  <c r="I238" i="1"/>
  <c r="D383" i="1"/>
  <c r="E383" i="1"/>
  <c r="H383" i="1"/>
  <c r="D347" i="1"/>
  <c r="E347" i="1"/>
  <c r="H347" i="1"/>
  <c r="D215" i="1"/>
  <c r="H215" i="1"/>
  <c r="D241" i="1"/>
  <c r="E241" i="1"/>
  <c r="H241" i="1"/>
  <c r="D307" i="1"/>
  <c r="H307" i="1"/>
  <c r="D348" i="1"/>
  <c r="E348" i="1"/>
  <c r="H348" i="1"/>
  <c r="D349" i="1"/>
  <c r="E349" i="1"/>
  <c r="H349" i="1"/>
  <c r="D350" i="1"/>
  <c r="E350" i="1"/>
  <c r="H350" i="1"/>
  <c r="D351" i="1"/>
  <c r="E351" i="1"/>
  <c r="H351" i="1"/>
  <c r="D216" i="1"/>
  <c r="H216" i="1"/>
  <c r="D217" i="1"/>
  <c r="E217" i="1"/>
  <c r="H217" i="1"/>
  <c r="D218" i="1"/>
  <c r="H218" i="1"/>
  <c r="D219" i="1"/>
  <c r="H219" i="1"/>
  <c r="D220" i="1"/>
  <c r="H220" i="1"/>
  <c r="D221" i="1"/>
  <c r="H221" i="1"/>
  <c r="D222" i="1"/>
  <c r="H222" i="1"/>
  <c r="D223" i="1"/>
  <c r="H223" i="1"/>
  <c r="D224" i="1"/>
  <c r="H224" i="1"/>
  <c r="D225" i="1"/>
  <c r="H225" i="1"/>
  <c r="D226" i="1"/>
  <c r="H226" i="1"/>
  <c r="D363" i="1"/>
  <c r="E363" i="1"/>
  <c r="H363" i="1"/>
  <c r="D364" i="1"/>
  <c r="E364" i="1"/>
  <c r="H364" i="1"/>
  <c r="D365" i="1"/>
  <c r="E365" i="1"/>
  <c r="H365" i="1"/>
  <c r="D366" i="1"/>
  <c r="E366" i="1"/>
  <c r="H366" i="1"/>
  <c r="D352" i="1"/>
  <c r="E352" i="1"/>
  <c r="H352" i="1"/>
  <c r="I352" i="1"/>
  <c r="D227" i="1"/>
  <c r="H227" i="1"/>
  <c r="D228" i="1"/>
  <c r="H228" i="1"/>
  <c r="D232" i="1"/>
  <c r="H232" i="1"/>
  <c r="D229" i="1"/>
  <c r="H229" i="1"/>
  <c r="D230" i="1"/>
  <c r="H230" i="1"/>
  <c r="D233" i="1"/>
  <c r="H233" i="1"/>
  <c r="D308" i="1"/>
  <c r="E308" i="1"/>
  <c r="H308" i="1"/>
  <c r="D234" i="1"/>
  <c r="E234" i="1"/>
  <c r="H234" i="1"/>
  <c r="D367" i="1"/>
  <c r="E367" i="1"/>
  <c r="H367" i="1"/>
  <c r="D368" i="1"/>
  <c r="E368" i="1"/>
  <c r="H368" i="1"/>
  <c r="D369" i="1"/>
  <c r="E369" i="1"/>
  <c r="H369" i="1"/>
  <c r="D294" i="1"/>
  <c r="H294" i="1"/>
  <c r="I294" i="1"/>
  <c r="D353" i="1"/>
  <c r="H353" i="1"/>
  <c r="I353" i="1"/>
  <c r="D354" i="1"/>
  <c r="H354" i="1"/>
  <c r="I354" i="1"/>
  <c r="D355" i="1"/>
  <c r="H355" i="1"/>
  <c r="I355" i="1"/>
  <c r="D295" i="1"/>
  <c r="H295" i="1"/>
  <c r="I295" i="1"/>
  <c r="D356" i="1"/>
  <c r="H356" i="1"/>
  <c r="I356" i="1"/>
  <c r="D357" i="1"/>
  <c r="H357" i="1"/>
  <c r="I357" i="1"/>
  <c r="D358" i="1"/>
  <c r="H358" i="1"/>
  <c r="I358" i="1"/>
  <c r="D296" i="1"/>
  <c r="H296" i="1"/>
  <c r="I296" i="1"/>
  <c r="D297" i="1"/>
  <c r="H297" i="1"/>
  <c r="I297" i="1"/>
  <c r="D298" i="1"/>
  <c r="H298" i="1"/>
  <c r="I298" i="1"/>
  <c r="D299" i="1"/>
  <c r="H299" i="1"/>
  <c r="I299" i="1"/>
  <c r="D300" i="1"/>
  <c r="H300" i="1"/>
  <c r="I300" i="1"/>
  <c r="D301" i="1"/>
  <c r="H301" i="1"/>
  <c r="I301" i="1"/>
  <c r="D359" i="1"/>
  <c r="E359" i="1"/>
  <c r="H359" i="1"/>
  <c r="D261" i="1"/>
  <c r="E261" i="1"/>
  <c r="H261" i="1"/>
  <c r="D309" i="1"/>
  <c r="E309" i="1"/>
  <c r="H309" i="1"/>
  <c r="D262" i="1"/>
  <c r="E262" i="1"/>
  <c r="H262" i="1"/>
  <c r="D263" i="1"/>
  <c r="E263" i="1"/>
  <c r="H263" i="1"/>
  <c r="D264" i="1"/>
  <c r="E264" i="1"/>
  <c r="H264" i="1"/>
  <c r="D235" i="1"/>
  <c r="E235" i="1"/>
  <c r="H235" i="1"/>
  <c r="D265" i="1"/>
  <c r="E265" i="1"/>
  <c r="H265" i="1"/>
  <c r="D266" i="1"/>
  <c r="E266" i="1"/>
  <c r="H266" i="1"/>
  <c r="D310" i="1"/>
  <c r="E310" i="1"/>
  <c r="H310" i="1"/>
  <c r="D236" i="1"/>
  <c r="E236" i="1"/>
  <c r="H236" i="1"/>
  <c r="D237" i="1"/>
  <c r="E237" i="1"/>
  <c r="H237" i="1"/>
  <c r="D267" i="1"/>
  <c r="E267" i="1"/>
  <c r="H267" i="1"/>
  <c r="D268" i="1"/>
  <c r="E268" i="1"/>
  <c r="H268" i="1"/>
  <c r="D370" i="1"/>
  <c r="E370" i="1"/>
  <c r="H370" i="1"/>
  <c r="D371" i="1"/>
  <c r="E371" i="1"/>
  <c r="H371" i="1"/>
  <c r="D372" i="1"/>
  <c r="E372" i="1"/>
  <c r="H372" i="1"/>
  <c r="D373" i="1"/>
  <c r="E373" i="1"/>
  <c r="H373" i="1"/>
  <c r="D374" i="1"/>
  <c r="E374" i="1"/>
  <c r="H374" i="1"/>
  <c r="D375" i="1"/>
  <c r="E375" i="1"/>
  <c r="H375" i="1"/>
  <c r="D376" i="1"/>
  <c r="E376" i="1"/>
  <c r="H376" i="1"/>
  <c r="D377" i="1"/>
  <c r="E377" i="1"/>
  <c r="H377" i="1"/>
  <c r="D378" i="1"/>
  <c r="E378" i="1"/>
  <c r="H378" i="1"/>
  <c r="D379" i="1"/>
  <c r="E379" i="1"/>
  <c r="H379" i="1"/>
  <c r="D380" i="1"/>
  <c r="E380" i="1"/>
  <c r="H380" i="1"/>
  <c r="D381" i="1"/>
  <c r="E381" i="1"/>
  <c r="H381" i="1"/>
  <c r="I381" i="1"/>
  <c r="D311" i="1"/>
  <c r="E311" i="1"/>
  <c r="H311" i="1"/>
  <c r="D242" i="1"/>
  <c r="E242" i="1"/>
  <c r="H242" i="1"/>
  <c r="D360" i="1"/>
  <c r="H360" i="1"/>
  <c r="I360" i="1"/>
  <c r="D361" i="1"/>
  <c r="H361" i="1"/>
  <c r="I361" i="1"/>
  <c r="D312" i="1"/>
  <c r="E312" i="1"/>
  <c r="H312" i="1"/>
  <c r="D313" i="1"/>
  <c r="H313" i="1"/>
  <c r="I313" i="1"/>
  <c r="D314" i="1"/>
  <c r="E314" i="1"/>
  <c r="H314" i="1"/>
  <c r="D315" i="1"/>
  <c r="E315" i="1"/>
  <c r="H315" i="1"/>
  <c r="D316" i="1"/>
  <c r="E316" i="1"/>
  <c r="H316" i="1"/>
  <c r="D317" i="1"/>
  <c r="E317" i="1"/>
  <c r="H317" i="1"/>
  <c r="D382" i="1"/>
  <c r="E382" i="1"/>
  <c r="H382" i="1"/>
  <c r="D269" i="1"/>
  <c r="H269" i="1"/>
  <c r="I269" i="1"/>
  <c r="D270" i="1"/>
  <c r="H270" i="1"/>
  <c r="I270" i="1"/>
  <c r="D271" i="1"/>
  <c r="H271" i="1"/>
  <c r="I271" i="1"/>
  <c r="D196" i="1"/>
  <c r="E196" i="1"/>
  <c r="H196" i="1"/>
  <c r="D318" i="1"/>
  <c r="E318" i="1"/>
  <c r="H318" i="1"/>
  <c r="D319" i="1"/>
  <c r="E319" i="1"/>
  <c r="H319" i="1"/>
  <c r="D320" i="1"/>
  <c r="E320" i="1"/>
  <c r="H320" i="1"/>
  <c r="D272" i="1"/>
  <c r="H272" i="1"/>
  <c r="I272" i="1"/>
  <c r="D273" i="1"/>
  <c r="H273" i="1"/>
  <c r="D321" i="1"/>
  <c r="E321" i="1"/>
  <c r="H321" i="1"/>
  <c r="D197" i="1"/>
  <c r="H197" i="1"/>
  <c r="I197" i="1"/>
  <c r="D322" i="1"/>
  <c r="E322" i="1"/>
  <c r="H322" i="1"/>
  <c r="I322" i="1"/>
  <c r="D274" i="1"/>
  <c r="E274" i="1"/>
  <c r="H274" i="1"/>
  <c r="D323" i="1"/>
  <c r="H323" i="1"/>
  <c r="I323" i="1"/>
  <c r="D324" i="1"/>
  <c r="H324" i="1"/>
  <c r="I324" i="1"/>
  <c r="D325" i="1"/>
  <c r="H325" i="1"/>
  <c r="I325" i="1"/>
  <c r="D326" i="1"/>
  <c r="H326" i="1"/>
  <c r="D327" i="1"/>
  <c r="H327" i="1"/>
  <c r="I327" i="1"/>
  <c r="D328" i="1"/>
  <c r="H328" i="1"/>
  <c r="I328" i="1"/>
  <c r="D329" i="1"/>
  <c r="H329" i="1"/>
  <c r="D330" i="1"/>
  <c r="H330" i="1"/>
  <c r="D331" i="1"/>
  <c r="H331" i="1"/>
  <c r="D332" i="1"/>
  <c r="H332" i="1"/>
  <c r="I332" i="1"/>
  <c r="D333" i="1"/>
  <c r="H333" i="1"/>
  <c r="I333" i="1"/>
  <c r="D334" i="1"/>
  <c r="H334" i="1"/>
  <c r="I334" i="1"/>
  <c r="D335" i="1"/>
  <c r="H335" i="1"/>
  <c r="I335" i="1"/>
  <c r="D336" i="1"/>
  <c r="H336" i="1"/>
  <c r="D337" i="1"/>
  <c r="H337" i="1"/>
  <c r="D275" i="1"/>
  <c r="H275" i="1"/>
  <c r="I275" i="1"/>
  <c r="D276" i="1"/>
  <c r="H276" i="1"/>
  <c r="I276" i="1"/>
  <c r="D198" i="1"/>
  <c r="H198" i="1"/>
  <c r="I198" i="1"/>
  <c r="D338" i="1"/>
  <c r="E338" i="1"/>
  <c r="H338" i="1"/>
  <c r="D277" i="1"/>
  <c r="H277" i="1"/>
  <c r="I277" i="1"/>
  <c r="D339" i="1"/>
  <c r="E339" i="1"/>
  <c r="H339" i="1"/>
  <c r="D278" i="1"/>
  <c r="H278" i="1"/>
  <c r="I278" i="1"/>
  <c r="D199" i="1"/>
  <c r="E199" i="1"/>
  <c r="H199" i="1"/>
  <c r="I199" i="1"/>
  <c r="D279" i="1"/>
  <c r="H279" i="1"/>
  <c r="I279" i="1"/>
  <c r="D340" i="1"/>
  <c r="E340" i="1"/>
  <c r="H340" i="1"/>
  <c r="I340" i="1"/>
  <c r="D345" i="1"/>
  <c r="E345" i="1"/>
  <c r="H345" i="1"/>
  <c r="D200" i="1"/>
  <c r="E200" i="1"/>
  <c r="H200" i="1"/>
  <c r="D243" i="1"/>
  <c r="H243" i="1"/>
  <c r="D244" i="1"/>
  <c r="H244" i="1"/>
  <c r="I244" i="1"/>
  <c r="D245" i="1"/>
  <c r="H245" i="1"/>
  <c r="I245" i="1"/>
  <c r="D246" i="1"/>
  <c r="H246" i="1"/>
  <c r="D247" i="1"/>
  <c r="H247" i="1"/>
  <c r="I247" i="1"/>
  <c r="D248" i="1"/>
  <c r="H248" i="1"/>
  <c r="I248" i="1"/>
  <c r="D249" i="1"/>
  <c r="H249" i="1"/>
  <c r="I249" i="1"/>
  <c r="D280" i="1"/>
  <c r="E280" i="1"/>
  <c r="H280" i="1"/>
  <c r="D281" i="1"/>
  <c r="E281" i="1"/>
  <c r="H281" i="1"/>
  <c r="D341" i="1"/>
  <c r="E341" i="1"/>
  <c r="H341" i="1"/>
  <c r="D342" i="1"/>
  <c r="E342" i="1"/>
  <c r="H342" i="1"/>
  <c r="D201" i="1"/>
  <c r="H201" i="1"/>
  <c r="I201" i="1"/>
  <c r="D362" i="1"/>
  <c r="E362" i="1"/>
  <c r="H362" i="1"/>
  <c r="D343" i="1"/>
  <c r="E343" i="1"/>
  <c r="H343" i="1"/>
  <c r="D346" i="1"/>
  <c r="E346" i="1"/>
  <c r="H346" i="1"/>
  <c r="D282" i="1"/>
  <c r="E282" i="1"/>
  <c r="H282" i="1"/>
  <c r="D202" i="1"/>
  <c r="E202" i="1"/>
  <c r="H202" i="1"/>
  <c r="D250" i="1"/>
  <c r="E250" i="1"/>
  <c r="H250" i="1"/>
  <c r="D283" i="1"/>
  <c r="E283" i="1"/>
  <c r="H283" i="1"/>
  <c r="D251" i="1"/>
  <c r="E251" i="1"/>
  <c r="H251" i="1"/>
  <c r="D252" i="1"/>
  <c r="E252" i="1"/>
  <c r="H252" i="1"/>
  <c r="D253" i="1"/>
  <c r="E253" i="1"/>
  <c r="H253" i="1"/>
  <c r="D181" i="1"/>
  <c r="E181" i="1"/>
  <c r="H181" i="1"/>
  <c r="D284" i="1"/>
  <c r="H284" i="1"/>
  <c r="I284" i="1"/>
  <c r="D203" i="1"/>
  <c r="H203" i="1"/>
  <c r="I203" i="1"/>
  <c r="D285" i="1"/>
  <c r="E285" i="1"/>
  <c r="H285" i="1"/>
  <c r="D286" i="1"/>
  <c r="E286" i="1"/>
  <c r="H286" i="1"/>
  <c r="D204" i="1"/>
  <c r="E204" i="1"/>
  <c r="H204" i="1"/>
  <c r="D239" i="1"/>
  <c r="E239" i="1"/>
  <c r="H239" i="1"/>
  <c r="D240" i="1"/>
  <c r="E240" i="1"/>
  <c r="H240" i="1"/>
  <c r="D287" i="1"/>
  <c r="E287" i="1"/>
  <c r="H287" i="1"/>
  <c r="D288" i="1"/>
  <c r="E288" i="1"/>
  <c r="H288" i="1"/>
  <c r="D289" i="1"/>
  <c r="E289" i="1"/>
  <c r="H289" i="1"/>
  <c r="D290" i="1"/>
  <c r="E290" i="1"/>
  <c r="H290" i="1"/>
  <c r="D182" i="1"/>
  <c r="E182" i="1"/>
  <c r="H182" i="1"/>
  <c r="D205" i="1"/>
  <c r="E205" i="1"/>
  <c r="H205" i="1"/>
  <c r="D206" i="1"/>
  <c r="E206" i="1"/>
  <c r="H206" i="1"/>
  <c r="D254" i="1"/>
  <c r="H254" i="1"/>
  <c r="D255" i="1"/>
  <c r="E255" i="1"/>
  <c r="H255" i="1"/>
  <c r="D302" i="1"/>
  <c r="H302" i="1"/>
  <c r="I302" i="1"/>
  <c r="D183" i="1"/>
  <c r="E183" i="1"/>
  <c r="H183" i="1"/>
  <c r="D184" i="1"/>
  <c r="E184" i="1"/>
  <c r="H184" i="1"/>
  <c r="D185" i="1"/>
  <c r="E185" i="1"/>
  <c r="H185" i="1"/>
  <c r="D186" i="1"/>
  <c r="E186" i="1"/>
  <c r="H186" i="1"/>
  <c r="D187" i="1"/>
  <c r="E187" i="1"/>
  <c r="H187" i="1"/>
  <c r="D188" i="1"/>
  <c r="E188" i="1"/>
  <c r="H188" i="1"/>
  <c r="D189" i="1"/>
  <c r="H189" i="1"/>
  <c r="D190" i="1"/>
  <c r="H190" i="1"/>
  <c r="D191" i="1"/>
  <c r="H191" i="1"/>
  <c r="D207" i="1"/>
  <c r="H207" i="1"/>
  <c r="D208" i="1"/>
  <c r="E208" i="1"/>
  <c r="H208" i="1"/>
  <c r="D209" i="1"/>
  <c r="H209" i="1"/>
  <c r="D210" i="1"/>
  <c r="H210" i="1"/>
  <c r="D211" i="1"/>
  <c r="H211" i="1"/>
  <c r="D192" i="1"/>
  <c r="H192" i="1"/>
  <c r="D303" i="1"/>
  <c r="E303" i="1"/>
  <c r="H303" i="1"/>
  <c r="I303" i="1"/>
  <c r="D304" i="1"/>
  <c r="E304" i="1"/>
  <c r="H304" i="1"/>
  <c r="I304" i="1"/>
  <c r="D256" i="1"/>
  <c r="E256" i="1"/>
  <c r="H256" i="1"/>
  <c r="D257" i="1"/>
  <c r="E257" i="1"/>
  <c r="H257" i="1"/>
  <c r="D344" i="1"/>
  <c r="E344" i="1"/>
  <c r="H344" i="1"/>
  <c r="D212" i="1"/>
  <c r="E212" i="1"/>
  <c r="H212" i="1"/>
  <c r="D213" i="1"/>
  <c r="E213" i="1"/>
  <c r="H213" i="1"/>
  <c r="D258" i="1"/>
  <c r="E258" i="1"/>
  <c r="H258" i="1"/>
  <c r="D291" i="1"/>
  <c r="E291" i="1"/>
  <c r="H291" i="1"/>
  <c r="D214" i="1"/>
  <c r="E214" i="1"/>
  <c r="H214" i="1"/>
  <c r="D292" i="1"/>
  <c r="E292" i="1"/>
  <c r="H292" i="1"/>
  <c r="D429" i="1"/>
  <c r="E429" i="1"/>
  <c r="H429" i="1"/>
  <c r="D387" i="1"/>
  <c r="H387" i="1"/>
  <c r="I387" i="1"/>
  <c r="D402" i="1"/>
  <c r="H402" i="1"/>
  <c r="I402" i="1"/>
  <c r="D413" i="1"/>
  <c r="H413" i="1"/>
  <c r="I413" i="1"/>
  <c r="D388" i="1"/>
  <c r="E388" i="1"/>
  <c r="H388" i="1"/>
  <c r="I388" i="1"/>
  <c r="D384" i="1"/>
  <c r="H384" i="1"/>
  <c r="I384" i="1"/>
  <c r="D414" i="1"/>
  <c r="E414" i="1"/>
  <c r="H414" i="1"/>
  <c r="D438" i="1"/>
  <c r="H438" i="1"/>
  <c r="I438" i="1"/>
  <c r="D424" i="1"/>
  <c r="E424" i="1"/>
  <c r="H424" i="1"/>
  <c r="I424" i="1"/>
  <c r="D403" i="1"/>
  <c r="E403" i="1"/>
  <c r="H403" i="1"/>
  <c r="D404" i="1"/>
  <c r="E404" i="1"/>
  <c r="H404" i="1"/>
  <c r="D405" i="1"/>
  <c r="E405" i="1"/>
  <c r="H405" i="1"/>
  <c r="D389" i="1"/>
  <c r="H389" i="1"/>
  <c r="I389" i="1"/>
  <c r="D415" i="1"/>
  <c r="H415" i="1"/>
  <c r="I415" i="1"/>
  <c r="D427" i="1"/>
  <c r="E427" i="1"/>
  <c r="H427" i="1"/>
  <c r="I427" i="1"/>
  <c r="D433" i="1"/>
  <c r="H433" i="1"/>
  <c r="I433" i="1"/>
  <c r="D390" i="1"/>
  <c r="E390" i="1"/>
  <c r="H390" i="1"/>
  <c r="D430" i="1"/>
  <c r="E430" i="1"/>
  <c r="H430" i="1"/>
  <c r="D434" i="1"/>
  <c r="H434" i="1"/>
  <c r="I434" i="1"/>
  <c r="D431" i="1"/>
  <c r="H431" i="1"/>
  <c r="I431" i="1"/>
  <c r="D428" i="1"/>
  <c r="E428" i="1"/>
  <c r="H428" i="1"/>
  <c r="D391" i="1"/>
  <c r="H391" i="1"/>
  <c r="D425" i="1"/>
  <c r="E425" i="1"/>
  <c r="H425" i="1"/>
  <c r="I425" i="1"/>
  <c r="D435" i="1"/>
  <c r="E435" i="1"/>
  <c r="H435" i="1"/>
  <c r="I435" i="1"/>
  <c r="D436" i="1"/>
  <c r="E436" i="1"/>
  <c r="H436" i="1"/>
  <c r="I436" i="1"/>
  <c r="D406" i="1"/>
  <c r="E406" i="1"/>
  <c r="H406" i="1"/>
  <c r="I406" i="1"/>
  <c r="D416" i="1"/>
  <c r="E416" i="1"/>
  <c r="H416" i="1"/>
  <c r="I416" i="1"/>
  <c r="D407" i="1"/>
  <c r="H407" i="1"/>
  <c r="D408" i="1"/>
  <c r="H408" i="1"/>
  <c r="I408" i="1"/>
  <c r="D437" i="1"/>
  <c r="H437" i="1"/>
  <c r="I437" i="1"/>
  <c r="D397" i="1"/>
  <c r="H397" i="1"/>
  <c r="I397" i="1"/>
  <c r="D432" i="1"/>
  <c r="E432" i="1"/>
  <c r="H432" i="1"/>
  <c r="I432" i="1"/>
  <c r="D392" i="1"/>
  <c r="E392" i="1"/>
  <c r="H392" i="1"/>
  <c r="D393" i="1"/>
  <c r="E393" i="1"/>
  <c r="H393" i="1"/>
  <c r="D426" i="1"/>
  <c r="H426" i="1"/>
  <c r="I426" i="1"/>
  <c r="D394" i="1"/>
  <c r="E394" i="1"/>
  <c r="H394" i="1"/>
  <c r="D417" i="1"/>
  <c r="E417" i="1"/>
  <c r="H417" i="1"/>
  <c r="I417" i="1"/>
  <c r="D418" i="1"/>
  <c r="H418" i="1"/>
  <c r="I418" i="1"/>
  <c r="D409" i="1"/>
  <c r="E409" i="1"/>
  <c r="H409" i="1"/>
  <c r="I409" i="1"/>
  <c r="D410" i="1"/>
  <c r="E410" i="1"/>
  <c r="H410" i="1"/>
  <c r="I410" i="1"/>
  <c r="D411" i="1"/>
  <c r="E411" i="1"/>
  <c r="H411" i="1"/>
  <c r="D419" i="1"/>
  <c r="E419" i="1"/>
  <c r="H419" i="1"/>
  <c r="D399" i="1"/>
  <c r="H399" i="1"/>
  <c r="I399" i="1"/>
  <c r="D420" i="1"/>
  <c r="H420" i="1"/>
  <c r="D400" i="1"/>
  <c r="E400" i="1"/>
  <c r="H400" i="1"/>
  <c r="D421" i="1"/>
  <c r="H421" i="1"/>
  <c r="I421" i="1"/>
  <c r="D422" i="1"/>
  <c r="E422" i="1"/>
  <c r="H422" i="1"/>
  <c r="D401" i="1"/>
  <c r="E401" i="1"/>
  <c r="H401" i="1"/>
  <c r="D423" i="1"/>
  <c r="E423" i="1"/>
  <c r="H423" i="1"/>
  <c r="D412" i="1"/>
  <c r="E412" i="1"/>
  <c r="H412" i="1"/>
  <c r="D386" i="1"/>
  <c r="E386" i="1"/>
  <c r="H386" i="1"/>
  <c r="D395" i="1"/>
  <c r="E395" i="1"/>
  <c r="H395" i="1"/>
  <c r="D396" i="1"/>
  <c r="H396" i="1"/>
  <c r="I396" i="1"/>
  <c r="D385" i="1"/>
  <c r="E385" i="1"/>
  <c r="H385" i="1"/>
  <c r="I385" i="1"/>
  <c r="D398" i="1"/>
  <c r="H398" i="1"/>
  <c r="I398" i="1"/>
  <c r="D439" i="1"/>
  <c r="H439" i="1"/>
  <c r="I439" i="1"/>
  <c r="D440" i="1"/>
  <c r="H440" i="1"/>
  <c r="I440" i="1"/>
  <c r="D441" i="1"/>
  <c r="E441" i="1"/>
  <c r="H441" i="1"/>
  <c r="D442" i="1"/>
  <c r="H442" i="1"/>
  <c r="I442" i="1"/>
  <c r="D443" i="1"/>
  <c r="H443" i="1"/>
  <c r="I443" i="1"/>
  <c r="D444" i="1"/>
  <c r="E444" i="1"/>
  <c r="H444" i="1"/>
  <c r="I444" i="1"/>
  <c r="D445" i="1"/>
  <c r="H445" i="1"/>
  <c r="I445" i="1"/>
  <c r="D446" i="1"/>
  <c r="H446" i="1"/>
  <c r="I446" i="1"/>
  <c r="D447" i="1"/>
  <c r="H447" i="1"/>
  <c r="I447" i="1"/>
  <c r="D448" i="1"/>
  <c r="H448" i="1"/>
  <c r="I448" i="1"/>
  <c r="D449" i="1"/>
  <c r="H449" i="1"/>
  <c r="I449" i="1"/>
  <c r="D494" i="1"/>
  <c r="E494" i="1"/>
  <c r="H494" i="1"/>
  <c r="D495" i="1"/>
  <c r="H495" i="1"/>
  <c r="I495" i="1"/>
  <c r="D456" i="1"/>
  <c r="E456" i="1"/>
  <c r="H456" i="1"/>
  <c r="I456" i="1"/>
  <c r="D457" i="1"/>
  <c r="E457" i="1"/>
  <c r="H457" i="1"/>
  <c r="I457" i="1"/>
  <c r="D526" i="1"/>
  <c r="E526" i="1"/>
  <c r="H526" i="1"/>
  <c r="I526" i="1"/>
  <c r="D527" i="1"/>
  <c r="E527" i="1"/>
  <c r="H527" i="1"/>
  <c r="I527" i="1"/>
  <c r="D458" i="1"/>
  <c r="E458" i="1"/>
  <c r="H458" i="1"/>
  <c r="D519" i="1"/>
  <c r="H519" i="1"/>
  <c r="I519" i="1"/>
  <c r="D496" i="1"/>
  <c r="H496" i="1"/>
  <c r="I496" i="1"/>
  <c r="D497" i="1"/>
  <c r="E497" i="1"/>
  <c r="H497" i="1"/>
  <c r="I497" i="1"/>
  <c r="D510" i="1"/>
  <c r="H510" i="1"/>
  <c r="I510" i="1"/>
  <c r="D509" i="1"/>
  <c r="E509" i="1"/>
  <c r="H509" i="1"/>
  <c r="I509" i="1"/>
  <c r="D498" i="1"/>
  <c r="E498" i="1"/>
  <c r="H498" i="1"/>
  <c r="I498" i="1"/>
  <c r="D459" i="1"/>
  <c r="H459" i="1"/>
  <c r="I459" i="1"/>
  <c r="D525" i="1"/>
  <c r="H525" i="1"/>
  <c r="I525" i="1"/>
  <c r="D520" i="1"/>
  <c r="E520" i="1"/>
  <c r="H520" i="1"/>
  <c r="D521" i="1"/>
  <c r="E521" i="1"/>
  <c r="H521" i="1"/>
  <c r="D522" i="1"/>
  <c r="E522" i="1"/>
  <c r="H522" i="1"/>
  <c r="D523" i="1"/>
  <c r="E523" i="1"/>
  <c r="H523" i="1"/>
  <c r="D460" i="1"/>
  <c r="E460" i="1"/>
  <c r="H460" i="1"/>
  <c r="D461" i="1"/>
  <c r="E461" i="1"/>
  <c r="H461" i="1"/>
  <c r="D462" i="1"/>
  <c r="E462" i="1"/>
  <c r="H462" i="1"/>
  <c r="D499" i="1"/>
  <c r="E499" i="1"/>
  <c r="H499" i="1"/>
  <c r="D511" i="1"/>
  <c r="H511" i="1"/>
  <c r="D524" i="1"/>
  <c r="E524" i="1"/>
  <c r="H524" i="1"/>
  <c r="D512" i="1"/>
  <c r="H512" i="1"/>
  <c r="D500" i="1"/>
  <c r="E500" i="1"/>
  <c r="H500" i="1"/>
  <c r="D450" i="1"/>
  <c r="E450" i="1"/>
  <c r="H450" i="1"/>
  <c r="D463" i="1"/>
  <c r="E463" i="1"/>
  <c r="H463" i="1"/>
  <c r="D454" i="1"/>
  <c r="E454" i="1"/>
  <c r="H454" i="1"/>
  <c r="D455" i="1"/>
  <c r="E455" i="1"/>
  <c r="H455" i="1"/>
  <c r="D513" i="1"/>
  <c r="E513" i="1"/>
  <c r="H513" i="1"/>
  <c r="D501" i="1"/>
  <c r="E501" i="1"/>
  <c r="H501" i="1"/>
  <c r="D502" i="1"/>
  <c r="E502" i="1"/>
  <c r="H502" i="1"/>
  <c r="D464" i="1"/>
  <c r="E464" i="1"/>
  <c r="H464" i="1"/>
  <c r="D465" i="1"/>
  <c r="E465" i="1"/>
  <c r="H465" i="1"/>
  <c r="D466" i="1"/>
  <c r="E466" i="1"/>
  <c r="H466" i="1"/>
  <c r="D467" i="1"/>
  <c r="E467" i="1"/>
  <c r="H467" i="1"/>
  <c r="D468" i="1"/>
  <c r="E468" i="1"/>
  <c r="H468" i="1"/>
  <c r="I468" i="1"/>
  <c r="D469" i="1"/>
  <c r="E469" i="1"/>
  <c r="H469" i="1"/>
  <c r="D470" i="1"/>
  <c r="E470" i="1"/>
  <c r="H470" i="1"/>
  <c r="D471" i="1"/>
  <c r="E471" i="1"/>
  <c r="H471" i="1"/>
  <c r="D472" i="1"/>
  <c r="E472" i="1"/>
  <c r="H472" i="1"/>
  <c r="D473" i="1"/>
  <c r="E473" i="1"/>
  <c r="H473" i="1"/>
  <c r="D474" i="1"/>
  <c r="E474" i="1"/>
  <c r="H474" i="1"/>
  <c r="D475" i="1"/>
  <c r="E475" i="1"/>
  <c r="H475" i="1"/>
  <c r="D476" i="1"/>
  <c r="E476" i="1"/>
  <c r="H476" i="1"/>
  <c r="D477" i="1"/>
  <c r="E477" i="1"/>
  <c r="H477" i="1"/>
  <c r="D478" i="1"/>
  <c r="E478" i="1"/>
  <c r="H478" i="1"/>
  <c r="D479" i="1"/>
  <c r="E479" i="1"/>
  <c r="H479" i="1"/>
  <c r="D480" i="1"/>
  <c r="E480" i="1"/>
  <c r="H480" i="1"/>
  <c r="D503" i="1"/>
  <c r="E503" i="1"/>
  <c r="H503" i="1"/>
  <c r="D504" i="1"/>
  <c r="E504" i="1"/>
  <c r="H504" i="1"/>
  <c r="D505" i="1"/>
  <c r="E505" i="1"/>
  <c r="H505" i="1"/>
  <c r="D514" i="1"/>
  <c r="E514" i="1"/>
  <c r="H514" i="1"/>
  <c r="D515" i="1"/>
  <c r="E515" i="1"/>
  <c r="H515" i="1"/>
  <c r="D516" i="1"/>
  <c r="E516" i="1"/>
  <c r="H516" i="1"/>
  <c r="D517" i="1"/>
  <c r="E517" i="1"/>
  <c r="H517" i="1"/>
  <c r="D518" i="1"/>
  <c r="E518" i="1"/>
  <c r="H518" i="1"/>
  <c r="D506" i="1"/>
  <c r="E506" i="1"/>
  <c r="H506" i="1"/>
  <c r="D507" i="1"/>
  <c r="E507" i="1"/>
  <c r="H507" i="1"/>
  <c r="D508" i="1"/>
  <c r="E508" i="1"/>
  <c r="H508" i="1"/>
  <c r="D481" i="1"/>
  <c r="E481" i="1"/>
  <c r="H481" i="1"/>
  <c r="D482" i="1"/>
  <c r="E482" i="1"/>
  <c r="H482" i="1"/>
  <c r="D483" i="1"/>
  <c r="E483" i="1"/>
  <c r="H483" i="1"/>
  <c r="D484" i="1"/>
  <c r="E484" i="1"/>
  <c r="H484" i="1"/>
  <c r="D485" i="1"/>
  <c r="E485" i="1"/>
  <c r="H485" i="1"/>
  <c r="D486" i="1"/>
  <c r="E486" i="1"/>
  <c r="H486" i="1"/>
  <c r="D487" i="1"/>
  <c r="E487" i="1"/>
  <c r="H487" i="1"/>
  <c r="D488" i="1"/>
  <c r="E488" i="1"/>
  <c r="H488" i="1"/>
  <c r="D489" i="1"/>
  <c r="E489" i="1"/>
  <c r="H489" i="1"/>
  <c r="D490" i="1"/>
  <c r="E490" i="1"/>
  <c r="H490" i="1"/>
  <c r="D491" i="1"/>
  <c r="E491" i="1"/>
  <c r="H491" i="1"/>
  <c r="D492" i="1"/>
  <c r="E492" i="1"/>
  <c r="H492" i="1"/>
  <c r="D493" i="1"/>
  <c r="E493" i="1"/>
  <c r="H493" i="1"/>
  <c r="D451" i="1"/>
  <c r="E451" i="1"/>
  <c r="H451" i="1"/>
  <c r="D452" i="1"/>
  <c r="H452" i="1"/>
  <c r="D453" i="1"/>
  <c r="H453" i="1"/>
  <c r="D531" i="1"/>
  <c r="H531" i="1"/>
  <c r="I531" i="1"/>
  <c r="D532" i="1"/>
  <c r="H532" i="1"/>
  <c r="D530" i="1"/>
  <c r="E530" i="1"/>
  <c r="H530" i="1"/>
  <c r="D528" i="1"/>
  <c r="E528" i="1"/>
  <c r="H528" i="1"/>
  <c r="I528" i="1"/>
  <c r="D529" i="1"/>
  <c r="E529" i="1"/>
  <c r="H529" i="1"/>
  <c r="I529" i="1"/>
  <c r="D533" i="1"/>
  <c r="H533" i="1"/>
  <c r="D534" i="1"/>
  <c r="H534" i="1"/>
  <c r="D535" i="1"/>
  <c r="E535" i="1"/>
  <c r="H535" i="1"/>
  <c r="D536" i="1"/>
  <c r="E536" i="1"/>
  <c r="H536" i="1"/>
  <c r="I536" i="1"/>
  <c r="D572" i="1"/>
  <c r="E572" i="1"/>
  <c r="H572" i="1"/>
  <c r="I572" i="1"/>
  <c r="D570" i="1"/>
  <c r="E570" i="1"/>
  <c r="H570" i="1"/>
  <c r="I570" i="1"/>
  <c r="D571" i="1"/>
  <c r="E571" i="1"/>
  <c r="H571" i="1"/>
  <c r="I571" i="1"/>
  <c r="D573" i="1"/>
  <c r="H573" i="1"/>
  <c r="D574" i="1"/>
  <c r="H574" i="1"/>
  <c r="D547" i="1"/>
  <c r="E547" i="1"/>
  <c r="H547" i="1"/>
  <c r="D537" i="1"/>
  <c r="E537" i="1"/>
  <c r="H537" i="1"/>
  <c r="I537" i="1"/>
  <c r="D548" i="1"/>
  <c r="H548" i="1"/>
  <c r="I548" i="1"/>
  <c r="D568" i="1"/>
  <c r="E568" i="1"/>
  <c r="H568" i="1"/>
  <c r="D538" i="1"/>
  <c r="H538" i="1"/>
  <c r="I538" i="1"/>
  <c r="D549" i="1"/>
  <c r="E549" i="1"/>
  <c r="H549" i="1"/>
  <c r="D569" i="1"/>
  <c r="E569" i="1"/>
  <c r="H569" i="1"/>
  <c r="I569" i="1"/>
  <c r="D539" i="1"/>
  <c r="E539" i="1"/>
  <c r="H539" i="1"/>
  <c r="D540" i="1"/>
  <c r="E540" i="1"/>
  <c r="H540" i="1"/>
  <c r="D541" i="1"/>
  <c r="E541" i="1"/>
  <c r="H541" i="1"/>
  <c r="D542" i="1"/>
  <c r="E542" i="1"/>
  <c r="H542" i="1"/>
  <c r="D543" i="1"/>
  <c r="E543" i="1"/>
  <c r="H543" i="1"/>
  <c r="D544" i="1"/>
  <c r="E544" i="1"/>
  <c r="H544" i="1"/>
  <c r="D545" i="1"/>
  <c r="H545" i="1"/>
  <c r="I545" i="1"/>
  <c r="D546" i="1"/>
  <c r="E546" i="1"/>
  <c r="H546" i="1"/>
  <c r="D553" i="1"/>
  <c r="E553" i="1"/>
  <c r="H553" i="1"/>
  <c r="I553" i="1"/>
  <c r="D554" i="1"/>
  <c r="E554" i="1"/>
  <c r="H554" i="1"/>
  <c r="I554" i="1"/>
  <c r="D555" i="1"/>
  <c r="E555" i="1"/>
  <c r="H555" i="1"/>
  <c r="I555" i="1"/>
  <c r="D556" i="1"/>
  <c r="E556" i="1"/>
  <c r="H556" i="1"/>
  <c r="I556" i="1"/>
  <c r="D557" i="1"/>
  <c r="E557" i="1"/>
  <c r="H557" i="1"/>
  <c r="I557" i="1"/>
  <c r="D558" i="1"/>
  <c r="E558" i="1"/>
  <c r="H558" i="1"/>
  <c r="I558" i="1"/>
  <c r="D559" i="1"/>
  <c r="E559" i="1"/>
  <c r="H559" i="1"/>
  <c r="I559" i="1"/>
  <c r="D560" i="1"/>
  <c r="E560" i="1"/>
  <c r="H560" i="1"/>
  <c r="I560" i="1"/>
  <c r="D561" i="1"/>
  <c r="E561" i="1"/>
  <c r="H561" i="1"/>
  <c r="I561" i="1"/>
  <c r="D562" i="1"/>
  <c r="E562" i="1"/>
  <c r="H562" i="1"/>
  <c r="I562" i="1"/>
  <c r="D563" i="1"/>
  <c r="E563" i="1"/>
  <c r="H563" i="1"/>
  <c r="I563" i="1"/>
  <c r="D567" i="1"/>
  <c r="E567" i="1"/>
  <c r="H567" i="1"/>
  <c r="I567" i="1"/>
  <c r="D564" i="1"/>
  <c r="E564" i="1"/>
  <c r="H564" i="1"/>
  <c r="I564" i="1"/>
  <c r="D565" i="1"/>
  <c r="E565" i="1"/>
  <c r="H565" i="1"/>
  <c r="I565" i="1"/>
  <c r="D566" i="1"/>
  <c r="E566" i="1"/>
  <c r="H566" i="1"/>
  <c r="I566" i="1"/>
  <c r="D550" i="1"/>
  <c r="E550" i="1"/>
  <c r="H550" i="1"/>
  <c r="I550" i="1"/>
  <c r="D551" i="1"/>
  <c r="E551" i="1"/>
  <c r="H551" i="1"/>
  <c r="I551" i="1"/>
  <c r="D552" i="1"/>
  <c r="E552" i="1"/>
  <c r="H552" i="1"/>
  <c r="I552" i="1"/>
  <c r="D631" i="1"/>
  <c r="E631" i="1"/>
  <c r="H631" i="1"/>
  <c r="D632" i="1"/>
  <c r="E632" i="1"/>
  <c r="H632" i="1"/>
  <c r="I632" i="1"/>
  <c r="D618" i="1"/>
  <c r="H618" i="1"/>
  <c r="I618" i="1"/>
  <c r="D589" i="1"/>
  <c r="H589" i="1"/>
  <c r="I589" i="1"/>
  <c r="D575" i="1"/>
  <c r="E575" i="1"/>
  <c r="H575" i="1"/>
  <c r="I575" i="1"/>
  <c r="D590" i="1"/>
  <c r="E590" i="1"/>
  <c r="H590" i="1"/>
  <c r="I590" i="1"/>
  <c r="D591" i="1"/>
  <c r="E591" i="1"/>
  <c r="H591" i="1"/>
  <c r="D576" i="1"/>
  <c r="E576" i="1"/>
  <c r="H576" i="1"/>
  <c r="I576" i="1"/>
  <c r="D592" i="1"/>
  <c r="H592" i="1"/>
  <c r="I592" i="1"/>
  <c r="D577" i="1"/>
  <c r="E577" i="1"/>
  <c r="H577" i="1"/>
  <c r="I577" i="1"/>
  <c r="D578" i="1"/>
  <c r="E578" i="1"/>
  <c r="H578" i="1"/>
  <c r="I578" i="1"/>
  <c r="D598" i="1"/>
  <c r="E598" i="1"/>
  <c r="H598" i="1"/>
  <c r="I598" i="1"/>
  <c r="D599" i="1"/>
  <c r="H599" i="1"/>
  <c r="I599" i="1"/>
  <c r="D600" i="1"/>
  <c r="E600" i="1"/>
  <c r="H600" i="1"/>
  <c r="I600" i="1"/>
  <c r="D612" i="1"/>
  <c r="E612" i="1"/>
  <c r="H612" i="1"/>
  <c r="I612" i="1"/>
  <c r="D579" i="1"/>
  <c r="E579" i="1"/>
  <c r="H579" i="1"/>
  <c r="D605" i="1"/>
  <c r="E605" i="1"/>
  <c r="H605" i="1"/>
  <c r="I605" i="1"/>
  <c r="D601" i="1"/>
  <c r="E601" i="1"/>
  <c r="H601" i="1"/>
  <c r="I601" i="1"/>
  <c r="D621" i="1"/>
  <c r="E621" i="1"/>
  <c r="H621" i="1"/>
  <c r="D627" i="1"/>
  <c r="E627" i="1"/>
  <c r="H627" i="1"/>
  <c r="D613" i="1"/>
  <c r="H613" i="1"/>
  <c r="I613" i="1"/>
  <c r="D614" i="1"/>
  <c r="H614" i="1"/>
  <c r="I614" i="1"/>
  <c r="D615" i="1"/>
  <c r="E615" i="1"/>
  <c r="H615" i="1"/>
  <c r="I615" i="1"/>
  <c r="D616" i="1"/>
  <c r="E616" i="1"/>
  <c r="H616" i="1"/>
  <c r="I616" i="1"/>
  <c r="D636" i="1"/>
  <c r="H636" i="1"/>
  <c r="I636" i="1"/>
  <c r="D611" i="1"/>
  <c r="E611" i="1"/>
  <c r="H611" i="1"/>
  <c r="I611" i="1"/>
  <c r="D628" i="1"/>
  <c r="H628" i="1"/>
  <c r="I628" i="1"/>
  <c r="D637" i="1"/>
  <c r="H637" i="1"/>
  <c r="I637" i="1"/>
  <c r="D596" i="1"/>
  <c r="H596" i="1"/>
  <c r="I596" i="1"/>
  <c r="D603" i="1"/>
  <c r="E603" i="1"/>
  <c r="H603" i="1"/>
  <c r="I603" i="1"/>
  <c r="D597" i="1"/>
  <c r="H597" i="1"/>
  <c r="I597" i="1"/>
  <c r="D629" i="1"/>
  <c r="E629" i="1"/>
  <c r="H629" i="1"/>
  <c r="I629" i="1"/>
  <c r="D633" i="1"/>
  <c r="E633" i="1"/>
  <c r="H633" i="1"/>
  <c r="I633" i="1"/>
  <c r="D619" i="1"/>
  <c r="H619" i="1"/>
  <c r="I619" i="1"/>
  <c r="D608" i="1"/>
  <c r="E608" i="1"/>
  <c r="H608" i="1"/>
  <c r="D586" i="1"/>
  <c r="E586" i="1"/>
  <c r="H586" i="1"/>
  <c r="D587" i="1"/>
  <c r="E587" i="1"/>
  <c r="H587" i="1"/>
  <c r="D580" i="1"/>
  <c r="E580" i="1"/>
  <c r="H580" i="1"/>
  <c r="I580" i="1"/>
  <c r="D635" i="1"/>
  <c r="H635" i="1"/>
  <c r="I635" i="1"/>
  <c r="D634" i="1"/>
  <c r="H634" i="1"/>
  <c r="I634" i="1"/>
  <c r="D622" i="1"/>
  <c r="E622" i="1"/>
  <c r="H622" i="1"/>
  <c r="I622" i="1"/>
  <c r="D582" i="1"/>
  <c r="H582" i="1"/>
  <c r="I582" i="1"/>
  <c r="D593" i="1"/>
  <c r="H593" i="1"/>
  <c r="I593" i="1"/>
  <c r="D609" i="1"/>
  <c r="E609" i="1"/>
  <c r="H609" i="1"/>
  <c r="I609" i="1"/>
  <c r="D625" i="1"/>
  <c r="E625" i="1"/>
  <c r="H625" i="1"/>
  <c r="I625" i="1"/>
  <c r="D594" i="1"/>
  <c r="E594" i="1"/>
  <c r="H594" i="1"/>
  <c r="I594" i="1"/>
  <c r="D606" i="1"/>
  <c r="H606" i="1"/>
  <c r="I606" i="1"/>
  <c r="D607" i="1"/>
  <c r="H607" i="1"/>
  <c r="I607" i="1"/>
  <c r="D620" i="1"/>
  <c r="H620" i="1"/>
  <c r="I620" i="1"/>
  <c r="D595" i="1"/>
  <c r="E595" i="1"/>
  <c r="H595" i="1"/>
  <c r="I595" i="1"/>
  <c r="D623" i="1"/>
  <c r="E623" i="1"/>
  <c r="H623" i="1"/>
  <c r="I623" i="1"/>
  <c r="D626" i="1"/>
  <c r="E626" i="1"/>
  <c r="H626" i="1"/>
  <c r="I626" i="1"/>
  <c r="D624" i="1"/>
  <c r="E624" i="1"/>
  <c r="H624" i="1"/>
  <c r="I624" i="1"/>
  <c r="D602" i="1"/>
  <c r="H602" i="1"/>
  <c r="D583" i="1"/>
  <c r="E583" i="1"/>
  <c r="H583" i="1"/>
  <c r="D584" i="1"/>
  <c r="E584" i="1"/>
  <c r="H584" i="1"/>
  <c r="D585" i="1"/>
  <c r="E585" i="1"/>
  <c r="H585" i="1"/>
  <c r="D630" i="1"/>
  <c r="E630" i="1"/>
  <c r="H630" i="1"/>
  <c r="I630" i="1"/>
  <c r="D610" i="1"/>
  <c r="E610" i="1"/>
  <c r="H610" i="1"/>
  <c r="I610" i="1"/>
  <c r="D617" i="1"/>
  <c r="E617" i="1"/>
  <c r="H617" i="1"/>
  <c r="D604" i="1"/>
  <c r="E604" i="1"/>
  <c r="H604" i="1"/>
  <c r="D588" i="1"/>
  <c r="E588" i="1"/>
  <c r="H588" i="1"/>
  <c r="D581" i="1"/>
  <c r="E581" i="1"/>
  <c r="H581" i="1"/>
  <c r="I581" i="1"/>
  <c r="D638" i="1"/>
  <c r="E638" i="1"/>
  <c r="H638" i="1"/>
  <c r="I638" i="1"/>
  <c r="D639" i="1"/>
  <c r="E639" i="1"/>
  <c r="H639" i="1"/>
  <c r="I639" i="1"/>
  <c r="D640" i="1"/>
  <c r="E640" i="1"/>
  <c r="H640" i="1"/>
  <c r="I640" i="1"/>
  <c r="D658" i="1"/>
  <c r="E658" i="1"/>
  <c r="H658" i="1"/>
  <c r="I658" i="1"/>
  <c r="D659" i="1"/>
  <c r="H659" i="1"/>
  <c r="I659" i="1"/>
  <c r="D662" i="1"/>
  <c r="H662" i="1"/>
  <c r="I662" i="1"/>
  <c r="D663" i="1"/>
  <c r="H663" i="1"/>
  <c r="D655" i="1"/>
  <c r="H655" i="1"/>
  <c r="I655" i="1"/>
  <c r="D641" i="1"/>
  <c r="E641" i="1"/>
  <c r="H641" i="1"/>
  <c r="I641" i="1"/>
  <c r="D642" i="1"/>
  <c r="E642" i="1"/>
  <c r="H642" i="1"/>
  <c r="D657" i="1"/>
  <c r="E657" i="1"/>
  <c r="H657" i="1"/>
  <c r="I657" i="1"/>
  <c r="D656" i="1"/>
  <c r="H656" i="1"/>
  <c r="I656" i="1"/>
  <c r="D643" i="1"/>
  <c r="E643" i="1"/>
  <c r="H643" i="1"/>
  <c r="D644" i="1"/>
  <c r="H644" i="1"/>
  <c r="D645" i="1"/>
  <c r="E645" i="1"/>
  <c r="H645" i="1"/>
  <c r="I645" i="1"/>
  <c r="D646" i="1"/>
  <c r="H646" i="1"/>
  <c r="I646" i="1"/>
  <c r="D647" i="1"/>
  <c r="E647" i="1"/>
  <c r="H647" i="1"/>
  <c r="I647" i="1"/>
  <c r="D648" i="1"/>
  <c r="E648" i="1"/>
  <c r="H648" i="1"/>
  <c r="I648" i="1"/>
  <c r="D649" i="1"/>
  <c r="E649" i="1"/>
  <c r="H649" i="1"/>
  <c r="I649" i="1"/>
  <c r="D650" i="1"/>
  <c r="E650" i="1"/>
  <c r="H650" i="1"/>
  <c r="I650" i="1"/>
  <c r="D651" i="1"/>
  <c r="E651" i="1"/>
  <c r="H651" i="1"/>
  <c r="I651" i="1"/>
  <c r="D652" i="1"/>
  <c r="E652" i="1"/>
  <c r="H652" i="1"/>
  <c r="I652" i="1"/>
  <c r="D653" i="1"/>
  <c r="E653" i="1"/>
  <c r="H653" i="1"/>
  <c r="D660" i="1"/>
  <c r="E660" i="1"/>
  <c r="H660" i="1"/>
  <c r="D654" i="1"/>
  <c r="H654" i="1"/>
  <c r="I654" i="1"/>
  <c r="D661" i="1"/>
  <c r="E661" i="1"/>
  <c r="H661" i="1"/>
  <c r="I661" i="1"/>
  <c r="D672" i="1"/>
  <c r="H672" i="1"/>
  <c r="D667" i="1"/>
  <c r="H667" i="1"/>
  <c r="I667" i="1"/>
  <c r="D668" i="1"/>
  <c r="H668" i="1"/>
  <c r="I668" i="1"/>
  <c r="D675" i="1"/>
  <c r="H675" i="1"/>
  <c r="I675" i="1"/>
  <c r="D677" i="1"/>
  <c r="E677" i="1"/>
  <c r="H677" i="1"/>
  <c r="I677" i="1"/>
  <c r="D670" i="1"/>
  <c r="H670" i="1"/>
  <c r="I670" i="1"/>
  <c r="D669" i="1"/>
  <c r="H669" i="1"/>
  <c r="I669" i="1"/>
  <c r="D671" i="1"/>
  <c r="H671" i="1"/>
  <c r="D664" i="1"/>
  <c r="H664" i="1"/>
  <c r="I664" i="1"/>
  <c r="D678" i="1"/>
  <c r="H678" i="1"/>
  <c r="I678" i="1"/>
  <c r="D674" i="1"/>
  <c r="H674" i="1"/>
  <c r="I674" i="1"/>
  <c r="D676" i="1"/>
  <c r="H676" i="1"/>
  <c r="D681" i="1"/>
  <c r="E681" i="1"/>
  <c r="H681" i="1"/>
  <c r="D679" i="1"/>
  <c r="E679" i="1"/>
  <c r="H679" i="1"/>
  <c r="I679" i="1"/>
  <c r="D673" i="1"/>
  <c r="E673" i="1"/>
  <c r="H673" i="1"/>
  <c r="D680" i="1"/>
  <c r="E680" i="1"/>
  <c r="H680" i="1"/>
  <c r="D682" i="1"/>
  <c r="H682" i="1"/>
  <c r="I682" i="1"/>
  <c r="D666" i="1"/>
  <c r="E666" i="1"/>
  <c r="H666" i="1"/>
  <c r="D665" i="1"/>
  <c r="E665" i="1"/>
  <c r="H665" i="1"/>
  <c r="I665" i="1"/>
  <c r="D683" i="1"/>
  <c r="E683" i="1"/>
  <c r="H683" i="1"/>
  <c r="D703" i="1"/>
  <c r="E703" i="1"/>
  <c r="H703" i="1"/>
  <c r="I703" i="1"/>
  <c r="D704" i="1"/>
  <c r="E704" i="1"/>
  <c r="H704" i="1"/>
  <c r="I704" i="1"/>
  <c r="D705" i="1"/>
  <c r="E705" i="1"/>
  <c r="H705" i="1"/>
  <c r="I705" i="1"/>
  <c r="D706" i="1"/>
  <c r="E706" i="1"/>
  <c r="H706" i="1"/>
  <c r="I706" i="1"/>
  <c r="D707" i="1"/>
  <c r="E707" i="1"/>
  <c r="H707" i="1"/>
  <c r="I707" i="1"/>
  <c r="D686" i="1"/>
  <c r="H686" i="1"/>
  <c r="D708" i="1"/>
  <c r="E708" i="1"/>
  <c r="H708" i="1"/>
  <c r="D709" i="1"/>
  <c r="E709" i="1"/>
  <c r="H709" i="1"/>
  <c r="D687" i="1"/>
  <c r="H687" i="1"/>
  <c r="I687" i="1"/>
  <c r="D688" i="1"/>
  <c r="E688" i="1"/>
  <c r="H688" i="1"/>
  <c r="D689" i="1"/>
  <c r="E689" i="1"/>
  <c r="H689" i="1"/>
  <c r="D710" i="1"/>
  <c r="H710" i="1"/>
  <c r="I710" i="1"/>
  <c r="D711" i="1"/>
  <c r="H711" i="1"/>
  <c r="I711" i="1"/>
  <c r="D712" i="1"/>
  <c r="E712" i="1"/>
  <c r="H712" i="1"/>
  <c r="D713" i="1"/>
  <c r="E713" i="1"/>
  <c r="H713" i="1"/>
  <c r="D714" i="1"/>
  <c r="E714" i="1"/>
  <c r="H714" i="1"/>
  <c r="D715" i="1"/>
  <c r="E715" i="1"/>
  <c r="H715" i="1"/>
  <c r="D690" i="1"/>
  <c r="E690" i="1"/>
  <c r="H690" i="1"/>
  <c r="D691" i="1"/>
  <c r="E691" i="1"/>
  <c r="H691" i="1"/>
  <c r="D692" i="1"/>
  <c r="E692" i="1"/>
  <c r="H692" i="1"/>
  <c r="D693" i="1"/>
  <c r="E693" i="1"/>
  <c r="H693" i="1"/>
  <c r="D694" i="1"/>
  <c r="E694" i="1"/>
  <c r="H694" i="1"/>
  <c r="D716" i="1"/>
  <c r="E716" i="1"/>
  <c r="H716" i="1"/>
  <c r="D717" i="1"/>
  <c r="E717" i="1"/>
  <c r="H717" i="1"/>
  <c r="D718" i="1"/>
  <c r="E718" i="1"/>
  <c r="H718" i="1"/>
  <c r="D719" i="1"/>
  <c r="E719" i="1"/>
  <c r="H719" i="1"/>
  <c r="D720" i="1"/>
  <c r="H720" i="1"/>
  <c r="D695" i="1"/>
  <c r="E695" i="1"/>
  <c r="H695" i="1"/>
  <c r="D721" i="1"/>
  <c r="E721" i="1"/>
  <c r="H721" i="1"/>
  <c r="D722" i="1"/>
  <c r="E722" i="1"/>
  <c r="H722" i="1"/>
  <c r="D723" i="1"/>
  <c r="E723" i="1"/>
  <c r="H723" i="1"/>
  <c r="D724" i="1"/>
  <c r="H724" i="1"/>
  <c r="D725" i="1"/>
  <c r="H725" i="1"/>
  <c r="I725" i="1"/>
  <c r="D726" i="1"/>
  <c r="H726" i="1"/>
  <c r="D727" i="1"/>
  <c r="H727" i="1"/>
  <c r="D728" i="1"/>
  <c r="H728" i="1"/>
  <c r="D729" i="1"/>
  <c r="H729" i="1"/>
  <c r="I729" i="1"/>
  <c r="D740" i="1"/>
  <c r="E740" i="1"/>
  <c r="H740" i="1"/>
  <c r="I740" i="1"/>
  <c r="D749" i="1"/>
  <c r="E749" i="1"/>
  <c r="H749" i="1"/>
  <c r="I749" i="1"/>
  <c r="D741" i="1"/>
  <c r="H741" i="1"/>
  <c r="D742" i="1"/>
  <c r="E742" i="1"/>
  <c r="H742" i="1"/>
  <c r="D743" i="1"/>
  <c r="E743" i="1"/>
  <c r="H743" i="1"/>
  <c r="D733" i="1"/>
  <c r="E733" i="1"/>
  <c r="H733" i="1"/>
  <c r="D734" i="1"/>
  <c r="E734" i="1"/>
  <c r="H734" i="1"/>
  <c r="D735" i="1"/>
  <c r="E735" i="1"/>
  <c r="H735" i="1"/>
  <c r="D736" i="1"/>
  <c r="E736" i="1"/>
  <c r="H736" i="1"/>
  <c r="D737" i="1"/>
  <c r="E737" i="1"/>
  <c r="H737" i="1"/>
  <c r="D738" i="1"/>
  <c r="E738" i="1"/>
  <c r="H738" i="1"/>
  <c r="D730" i="1"/>
  <c r="H730" i="1"/>
  <c r="I730" i="1"/>
  <c r="D702" i="1"/>
  <c r="E702" i="1"/>
  <c r="H702" i="1"/>
  <c r="D701" i="1"/>
  <c r="H701" i="1"/>
  <c r="D744" i="1"/>
  <c r="H744" i="1"/>
  <c r="I744" i="1"/>
  <c r="D745" i="1"/>
  <c r="E745" i="1"/>
  <c r="H745" i="1"/>
  <c r="D732" i="1"/>
  <c r="E732" i="1"/>
  <c r="H732" i="1"/>
  <c r="D739" i="1"/>
  <c r="E739" i="1"/>
  <c r="H739" i="1"/>
  <c r="D750" i="1"/>
  <c r="E750" i="1"/>
  <c r="H750" i="1"/>
  <c r="I750" i="1"/>
  <c r="D751" i="1"/>
  <c r="E751" i="1"/>
  <c r="H751" i="1"/>
  <c r="I751" i="1"/>
  <c r="D752" i="1"/>
  <c r="E752" i="1"/>
  <c r="H752" i="1"/>
  <c r="I752" i="1"/>
  <c r="D753" i="1"/>
  <c r="E753" i="1"/>
  <c r="H753" i="1"/>
  <c r="I753" i="1"/>
  <c r="D754" i="1"/>
  <c r="E754" i="1"/>
  <c r="H754" i="1"/>
  <c r="I754" i="1"/>
  <c r="D755" i="1"/>
  <c r="E755" i="1"/>
  <c r="H755" i="1"/>
  <c r="I755" i="1"/>
  <c r="D756" i="1"/>
  <c r="E756" i="1"/>
  <c r="H756" i="1"/>
  <c r="I756" i="1"/>
  <c r="D757" i="1"/>
  <c r="E757" i="1"/>
  <c r="H757" i="1"/>
  <c r="I757" i="1"/>
  <c r="D758" i="1"/>
  <c r="E758" i="1"/>
  <c r="H758" i="1"/>
  <c r="I758" i="1"/>
  <c r="D731" i="1"/>
  <c r="E731" i="1"/>
  <c r="H731" i="1"/>
  <c r="I731" i="1"/>
  <c r="D746" i="1"/>
  <c r="E746" i="1"/>
  <c r="H746" i="1"/>
  <c r="I746" i="1"/>
  <c r="D747" i="1"/>
  <c r="E747" i="1"/>
  <c r="H747" i="1"/>
  <c r="I747" i="1"/>
  <c r="D700" i="1"/>
  <c r="E700" i="1"/>
  <c r="H700" i="1"/>
  <c r="I700" i="1"/>
  <c r="D748" i="1"/>
  <c r="E748" i="1"/>
  <c r="H748" i="1"/>
  <c r="D759" i="1"/>
  <c r="E759" i="1"/>
  <c r="H759" i="1"/>
  <c r="D760" i="1"/>
  <c r="E760" i="1"/>
  <c r="H760" i="1"/>
  <c r="D761" i="1"/>
  <c r="E761" i="1"/>
  <c r="H761" i="1"/>
  <c r="D762" i="1"/>
  <c r="E762" i="1"/>
  <c r="H762" i="1"/>
  <c r="D763" i="1"/>
  <c r="E763" i="1"/>
  <c r="H763" i="1"/>
  <c r="D764" i="1"/>
  <c r="E764" i="1"/>
  <c r="H764" i="1"/>
  <c r="D765" i="1"/>
  <c r="E765" i="1"/>
  <c r="H765" i="1"/>
  <c r="I765" i="1"/>
  <c r="D766" i="1"/>
  <c r="E766" i="1"/>
  <c r="H766" i="1"/>
  <c r="I766" i="1"/>
  <c r="D767" i="1"/>
  <c r="E767" i="1"/>
  <c r="H767" i="1"/>
  <c r="I767" i="1"/>
  <c r="D768" i="1"/>
  <c r="E768" i="1"/>
  <c r="H768" i="1"/>
  <c r="I768" i="1"/>
  <c r="D769" i="1"/>
  <c r="E769" i="1"/>
  <c r="H769" i="1"/>
  <c r="I769" i="1"/>
  <c r="D770" i="1"/>
  <c r="E770" i="1"/>
  <c r="H770" i="1"/>
  <c r="I770" i="1"/>
  <c r="D771" i="1"/>
  <c r="E771" i="1"/>
  <c r="H771" i="1"/>
  <c r="I771" i="1"/>
  <c r="D772" i="1"/>
  <c r="E772" i="1"/>
  <c r="H772" i="1"/>
  <c r="I772" i="1"/>
  <c r="D773" i="1"/>
  <c r="E773" i="1"/>
  <c r="H773" i="1"/>
  <c r="I773" i="1"/>
  <c r="D774" i="1"/>
  <c r="E774" i="1"/>
  <c r="H774" i="1"/>
  <c r="I774" i="1"/>
  <c r="D775" i="1"/>
  <c r="E775" i="1"/>
  <c r="H775" i="1"/>
  <c r="I775" i="1"/>
  <c r="D776" i="1"/>
  <c r="E776" i="1"/>
  <c r="H776" i="1"/>
  <c r="I776" i="1"/>
  <c r="D777" i="1"/>
  <c r="E777" i="1"/>
  <c r="H777" i="1"/>
  <c r="I777" i="1"/>
  <c r="D778" i="1"/>
  <c r="E778" i="1"/>
  <c r="H778" i="1"/>
  <c r="I778" i="1"/>
  <c r="D779" i="1"/>
  <c r="E779" i="1"/>
  <c r="H779" i="1"/>
  <c r="I779" i="1"/>
  <c r="D780" i="1"/>
  <c r="E780" i="1"/>
  <c r="H780" i="1"/>
  <c r="I780" i="1"/>
  <c r="D781" i="1"/>
  <c r="E781" i="1"/>
  <c r="H781" i="1"/>
  <c r="I781" i="1"/>
  <c r="D782" i="1"/>
  <c r="E782" i="1"/>
  <c r="H782" i="1"/>
  <c r="I782" i="1"/>
  <c r="D783" i="1"/>
  <c r="E783" i="1"/>
  <c r="H783" i="1"/>
  <c r="I783" i="1"/>
  <c r="D784" i="1"/>
  <c r="E784" i="1"/>
  <c r="H784" i="1"/>
  <c r="I784" i="1"/>
  <c r="D684" i="1"/>
  <c r="H684" i="1"/>
  <c r="I684" i="1"/>
  <c r="D696" i="1"/>
  <c r="H696" i="1"/>
  <c r="D697" i="1"/>
  <c r="H697" i="1"/>
  <c r="I697" i="1"/>
  <c r="D698" i="1"/>
  <c r="H698" i="1"/>
  <c r="I698" i="1"/>
  <c r="D699" i="1"/>
  <c r="H699" i="1"/>
  <c r="D685" i="1"/>
  <c r="E685" i="1"/>
  <c r="H685" i="1"/>
  <c r="D785" i="1"/>
  <c r="E785" i="1"/>
  <c r="H785" i="1"/>
  <c r="D793" i="1"/>
  <c r="E793" i="1"/>
  <c r="H793" i="1"/>
  <c r="D786" i="1"/>
  <c r="E786" i="1"/>
  <c r="H786" i="1"/>
  <c r="D787" i="1"/>
  <c r="E787" i="1"/>
  <c r="H787" i="1"/>
  <c r="D788" i="1"/>
  <c r="E788" i="1"/>
  <c r="H788" i="1"/>
  <c r="D789" i="1"/>
  <c r="E789" i="1"/>
  <c r="H789" i="1"/>
  <c r="D790" i="1"/>
  <c r="E790" i="1"/>
  <c r="H790" i="1"/>
  <c r="D802" i="1"/>
  <c r="E802" i="1"/>
  <c r="H802" i="1"/>
  <c r="D794" i="1"/>
  <c r="E794" i="1"/>
  <c r="H794" i="1"/>
  <c r="D795" i="1"/>
  <c r="E795" i="1"/>
  <c r="H795" i="1"/>
  <c r="D796" i="1"/>
  <c r="E796" i="1"/>
  <c r="H796" i="1"/>
  <c r="D797" i="1"/>
  <c r="E797" i="1"/>
  <c r="H797" i="1"/>
  <c r="D798" i="1"/>
  <c r="E798" i="1"/>
  <c r="H798" i="1"/>
  <c r="D799" i="1"/>
  <c r="E799" i="1"/>
  <c r="H799" i="1"/>
  <c r="D791" i="1"/>
  <c r="E791" i="1"/>
  <c r="H791" i="1"/>
  <c r="D800" i="1"/>
  <c r="E800" i="1"/>
  <c r="H800" i="1"/>
  <c r="D804" i="1"/>
  <c r="E804" i="1"/>
  <c r="H804" i="1"/>
  <c r="I804" i="1"/>
  <c r="D801" i="1"/>
  <c r="E801" i="1"/>
  <c r="H801" i="1"/>
  <c r="I801" i="1"/>
  <c r="D803" i="1"/>
  <c r="E803" i="1"/>
  <c r="H803" i="1"/>
  <c r="I803" i="1"/>
  <c r="D792" i="1"/>
  <c r="H792" i="1"/>
  <c r="I792" i="1"/>
  <c r="D805" i="1"/>
  <c r="E805" i="1"/>
  <c r="H805" i="1"/>
  <c r="I805" i="1"/>
  <c r="D843" i="1"/>
  <c r="H843" i="1"/>
  <c r="I843" i="1"/>
  <c r="D814" i="1"/>
  <c r="H814" i="1"/>
  <c r="I814" i="1"/>
  <c r="D815" i="1"/>
  <c r="H815" i="1"/>
  <c r="I815" i="1"/>
  <c r="D825" i="1"/>
  <c r="H825" i="1"/>
  <c r="I825" i="1"/>
  <c r="D860" i="1"/>
  <c r="H860" i="1"/>
  <c r="I860" i="1"/>
  <c r="D819" i="1"/>
  <c r="E819" i="1"/>
  <c r="H819" i="1"/>
  <c r="I819" i="1"/>
  <c r="D820" i="1"/>
  <c r="E820" i="1"/>
  <c r="H820" i="1"/>
  <c r="I820" i="1"/>
  <c r="D841" i="1"/>
  <c r="E841" i="1"/>
  <c r="H841" i="1"/>
  <c r="I841" i="1"/>
  <c r="D852" i="1"/>
  <c r="E852" i="1"/>
  <c r="H852" i="1"/>
  <c r="I852" i="1"/>
  <c r="D862" i="1"/>
  <c r="E862" i="1"/>
  <c r="H862" i="1"/>
  <c r="I862" i="1"/>
  <c r="D813" i="1"/>
  <c r="E813" i="1"/>
  <c r="H813" i="1"/>
  <c r="D861" i="1"/>
  <c r="E861" i="1"/>
  <c r="H861" i="1"/>
  <c r="I861" i="1"/>
  <c r="D807" i="1"/>
  <c r="E807" i="1"/>
  <c r="H807" i="1"/>
  <c r="D822" i="1"/>
  <c r="E822" i="1"/>
  <c r="H822" i="1"/>
  <c r="D823" i="1"/>
  <c r="E823" i="1"/>
  <c r="H823" i="1"/>
  <c r="D829" i="1"/>
  <c r="E829" i="1"/>
  <c r="H829" i="1"/>
  <c r="D830" i="1"/>
  <c r="E830" i="1"/>
  <c r="H830" i="1"/>
  <c r="D831" i="1"/>
  <c r="E831" i="1"/>
  <c r="H831" i="1"/>
  <c r="D845" i="1"/>
  <c r="E845" i="1"/>
  <c r="H845" i="1"/>
  <c r="I845" i="1"/>
  <c r="D821" i="1"/>
  <c r="E821" i="1"/>
  <c r="H821" i="1"/>
  <c r="I821" i="1"/>
  <c r="D832" i="1"/>
  <c r="E832" i="1"/>
  <c r="H832" i="1"/>
  <c r="D833" i="1"/>
  <c r="E833" i="1"/>
  <c r="H833" i="1"/>
  <c r="D834" i="1"/>
  <c r="E834" i="1"/>
  <c r="H834" i="1"/>
  <c r="D835" i="1"/>
  <c r="E835" i="1"/>
  <c r="H835" i="1"/>
  <c r="D836" i="1"/>
  <c r="E836" i="1"/>
  <c r="H836" i="1"/>
  <c r="D826" i="1"/>
  <c r="E826" i="1"/>
  <c r="H826" i="1"/>
  <c r="D827" i="1"/>
  <c r="E827" i="1"/>
  <c r="H827" i="1"/>
  <c r="D828" i="1"/>
  <c r="E828" i="1"/>
  <c r="H828" i="1"/>
  <c r="D846" i="1"/>
  <c r="E846" i="1"/>
  <c r="H846" i="1"/>
  <c r="I846" i="1"/>
  <c r="D859" i="1"/>
  <c r="E859" i="1"/>
  <c r="H859" i="1"/>
  <c r="D847" i="1"/>
  <c r="H847" i="1"/>
  <c r="I847" i="1"/>
  <c r="D842" i="1"/>
  <c r="E842" i="1"/>
  <c r="H842" i="1"/>
  <c r="D816" i="1"/>
  <c r="E816" i="1"/>
  <c r="H816" i="1"/>
  <c r="D837" i="1"/>
  <c r="E837" i="1"/>
  <c r="H837" i="1"/>
  <c r="D838" i="1"/>
  <c r="E838" i="1"/>
  <c r="H838" i="1"/>
  <c r="D864" i="1"/>
  <c r="H864" i="1"/>
  <c r="I864" i="1"/>
  <c r="D839" i="1"/>
  <c r="E839" i="1"/>
  <c r="H839" i="1"/>
  <c r="I839" i="1"/>
  <c r="D865" i="1"/>
  <c r="H865" i="1"/>
  <c r="I865" i="1"/>
  <c r="D866" i="1"/>
  <c r="H866" i="1"/>
  <c r="I866" i="1"/>
  <c r="D840" i="1"/>
  <c r="H840" i="1"/>
  <c r="D817" i="1"/>
  <c r="E817" i="1"/>
  <c r="H817" i="1"/>
  <c r="I817" i="1"/>
  <c r="D818" i="1"/>
  <c r="H818" i="1"/>
  <c r="D854" i="1"/>
  <c r="E854" i="1"/>
  <c r="H854" i="1"/>
  <c r="I854" i="1"/>
  <c r="D808" i="1"/>
  <c r="E808" i="1"/>
  <c r="H808" i="1"/>
  <c r="D844" i="1"/>
  <c r="E844" i="1"/>
  <c r="H844" i="1"/>
  <c r="I844" i="1"/>
  <c r="D855" i="1"/>
  <c r="E855" i="1"/>
  <c r="H855" i="1"/>
  <c r="I855" i="1"/>
  <c r="D850" i="1"/>
  <c r="E850" i="1"/>
  <c r="H850" i="1"/>
  <c r="D824" i="1"/>
  <c r="E824" i="1"/>
  <c r="H824" i="1"/>
  <c r="D856" i="1"/>
  <c r="E856" i="1"/>
  <c r="H856" i="1"/>
  <c r="D857" i="1"/>
  <c r="H857" i="1"/>
  <c r="I857" i="1"/>
  <c r="D858" i="1"/>
  <c r="H858" i="1"/>
  <c r="I858" i="1"/>
  <c r="D809" i="1"/>
  <c r="H809" i="1"/>
  <c r="I809" i="1"/>
  <c r="D810" i="1"/>
  <c r="H810" i="1"/>
  <c r="I810" i="1"/>
  <c r="D867" i="1"/>
  <c r="E867" i="1"/>
  <c r="H867" i="1"/>
  <c r="I867" i="1"/>
  <c r="D811" i="1"/>
  <c r="E811" i="1"/>
  <c r="H811" i="1"/>
  <c r="D853" i="1"/>
  <c r="E853" i="1"/>
  <c r="H853" i="1"/>
  <c r="I853" i="1"/>
  <c r="D848" i="1"/>
  <c r="E848" i="1"/>
  <c r="H848" i="1"/>
  <c r="I848" i="1"/>
  <c r="D849" i="1"/>
  <c r="E849" i="1"/>
  <c r="H849" i="1"/>
  <c r="I849" i="1"/>
  <c r="D812" i="1"/>
  <c r="H812" i="1"/>
  <c r="D863" i="1"/>
  <c r="E863" i="1"/>
  <c r="H863" i="1"/>
  <c r="D806" i="1"/>
  <c r="E806" i="1"/>
  <c r="H806" i="1"/>
  <c r="D851" i="1"/>
  <c r="E851" i="1"/>
  <c r="H851" i="1"/>
  <c r="I851" i="1"/>
  <c r="D921" i="1"/>
  <c r="E921" i="1"/>
  <c r="H921" i="1"/>
  <c r="I921" i="1"/>
  <c r="D909" i="1"/>
  <c r="E909" i="1"/>
  <c r="H909" i="1"/>
  <c r="D910" i="1"/>
  <c r="E910" i="1"/>
  <c r="H910" i="1"/>
  <c r="D911" i="1"/>
  <c r="E911" i="1"/>
  <c r="H911" i="1"/>
  <c r="D912" i="1"/>
  <c r="E912" i="1"/>
  <c r="H912" i="1"/>
  <c r="D913" i="1"/>
  <c r="E913" i="1"/>
  <c r="H913" i="1"/>
  <c r="D914" i="1"/>
  <c r="E914" i="1"/>
  <c r="H914" i="1"/>
  <c r="D915" i="1"/>
  <c r="E915" i="1"/>
  <c r="H915" i="1"/>
  <c r="D916" i="1"/>
  <c r="E916" i="1"/>
  <c r="H916" i="1"/>
  <c r="D937" i="1"/>
  <c r="E937" i="1"/>
  <c r="H937" i="1"/>
  <c r="I937" i="1"/>
  <c r="D922" i="1"/>
  <c r="E922" i="1"/>
  <c r="H922" i="1"/>
  <c r="I922" i="1"/>
  <c r="D938" i="1"/>
  <c r="E938" i="1"/>
  <c r="H938" i="1"/>
  <c r="I938" i="1"/>
  <c r="D939" i="1"/>
  <c r="E939" i="1"/>
  <c r="H939" i="1"/>
  <c r="I939" i="1"/>
  <c r="D935" i="1"/>
  <c r="E935" i="1"/>
  <c r="H935" i="1"/>
  <c r="D936" i="1"/>
  <c r="E936" i="1"/>
  <c r="H936" i="1"/>
  <c r="I936" i="1"/>
  <c r="D906" i="1"/>
  <c r="E906" i="1"/>
  <c r="H906" i="1"/>
  <c r="I906" i="1"/>
  <c r="D934" i="1"/>
  <c r="E934" i="1"/>
  <c r="H934" i="1"/>
  <c r="D877" i="1"/>
  <c r="E877" i="1"/>
  <c r="H877" i="1"/>
  <c r="I877" i="1"/>
  <c r="D878" i="1"/>
  <c r="E878" i="1"/>
  <c r="H878" i="1"/>
  <c r="I878" i="1"/>
  <c r="D918" i="1"/>
  <c r="E918" i="1"/>
  <c r="H918" i="1"/>
  <c r="I918" i="1"/>
  <c r="D940" i="1"/>
  <c r="E940" i="1"/>
  <c r="H940" i="1"/>
  <c r="I940" i="1"/>
  <c r="D905" i="1"/>
  <c r="E905" i="1"/>
  <c r="H905" i="1"/>
  <c r="I905" i="1"/>
  <c r="D879" i="1"/>
  <c r="E879" i="1"/>
  <c r="H879" i="1"/>
  <c r="I879" i="1"/>
  <c r="D919" i="1"/>
  <c r="E919" i="1"/>
  <c r="H919" i="1"/>
  <c r="D869" i="1"/>
  <c r="E869" i="1"/>
  <c r="H869" i="1"/>
  <c r="D872" i="1"/>
  <c r="H872" i="1"/>
  <c r="I872" i="1"/>
  <c r="D868" i="1"/>
  <c r="E868" i="1"/>
  <c r="H868" i="1"/>
  <c r="I868" i="1"/>
  <c r="D920" i="1"/>
  <c r="E920" i="1"/>
  <c r="H920" i="1"/>
  <c r="I920" i="1"/>
  <c r="D907" i="1"/>
  <c r="E907" i="1"/>
  <c r="H907" i="1"/>
  <c r="D917" i="1"/>
  <c r="E917" i="1"/>
  <c r="H917" i="1"/>
  <c r="D874" i="1"/>
  <c r="E874" i="1"/>
  <c r="H874" i="1"/>
  <c r="D875" i="1"/>
  <c r="E875" i="1"/>
  <c r="H875" i="1"/>
  <c r="I875" i="1"/>
  <c r="D876" i="1"/>
  <c r="E876" i="1"/>
  <c r="H876" i="1"/>
  <c r="I876" i="1"/>
  <c r="D873" i="1"/>
  <c r="E873" i="1"/>
  <c r="H873" i="1"/>
  <c r="D923" i="1"/>
  <c r="E923" i="1"/>
  <c r="H923" i="1"/>
  <c r="D924" i="1"/>
  <c r="E924" i="1"/>
  <c r="H924" i="1"/>
  <c r="D925" i="1"/>
  <c r="E925" i="1"/>
  <c r="H925" i="1"/>
  <c r="D926" i="1"/>
  <c r="E926" i="1"/>
  <c r="H926" i="1"/>
  <c r="D927" i="1"/>
  <c r="E927" i="1"/>
  <c r="H927" i="1"/>
  <c r="D928" i="1"/>
  <c r="E928" i="1"/>
  <c r="H928" i="1"/>
  <c r="D929" i="1"/>
  <c r="E929" i="1"/>
  <c r="H929" i="1"/>
  <c r="D880" i="1"/>
  <c r="E880" i="1"/>
  <c r="H880" i="1"/>
  <c r="D881" i="1"/>
  <c r="E881" i="1"/>
  <c r="H881" i="1"/>
  <c r="D882" i="1"/>
  <c r="E882" i="1"/>
  <c r="H882" i="1"/>
  <c r="D870" i="1"/>
  <c r="E870" i="1"/>
  <c r="H870" i="1"/>
  <c r="D871" i="1"/>
  <c r="E871" i="1"/>
  <c r="H871" i="1"/>
  <c r="D883" i="1"/>
  <c r="E883" i="1"/>
  <c r="H883" i="1"/>
  <c r="D884" i="1"/>
  <c r="E884" i="1"/>
  <c r="H884" i="1"/>
  <c r="D885" i="1"/>
  <c r="E885" i="1"/>
  <c r="H885" i="1"/>
  <c r="D886" i="1"/>
  <c r="E886" i="1"/>
  <c r="H886" i="1"/>
  <c r="D887" i="1"/>
  <c r="E887" i="1"/>
  <c r="H887" i="1"/>
  <c r="D888" i="1"/>
  <c r="E888" i="1"/>
  <c r="H888" i="1"/>
  <c r="D889" i="1"/>
  <c r="E889" i="1"/>
  <c r="H889" i="1"/>
  <c r="D890" i="1"/>
  <c r="E890" i="1"/>
  <c r="H890" i="1"/>
  <c r="D891" i="1"/>
  <c r="E891" i="1"/>
  <c r="H891" i="1"/>
  <c r="D892" i="1"/>
  <c r="E892" i="1"/>
  <c r="H892" i="1"/>
  <c r="D893" i="1"/>
  <c r="E893" i="1"/>
  <c r="H893" i="1"/>
  <c r="D894" i="1"/>
  <c r="E894" i="1"/>
  <c r="H894" i="1"/>
  <c r="D895" i="1"/>
  <c r="E895" i="1"/>
  <c r="H895" i="1"/>
  <c r="D896" i="1"/>
  <c r="E896" i="1"/>
  <c r="H896" i="1"/>
  <c r="D897" i="1"/>
  <c r="E897" i="1"/>
  <c r="H897" i="1"/>
  <c r="D898" i="1"/>
  <c r="E898" i="1"/>
  <c r="H898" i="1"/>
  <c r="D899" i="1"/>
  <c r="E899" i="1"/>
  <c r="H899" i="1"/>
  <c r="D900" i="1"/>
  <c r="E900" i="1"/>
  <c r="H900" i="1"/>
  <c r="D901" i="1"/>
  <c r="E901" i="1"/>
  <c r="H901" i="1"/>
  <c r="D902" i="1"/>
  <c r="E902" i="1"/>
  <c r="H902" i="1"/>
  <c r="D903" i="1"/>
  <c r="E903" i="1"/>
  <c r="H903" i="1"/>
  <c r="D930" i="1"/>
  <c r="E930" i="1"/>
  <c r="H930" i="1"/>
  <c r="I930" i="1"/>
  <c r="D931" i="1"/>
  <c r="E931" i="1"/>
  <c r="H931" i="1"/>
  <c r="I931" i="1"/>
  <c r="D932" i="1"/>
  <c r="E932" i="1"/>
  <c r="H932" i="1"/>
  <c r="D933" i="1"/>
  <c r="E933" i="1"/>
  <c r="H933" i="1"/>
  <c r="I933" i="1"/>
  <c r="D904" i="1"/>
  <c r="E904" i="1"/>
  <c r="H904" i="1"/>
  <c r="D908" i="1"/>
  <c r="E908" i="1"/>
  <c r="H908" i="1"/>
  <c r="I908" i="1"/>
  <c r="D958" i="1"/>
  <c r="E958" i="1"/>
  <c r="H958" i="1"/>
  <c r="I958" i="1"/>
  <c r="D991" i="1"/>
  <c r="E991" i="1"/>
  <c r="H991" i="1"/>
  <c r="D943" i="1"/>
  <c r="E943" i="1"/>
  <c r="H943" i="1"/>
  <c r="I943" i="1"/>
  <c r="D952" i="1"/>
  <c r="H952" i="1"/>
  <c r="D953" i="1"/>
  <c r="H953" i="1"/>
  <c r="I953" i="1"/>
  <c r="D954" i="1"/>
  <c r="H954" i="1"/>
  <c r="I954" i="1"/>
  <c r="D987" i="1"/>
  <c r="E987" i="1"/>
  <c r="H987" i="1"/>
  <c r="I987" i="1"/>
  <c r="D949" i="1"/>
  <c r="E949" i="1"/>
  <c r="H949" i="1"/>
  <c r="I949" i="1"/>
  <c r="D942" i="1"/>
  <c r="E942" i="1"/>
  <c r="H942" i="1"/>
  <c r="I942" i="1"/>
  <c r="D967" i="1"/>
  <c r="H967" i="1"/>
  <c r="D972" i="1"/>
  <c r="E972" i="1"/>
  <c r="H972" i="1"/>
  <c r="D973" i="1"/>
  <c r="E973" i="1"/>
  <c r="H973" i="1"/>
  <c r="D974" i="1"/>
  <c r="E974" i="1"/>
  <c r="H974" i="1"/>
  <c r="D984" i="1"/>
  <c r="H984" i="1"/>
  <c r="D944" i="1"/>
  <c r="E944" i="1"/>
  <c r="H944" i="1"/>
  <c r="D945" i="1"/>
  <c r="E945" i="1"/>
  <c r="H945" i="1"/>
  <c r="D993" i="1"/>
  <c r="E993" i="1"/>
  <c r="H993" i="1"/>
  <c r="I993" i="1"/>
  <c r="D995" i="1"/>
  <c r="H995" i="1"/>
  <c r="D996" i="1"/>
  <c r="H996" i="1"/>
  <c r="I996" i="1"/>
  <c r="D997" i="1"/>
  <c r="E997" i="1"/>
  <c r="H997" i="1"/>
  <c r="D941" i="1"/>
  <c r="H941" i="1"/>
  <c r="I941" i="1"/>
  <c r="D989" i="1"/>
  <c r="H989" i="1"/>
  <c r="I989" i="1"/>
  <c r="D963" i="1"/>
  <c r="E963" i="1"/>
  <c r="H963" i="1"/>
  <c r="D946" i="1"/>
  <c r="E946" i="1"/>
  <c r="H946" i="1"/>
  <c r="I946" i="1"/>
  <c r="D976" i="1"/>
  <c r="E976" i="1"/>
  <c r="H976" i="1"/>
  <c r="I976" i="1"/>
  <c r="D950" i="1"/>
  <c r="H950" i="1"/>
  <c r="I950" i="1"/>
  <c r="D951" i="1"/>
  <c r="H951" i="1"/>
  <c r="I951" i="1"/>
  <c r="D959" i="1"/>
  <c r="E959" i="1"/>
  <c r="H959" i="1"/>
  <c r="I959" i="1"/>
  <c r="D947" i="1"/>
  <c r="E947" i="1"/>
  <c r="H947" i="1"/>
  <c r="D960" i="1"/>
  <c r="E960" i="1"/>
  <c r="H960" i="1"/>
  <c r="D964" i="1"/>
  <c r="E964" i="1"/>
  <c r="H964" i="1"/>
  <c r="D961" i="1"/>
  <c r="E961" i="1"/>
  <c r="H961" i="1"/>
  <c r="D965" i="1"/>
  <c r="E965" i="1"/>
  <c r="H965" i="1"/>
  <c r="D966" i="1"/>
  <c r="E966" i="1"/>
  <c r="H966" i="1"/>
  <c r="D962" i="1"/>
  <c r="E962" i="1"/>
  <c r="H962" i="1"/>
  <c r="D948" i="1"/>
  <c r="E948" i="1"/>
  <c r="H948" i="1"/>
  <c r="D971" i="1"/>
  <c r="E971" i="1"/>
  <c r="H971" i="1"/>
  <c r="I971" i="1"/>
  <c r="D978" i="1"/>
  <c r="H978" i="1"/>
  <c r="I978" i="1"/>
  <c r="D981" i="1"/>
  <c r="E981" i="1"/>
  <c r="H981" i="1"/>
  <c r="D985" i="1"/>
  <c r="E985" i="1"/>
  <c r="H985" i="1"/>
  <c r="I985" i="1"/>
  <c r="D955" i="1"/>
  <c r="E955" i="1"/>
  <c r="H955" i="1"/>
  <c r="I955" i="1"/>
  <c r="D979" i="1"/>
  <c r="H979" i="1"/>
  <c r="I979" i="1"/>
  <c r="D968" i="1"/>
  <c r="E968" i="1"/>
  <c r="H968" i="1"/>
  <c r="I968" i="1"/>
  <c r="D956" i="1"/>
  <c r="E956" i="1"/>
  <c r="H956" i="1"/>
  <c r="I956" i="1"/>
  <c r="D998" i="1"/>
  <c r="H998" i="1"/>
  <c r="I998" i="1"/>
  <c r="D999" i="1"/>
  <c r="H999" i="1"/>
  <c r="I999" i="1"/>
  <c r="D1000" i="1"/>
  <c r="H1000" i="1"/>
  <c r="I1000" i="1"/>
  <c r="D1001" i="1"/>
  <c r="H1001" i="1"/>
  <c r="I1001" i="1"/>
  <c r="D1002" i="1"/>
  <c r="H1002" i="1"/>
  <c r="I1002" i="1"/>
  <c r="D992" i="1"/>
  <c r="E992" i="1"/>
  <c r="H992" i="1"/>
  <c r="I992" i="1"/>
  <c r="D988" i="1"/>
  <c r="H988" i="1"/>
  <c r="I988" i="1"/>
  <c r="D975" i="1"/>
  <c r="H975" i="1"/>
  <c r="I975" i="1"/>
  <c r="D957" i="1"/>
  <c r="E957" i="1"/>
  <c r="H957" i="1"/>
  <c r="D980" i="1"/>
  <c r="E980" i="1"/>
  <c r="H980" i="1"/>
  <c r="I980" i="1"/>
  <c r="D969" i="1"/>
  <c r="E969" i="1"/>
  <c r="H969" i="1"/>
  <c r="D994" i="1"/>
  <c r="E994" i="1"/>
  <c r="H994" i="1"/>
  <c r="I994" i="1"/>
  <c r="D982" i="1"/>
  <c r="E982" i="1"/>
  <c r="H982" i="1"/>
  <c r="I982" i="1"/>
  <c r="D970" i="1"/>
  <c r="E970" i="1"/>
  <c r="H970" i="1"/>
  <c r="I970" i="1"/>
  <c r="D983" i="1"/>
  <c r="E983" i="1"/>
  <c r="H983" i="1"/>
  <c r="D990" i="1"/>
  <c r="E990" i="1"/>
  <c r="H990" i="1"/>
  <c r="D986" i="1"/>
  <c r="E986" i="1"/>
  <c r="H986" i="1"/>
  <c r="I986" i="1"/>
  <c r="D977" i="1"/>
  <c r="E977" i="1"/>
  <c r="H977" i="1"/>
  <c r="I977" i="1"/>
  <c r="D1003" i="1"/>
  <c r="E1003" i="1"/>
  <c r="H1003" i="1"/>
  <c r="D1027" i="1"/>
  <c r="E1027" i="1"/>
  <c r="H1027" i="1"/>
  <c r="D1013" i="1"/>
  <c r="E1013" i="1"/>
  <c r="H1013" i="1"/>
  <c r="I1013" i="1"/>
  <c r="D1061" i="1"/>
  <c r="E1061" i="1"/>
  <c r="H1061" i="1"/>
  <c r="D1064" i="1"/>
  <c r="E1064" i="1"/>
  <c r="H1064" i="1"/>
  <c r="D1150" i="1"/>
  <c r="H1150" i="1"/>
  <c r="I1150" i="1"/>
  <c r="D1036" i="1"/>
  <c r="E1036" i="1"/>
  <c r="H1036" i="1"/>
  <c r="D1042" i="1"/>
  <c r="E1042" i="1"/>
  <c r="H1042" i="1"/>
  <c r="D1116" i="1"/>
  <c r="H1116" i="1"/>
  <c r="I1116" i="1"/>
  <c r="D1090" i="1"/>
  <c r="E1090" i="1"/>
  <c r="H1090" i="1"/>
  <c r="D1091" i="1"/>
  <c r="H1091" i="1"/>
  <c r="I1091" i="1"/>
  <c r="D1092" i="1"/>
  <c r="E1092" i="1"/>
  <c r="H1092" i="1"/>
  <c r="D1093" i="1"/>
  <c r="E1093" i="1"/>
  <c r="H1093" i="1"/>
  <c r="D1094" i="1"/>
  <c r="E1094" i="1"/>
  <c r="H1094" i="1"/>
  <c r="D1095" i="1"/>
  <c r="E1095" i="1"/>
  <c r="H1095" i="1"/>
  <c r="D1096" i="1"/>
  <c r="E1096" i="1"/>
  <c r="H1096" i="1"/>
  <c r="D1097" i="1"/>
  <c r="E1097" i="1"/>
  <c r="H1097" i="1"/>
  <c r="D1098" i="1"/>
  <c r="E1098" i="1"/>
  <c r="H1098" i="1"/>
  <c r="D1099" i="1"/>
  <c r="E1099" i="1"/>
  <c r="H1099" i="1"/>
  <c r="D1100" i="1"/>
  <c r="E1100" i="1"/>
  <c r="H1100" i="1"/>
  <c r="D1101" i="1"/>
  <c r="E1101" i="1"/>
  <c r="H1101" i="1"/>
  <c r="D1102" i="1"/>
  <c r="E1102" i="1"/>
  <c r="H1102" i="1"/>
  <c r="D1103" i="1"/>
  <c r="E1103" i="1"/>
  <c r="H1103" i="1"/>
  <c r="D1104" i="1"/>
  <c r="E1104" i="1"/>
  <c r="H1104" i="1"/>
  <c r="D1105" i="1"/>
  <c r="E1105" i="1"/>
  <c r="H1105" i="1"/>
  <c r="D1037" i="1"/>
  <c r="E1037" i="1"/>
  <c r="H1037" i="1"/>
  <c r="D1038" i="1"/>
  <c r="E1038" i="1"/>
  <c r="H1038" i="1"/>
  <c r="I1038" i="1"/>
  <c r="D1106" i="1"/>
  <c r="E1106" i="1"/>
  <c r="H1106" i="1"/>
  <c r="D1039" i="1"/>
  <c r="E1039" i="1"/>
  <c r="H1039" i="1"/>
  <c r="D1107" i="1"/>
  <c r="E1107" i="1"/>
  <c r="H1107" i="1"/>
  <c r="D1005" i="1"/>
  <c r="E1005" i="1"/>
  <c r="H1005" i="1"/>
  <c r="I1005" i="1"/>
  <c r="D1006" i="1"/>
  <c r="E1006" i="1"/>
  <c r="H1006" i="1"/>
  <c r="I1006" i="1"/>
  <c r="D1133" i="1"/>
  <c r="H1133" i="1"/>
  <c r="D1034" i="1"/>
  <c r="E1034" i="1"/>
  <c r="H1034" i="1"/>
  <c r="I1034" i="1"/>
  <c r="D1015" i="1"/>
  <c r="E1015" i="1"/>
  <c r="H1015" i="1"/>
  <c r="I1015" i="1"/>
  <c r="D1108" i="1"/>
  <c r="H1108" i="1"/>
  <c r="I1108" i="1"/>
  <c r="D1109" i="1"/>
  <c r="E1109" i="1"/>
  <c r="H1109" i="1"/>
  <c r="D1004" i="1"/>
  <c r="E1004" i="1"/>
  <c r="H1004" i="1"/>
  <c r="D1153" i="1"/>
  <c r="H1153" i="1"/>
  <c r="I1153" i="1"/>
  <c r="D1112" i="1"/>
  <c r="H1112" i="1"/>
  <c r="D1113" i="1"/>
  <c r="H1113" i="1"/>
  <c r="D1029" i="1"/>
  <c r="H1029" i="1"/>
  <c r="I1029" i="1"/>
  <c r="D1132" i="1"/>
  <c r="E1132" i="1"/>
  <c r="H1132" i="1"/>
  <c r="I1132" i="1"/>
  <c r="D1041" i="1"/>
  <c r="H1041" i="1"/>
  <c r="D1044" i="1"/>
  <c r="E1044" i="1"/>
  <c r="H1044" i="1"/>
  <c r="I1044" i="1"/>
  <c r="D1024" i="1"/>
  <c r="E1024" i="1"/>
  <c r="H1024" i="1"/>
  <c r="I1024" i="1"/>
  <c r="D1045" i="1"/>
  <c r="E1045" i="1"/>
  <c r="H1045" i="1"/>
  <c r="I1045" i="1"/>
  <c r="D1151" i="1"/>
  <c r="E1151" i="1"/>
  <c r="H1151" i="1"/>
  <c r="I1151" i="1"/>
  <c r="D1046" i="1"/>
  <c r="E1046" i="1"/>
  <c r="H1046" i="1"/>
  <c r="I1046" i="1"/>
  <c r="D1130" i="1"/>
  <c r="E1130" i="1"/>
  <c r="H1130" i="1"/>
  <c r="I1130" i="1"/>
  <c r="D1040" i="1"/>
  <c r="E1040" i="1"/>
  <c r="H1040" i="1"/>
  <c r="D1117" i="1"/>
  <c r="E1117" i="1"/>
  <c r="H1117" i="1"/>
  <c r="D1118" i="1"/>
  <c r="E1118" i="1"/>
  <c r="H1118" i="1"/>
  <c r="D1075" i="1"/>
  <c r="E1075" i="1"/>
  <c r="H1075" i="1"/>
  <c r="D1128" i="1"/>
  <c r="E1128" i="1"/>
  <c r="H1128" i="1"/>
  <c r="I1128" i="1"/>
  <c r="D1047" i="1"/>
  <c r="E1047" i="1"/>
  <c r="H1047" i="1"/>
  <c r="D1048" i="1"/>
  <c r="H1048" i="1"/>
  <c r="I1048" i="1"/>
  <c r="D1131" i="1"/>
  <c r="H1131" i="1"/>
  <c r="I1131" i="1"/>
  <c r="D1119" i="1"/>
  <c r="E1119" i="1"/>
  <c r="H1119" i="1"/>
  <c r="D1076" i="1"/>
  <c r="E1076" i="1"/>
  <c r="H1076" i="1"/>
  <c r="D1077" i="1"/>
  <c r="E1077" i="1"/>
  <c r="H1077" i="1"/>
  <c r="D1078" i="1"/>
  <c r="E1078" i="1"/>
  <c r="H1078" i="1"/>
  <c r="D1079" i="1"/>
  <c r="E1079" i="1"/>
  <c r="H1079" i="1"/>
  <c r="D1080" i="1"/>
  <c r="E1080" i="1"/>
  <c r="H1080" i="1"/>
  <c r="D1049" i="1"/>
  <c r="E1049" i="1"/>
  <c r="H1049" i="1"/>
  <c r="I1049" i="1"/>
  <c r="D1081" i="1"/>
  <c r="E1081" i="1"/>
  <c r="H1081" i="1"/>
  <c r="D1082" i="1"/>
  <c r="E1082" i="1"/>
  <c r="H1082" i="1"/>
  <c r="D1083" i="1"/>
  <c r="E1083" i="1"/>
  <c r="H1083" i="1"/>
  <c r="D1154" i="1"/>
  <c r="E1154" i="1"/>
  <c r="H1154" i="1"/>
  <c r="I1154" i="1"/>
  <c r="D1134" i="1"/>
  <c r="E1134" i="1"/>
  <c r="H1134" i="1"/>
  <c r="I1134" i="1"/>
  <c r="D1135" i="1"/>
  <c r="E1135" i="1"/>
  <c r="H1135" i="1"/>
  <c r="I1135" i="1"/>
  <c r="D1136" i="1"/>
  <c r="E1136" i="1"/>
  <c r="H1136" i="1"/>
  <c r="I1136" i="1"/>
  <c r="D1137" i="1"/>
  <c r="E1137" i="1"/>
  <c r="H1137" i="1"/>
  <c r="D1138" i="1"/>
  <c r="E1138" i="1"/>
  <c r="H1138" i="1"/>
  <c r="D1139" i="1"/>
  <c r="E1139" i="1"/>
  <c r="H1139" i="1"/>
  <c r="D1140" i="1"/>
  <c r="E1140" i="1"/>
  <c r="H1140" i="1"/>
  <c r="D1141" i="1"/>
  <c r="E1141" i="1"/>
  <c r="H1141" i="1"/>
  <c r="D1142" i="1"/>
  <c r="E1142" i="1"/>
  <c r="H1142" i="1"/>
  <c r="D1143" i="1"/>
  <c r="E1143" i="1"/>
  <c r="H1143" i="1"/>
  <c r="D1030" i="1"/>
  <c r="E1030" i="1"/>
  <c r="H1030" i="1"/>
  <c r="D1084" i="1"/>
  <c r="H1084" i="1"/>
  <c r="I1084" i="1"/>
  <c r="D1009" i="1"/>
  <c r="H1009" i="1"/>
  <c r="I1009" i="1"/>
  <c r="D1010" i="1"/>
  <c r="H1010" i="1"/>
  <c r="I1010" i="1"/>
  <c r="D1085" i="1"/>
  <c r="E1085" i="1"/>
  <c r="H1085" i="1"/>
  <c r="I1085" i="1"/>
  <c r="D1031" i="1"/>
  <c r="H1031" i="1"/>
  <c r="I1031" i="1"/>
  <c r="D1120" i="1"/>
  <c r="E1120" i="1"/>
  <c r="H1120" i="1"/>
  <c r="D1121" i="1"/>
  <c r="E1121" i="1"/>
  <c r="H1121" i="1"/>
  <c r="D1129" i="1"/>
  <c r="E1129" i="1"/>
  <c r="H1129" i="1"/>
  <c r="D1122" i="1"/>
  <c r="E1122" i="1"/>
  <c r="H1122" i="1"/>
  <c r="D1149" i="1"/>
  <c r="E1149" i="1"/>
  <c r="H1149" i="1"/>
  <c r="I1149" i="1"/>
  <c r="D1032" i="1"/>
  <c r="H1032" i="1"/>
  <c r="D1087" i="1"/>
  <c r="E1087" i="1"/>
  <c r="H1087" i="1"/>
  <c r="D1033" i="1"/>
  <c r="H1033" i="1"/>
  <c r="I1033" i="1"/>
  <c r="D1088" i="1"/>
  <c r="H1088" i="1"/>
  <c r="I1088" i="1"/>
  <c r="D1017" i="1"/>
  <c r="E1017" i="1"/>
  <c r="H1017" i="1"/>
  <c r="I1017" i="1"/>
  <c r="D1089" i="1"/>
  <c r="E1089" i="1"/>
  <c r="H1089" i="1"/>
  <c r="I1089" i="1"/>
  <c r="D1020" i="1"/>
  <c r="E1020" i="1"/>
  <c r="H1020" i="1"/>
  <c r="I1020" i="1"/>
  <c r="D1021" i="1"/>
  <c r="E1021" i="1"/>
  <c r="H1021" i="1"/>
  <c r="I1021" i="1"/>
  <c r="D1022" i="1"/>
  <c r="E1022" i="1"/>
  <c r="H1022" i="1"/>
  <c r="I1022" i="1"/>
  <c r="D1156" i="1"/>
  <c r="H1156" i="1"/>
  <c r="I1156" i="1"/>
  <c r="D1157" i="1"/>
  <c r="E1157" i="1"/>
  <c r="H1157" i="1"/>
  <c r="I1157" i="1"/>
  <c r="D1152" i="1"/>
  <c r="E1152" i="1"/>
  <c r="H1152" i="1"/>
  <c r="I1152" i="1"/>
  <c r="D1043" i="1"/>
  <c r="H1043" i="1"/>
  <c r="I1043" i="1"/>
  <c r="D1035" i="1"/>
  <c r="H1035" i="1"/>
  <c r="I1035" i="1"/>
  <c r="D1086" i="1"/>
  <c r="E1086" i="1"/>
  <c r="H1086" i="1"/>
  <c r="I1086" i="1"/>
  <c r="D1110" i="1"/>
  <c r="E1110" i="1"/>
  <c r="H1110" i="1"/>
  <c r="I1110" i="1"/>
  <c r="D1066" i="1"/>
  <c r="H1066" i="1"/>
  <c r="I1066" i="1"/>
  <c r="D1067" i="1"/>
  <c r="H1067" i="1"/>
  <c r="I1067" i="1"/>
  <c r="D1068" i="1"/>
  <c r="H1068" i="1"/>
  <c r="I1068" i="1"/>
  <c r="D1069" i="1"/>
  <c r="H1069" i="1"/>
  <c r="I1069" i="1"/>
  <c r="D1070" i="1"/>
  <c r="H1070" i="1"/>
  <c r="I1070" i="1"/>
  <c r="D1071" i="1"/>
  <c r="H1071" i="1"/>
  <c r="I1071" i="1"/>
  <c r="D1072" i="1"/>
  <c r="H1072" i="1"/>
  <c r="I1072" i="1"/>
  <c r="D1073" i="1"/>
  <c r="H1073" i="1"/>
  <c r="I1073" i="1"/>
  <c r="D1074" i="1"/>
  <c r="H1074" i="1"/>
  <c r="I1074" i="1"/>
  <c r="D1111" i="1"/>
  <c r="H1111" i="1"/>
  <c r="I1111" i="1"/>
  <c r="D1114" i="1"/>
  <c r="H1114" i="1"/>
  <c r="I1114" i="1"/>
  <c r="D1065" i="1"/>
  <c r="H1065" i="1"/>
  <c r="D1016" i="1"/>
  <c r="E1016" i="1"/>
  <c r="H1016" i="1"/>
  <c r="D1014" i="1"/>
  <c r="E1014" i="1"/>
  <c r="H1014" i="1"/>
  <c r="D1062" i="1"/>
  <c r="H1062" i="1"/>
  <c r="I1062" i="1"/>
  <c r="D1028" i="1"/>
  <c r="H1028" i="1"/>
  <c r="I1028" i="1"/>
  <c r="D1115" i="1"/>
  <c r="H1115" i="1"/>
  <c r="I1115" i="1"/>
  <c r="D1011" i="1"/>
  <c r="H1011" i="1"/>
  <c r="I1011" i="1"/>
  <c r="D1012" i="1"/>
  <c r="H1012" i="1"/>
  <c r="I1012" i="1"/>
  <c r="D1007" i="1"/>
  <c r="E1007" i="1"/>
  <c r="H1007" i="1"/>
  <c r="I1007" i="1"/>
  <c r="D1023" i="1"/>
  <c r="H1023" i="1"/>
  <c r="I1023" i="1"/>
  <c r="D1008" i="1"/>
  <c r="E1008" i="1"/>
  <c r="H1008" i="1"/>
  <c r="D1123" i="1"/>
  <c r="E1123" i="1"/>
  <c r="H1123" i="1"/>
  <c r="I1123" i="1"/>
  <c r="D1124" i="1"/>
  <c r="E1124" i="1"/>
  <c r="H1124" i="1"/>
  <c r="I1124" i="1"/>
  <c r="D1155" i="1"/>
  <c r="E1155" i="1"/>
  <c r="H1155" i="1"/>
  <c r="I1155" i="1"/>
  <c r="D1025" i="1"/>
  <c r="E1025" i="1"/>
  <c r="H1025" i="1"/>
  <c r="I1025" i="1"/>
  <c r="D1026" i="1"/>
  <c r="E1026" i="1"/>
  <c r="H1026" i="1"/>
  <c r="I1026" i="1"/>
  <c r="D1144" i="1"/>
  <c r="E1144" i="1"/>
  <c r="H1144" i="1"/>
  <c r="I1144" i="1"/>
  <c r="D1158" i="1"/>
  <c r="E1158" i="1"/>
  <c r="H1158" i="1"/>
  <c r="I1158" i="1"/>
  <c r="D1018" i="1"/>
  <c r="E1018" i="1"/>
  <c r="H1018" i="1"/>
  <c r="I1018" i="1"/>
  <c r="D1063" i="1"/>
  <c r="E1063" i="1"/>
  <c r="H1063" i="1"/>
  <c r="D1125" i="1"/>
  <c r="E1125" i="1"/>
  <c r="H1125" i="1"/>
  <c r="D1126" i="1"/>
  <c r="E1126" i="1"/>
  <c r="H1126" i="1"/>
  <c r="D1127" i="1"/>
  <c r="E1127" i="1"/>
  <c r="H1127" i="1"/>
  <c r="I1127" i="1"/>
  <c r="D1019" i="1"/>
  <c r="E1019" i="1"/>
  <c r="H1019" i="1"/>
  <c r="D1145" i="1"/>
  <c r="E1145" i="1"/>
  <c r="H1145" i="1"/>
  <c r="D1146" i="1"/>
  <c r="E1146" i="1"/>
  <c r="H1146" i="1"/>
  <c r="I1146" i="1"/>
  <c r="D1147" i="1"/>
  <c r="E1147" i="1"/>
  <c r="H1147" i="1"/>
  <c r="I1147" i="1"/>
  <c r="D1148" i="1"/>
  <c r="E1148" i="1"/>
  <c r="H1148" i="1"/>
  <c r="D1050" i="1"/>
  <c r="H1050" i="1"/>
  <c r="I1050" i="1"/>
  <c r="D1051" i="1"/>
  <c r="E1051" i="1"/>
  <c r="H1051" i="1"/>
  <c r="D1052" i="1"/>
  <c r="H1052" i="1"/>
  <c r="I1052" i="1"/>
  <c r="D1053" i="1"/>
  <c r="E1053" i="1"/>
  <c r="H1053" i="1"/>
  <c r="D1054" i="1"/>
  <c r="H1054" i="1"/>
  <c r="I1054" i="1"/>
  <c r="D1055" i="1"/>
  <c r="H1055" i="1"/>
  <c r="I1055" i="1"/>
  <c r="D1056" i="1"/>
  <c r="H1056" i="1"/>
  <c r="I1056" i="1"/>
  <c r="D1057" i="1"/>
  <c r="H1057" i="1"/>
  <c r="I1057" i="1"/>
  <c r="D1058" i="1"/>
  <c r="H1058" i="1"/>
  <c r="I1058" i="1"/>
  <c r="D1059" i="1"/>
  <c r="E1059" i="1"/>
  <c r="H1059" i="1"/>
  <c r="D1060" i="1"/>
  <c r="H1060" i="1"/>
  <c r="D1178" i="1"/>
  <c r="E1178" i="1"/>
  <c r="H1178" i="1"/>
  <c r="D1175" i="1"/>
  <c r="E1175" i="1"/>
  <c r="H1175" i="1"/>
  <c r="D1176" i="1"/>
  <c r="E1176" i="1"/>
  <c r="H1176" i="1"/>
  <c r="D1165" i="1"/>
  <c r="E1165" i="1"/>
  <c r="H1165" i="1"/>
  <c r="D1207" i="1"/>
  <c r="E1207" i="1"/>
  <c r="H1207" i="1"/>
  <c r="D1177" i="1"/>
  <c r="E1177" i="1"/>
  <c r="H1177" i="1"/>
  <c r="D1194" i="1"/>
  <c r="E1194" i="1"/>
  <c r="H1194" i="1"/>
  <c r="D1206" i="1"/>
  <c r="E1206" i="1"/>
  <c r="H1206" i="1"/>
  <c r="D1159" i="1"/>
  <c r="H1159" i="1"/>
  <c r="I1159" i="1"/>
  <c r="D1193" i="1"/>
  <c r="H1193" i="1"/>
  <c r="D1166" i="1"/>
  <c r="E1166" i="1"/>
  <c r="H1166" i="1"/>
  <c r="D1167" i="1"/>
  <c r="E1167" i="1"/>
  <c r="H1167" i="1"/>
  <c r="D1168" i="1"/>
  <c r="E1168" i="1"/>
  <c r="H1168" i="1"/>
  <c r="D1169" i="1"/>
  <c r="E1169" i="1"/>
  <c r="H1169" i="1"/>
  <c r="D1170" i="1"/>
  <c r="E1170" i="1"/>
  <c r="H1170" i="1"/>
  <c r="D1171" i="1"/>
  <c r="E1171" i="1"/>
  <c r="H1171" i="1"/>
  <c r="D1172" i="1"/>
  <c r="E1172" i="1"/>
  <c r="H1172" i="1"/>
  <c r="D1173" i="1"/>
  <c r="E1173" i="1"/>
  <c r="H1173" i="1"/>
  <c r="D1174" i="1"/>
  <c r="E1174" i="1"/>
  <c r="H1174" i="1"/>
  <c r="D1160" i="1"/>
  <c r="E1160" i="1"/>
  <c r="H1160" i="1"/>
  <c r="D1161" i="1"/>
  <c r="E1161" i="1"/>
  <c r="H1161" i="1"/>
  <c r="D1162" i="1"/>
  <c r="E1162" i="1"/>
  <c r="H1162" i="1"/>
  <c r="D1163" i="1"/>
  <c r="E1163" i="1"/>
  <c r="H1163" i="1"/>
  <c r="D1195" i="1"/>
  <c r="E1195" i="1"/>
  <c r="H1195" i="1"/>
  <c r="D1196" i="1"/>
  <c r="E1196" i="1"/>
  <c r="H1196" i="1"/>
  <c r="D1197" i="1"/>
  <c r="E1197" i="1"/>
  <c r="H1197" i="1"/>
  <c r="D1198" i="1"/>
  <c r="E1198" i="1"/>
  <c r="H1198" i="1"/>
  <c r="D1199" i="1"/>
  <c r="E1199" i="1"/>
  <c r="H1199" i="1"/>
  <c r="D1200" i="1"/>
  <c r="E1200" i="1"/>
  <c r="H1200" i="1"/>
  <c r="D1201" i="1"/>
  <c r="E1201" i="1"/>
  <c r="H1201" i="1"/>
  <c r="D1202" i="1"/>
  <c r="E1202" i="1"/>
  <c r="H1202" i="1"/>
  <c r="D1203" i="1"/>
  <c r="E1203" i="1"/>
  <c r="H1203" i="1"/>
  <c r="D1204" i="1"/>
  <c r="E1204" i="1"/>
  <c r="H1204" i="1"/>
  <c r="D1164" i="1"/>
  <c r="E1164" i="1"/>
  <c r="H1164" i="1"/>
  <c r="D1179" i="1"/>
  <c r="E1179" i="1"/>
  <c r="H1179" i="1"/>
  <c r="D1180" i="1"/>
  <c r="E1180" i="1"/>
  <c r="H1180" i="1"/>
  <c r="D1181" i="1"/>
  <c r="E1181" i="1"/>
  <c r="H1181" i="1"/>
  <c r="I1181" i="1"/>
  <c r="D1182" i="1"/>
  <c r="E1182" i="1"/>
  <c r="H1182" i="1"/>
  <c r="D1183" i="1"/>
  <c r="E1183" i="1"/>
  <c r="H1183" i="1"/>
  <c r="D1184" i="1"/>
  <c r="E1184" i="1"/>
  <c r="H1184" i="1"/>
  <c r="I1184" i="1"/>
  <c r="D1185" i="1"/>
  <c r="E1185" i="1"/>
  <c r="H1185" i="1"/>
  <c r="D1186" i="1"/>
  <c r="E1186" i="1"/>
  <c r="H1186" i="1"/>
  <c r="D1187" i="1"/>
  <c r="E1187" i="1"/>
  <c r="H1187" i="1"/>
  <c r="D1188" i="1"/>
  <c r="E1188" i="1"/>
  <c r="H1188" i="1"/>
  <c r="D1205" i="1"/>
  <c r="E1205" i="1"/>
  <c r="H1205" i="1"/>
  <c r="D1189" i="1"/>
  <c r="E1189" i="1"/>
  <c r="H1189" i="1"/>
  <c r="D1190" i="1"/>
  <c r="E1190" i="1"/>
  <c r="H1190" i="1"/>
  <c r="I1190" i="1"/>
  <c r="D1191" i="1"/>
  <c r="E1191" i="1"/>
  <c r="H1191" i="1"/>
  <c r="D1192" i="1"/>
  <c r="E1192" i="1"/>
  <c r="H1192" i="1"/>
  <c r="D1239" i="1"/>
  <c r="E1239" i="1"/>
  <c r="H1239" i="1"/>
  <c r="I1239" i="1"/>
  <c r="D1240" i="1"/>
  <c r="E1240" i="1"/>
  <c r="H1240" i="1"/>
  <c r="D1209" i="1"/>
  <c r="E1209" i="1"/>
  <c r="H1209" i="1"/>
  <c r="D1208" i="1"/>
  <c r="E1208" i="1"/>
  <c r="H1208" i="1"/>
  <c r="D1219" i="1"/>
  <c r="E1219" i="1"/>
  <c r="H1219" i="1"/>
  <c r="D1220" i="1"/>
  <c r="E1220" i="1"/>
  <c r="H1220" i="1"/>
  <c r="D1221" i="1"/>
  <c r="E1221" i="1"/>
  <c r="H1221" i="1"/>
  <c r="D1222" i="1"/>
  <c r="E1222" i="1"/>
  <c r="H1222" i="1"/>
  <c r="D1210" i="1"/>
  <c r="E1210" i="1"/>
  <c r="H1210" i="1"/>
  <c r="D1223" i="1"/>
  <c r="E1223" i="1"/>
  <c r="H1223" i="1"/>
  <c r="D1211" i="1"/>
  <c r="H1211" i="1"/>
  <c r="I1211" i="1"/>
  <c r="D1224" i="1"/>
  <c r="E1224" i="1"/>
  <c r="H1224" i="1"/>
  <c r="D1225" i="1"/>
  <c r="E1225" i="1"/>
  <c r="H1225" i="1"/>
  <c r="D1212" i="1"/>
  <c r="E1212" i="1"/>
  <c r="H1212" i="1"/>
  <c r="D1213" i="1"/>
  <c r="E1213" i="1"/>
  <c r="H1213" i="1"/>
  <c r="D1214" i="1"/>
  <c r="E1214" i="1"/>
  <c r="H1214" i="1"/>
  <c r="D1241" i="1"/>
  <c r="E1241" i="1"/>
  <c r="H1241" i="1"/>
  <c r="D1226" i="1"/>
  <c r="E1226" i="1"/>
  <c r="H1226" i="1"/>
  <c r="D1227" i="1"/>
  <c r="E1227" i="1"/>
  <c r="H1227" i="1"/>
  <c r="D1215" i="1"/>
  <c r="E1215" i="1"/>
  <c r="H1215" i="1"/>
  <c r="D1228" i="1"/>
  <c r="E1228" i="1"/>
  <c r="H1228" i="1"/>
  <c r="D1229" i="1"/>
  <c r="E1229" i="1"/>
  <c r="H1229" i="1"/>
  <c r="D1230" i="1"/>
  <c r="E1230" i="1"/>
  <c r="H1230" i="1"/>
  <c r="D1231" i="1"/>
  <c r="E1231" i="1"/>
  <c r="H1231" i="1"/>
  <c r="D1232" i="1"/>
  <c r="E1232" i="1"/>
  <c r="H1232" i="1"/>
  <c r="D1233" i="1"/>
  <c r="E1233" i="1"/>
  <c r="H1233" i="1"/>
  <c r="D1234" i="1"/>
  <c r="E1234" i="1"/>
  <c r="H1234" i="1"/>
  <c r="D1235" i="1"/>
  <c r="E1235" i="1"/>
  <c r="H1235" i="1"/>
  <c r="D1236" i="1"/>
  <c r="E1236" i="1"/>
  <c r="H1236" i="1"/>
  <c r="D1237" i="1"/>
  <c r="E1237" i="1"/>
  <c r="H1237" i="1"/>
  <c r="I1237" i="1"/>
  <c r="D1238" i="1"/>
  <c r="E1238" i="1"/>
  <c r="H1238" i="1"/>
  <c r="D1216" i="1"/>
  <c r="E1216" i="1"/>
  <c r="H1216" i="1"/>
  <c r="D1242" i="1"/>
  <c r="E1242" i="1"/>
  <c r="H1242" i="1"/>
  <c r="D1217" i="1"/>
  <c r="E1217" i="1"/>
  <c r="H1217" i="1"/>
  <c r="I1217" i="1"/>
  <c r="D1218" i="1"/>
  <c r="E1218" i="1"/>
  <c r="H1218" i="1"/>
  <c r="I1218" i="1"/>
  <c r="D1259" i="1"/>
  <c r="E1259" i="1"/>
  <c r="H1259" i="1"/>
  <c r="I1259" i="1"/>
  <c r="D1243" i="1"/>
  <c r="H1243" i="1"/>
  <c r="I1243" i="1"/>
  <c r="D1285" i="1"/>
  <c r="E1285" i="1"/>
  <c r="H1285" i="1"/>
  <c r="I1285" i="1"/>
  <c r="D1286" i="1"/>
  <c r="E1286" i="1"/>
  <c r="H1286" i="1"/>
  <c r="I1286" i="1"/>
  <c r="D1291" i="1"/>
  <c r="E1291" i="1"/>
  <c r="H1291" i="1"/>
  <c r="D1287" i="1"/>
  <c r="H1287" i="1"/>
  <c r="D1244" i="1"/>
  <c r="H1244" i="1"/>
  <c r="I1244" i="1"/>
  <c r="D1245" i="1"/>
  <c r="H1245" i="1"/>
  <c r="I1245" i="1"/>
  <c r="D1278" i="1"/>
  <c r="E1278" i="1"/>
  <c r="H1278" i="1"/>
  <c r="I1278" i="1"/>
  <c r="D1279" i="1"/>
  <c r="H1279" i="1"/>
  <c r="I1279" i="1"/>
  <c r="D1280" i="1"/>
  <c r="E1280" i="1"/>
  <c r="H1280" i="1"/>
  <c r="D1300" i="1"/>
  <c r="E1300" i="1"/>
  <c r="H1300" i="1"/>
  <c r="I1300" i="1"/>
  <c r="D1256" i="1"/>
  <c r="H1256" i="1"/>
  <c r="I1256" i="1"/>
  <c r="D1246" i="1"/>
  <c r="E1246" i="1"/>
  <c r="H1246" i="1"/>
  <c r="D1292" i="1"/>
  <c r="H1292" i="1"/>
  <c r="I1292" i="1"/>
  <c r="D1293" i="1"/>
  <c r="H1293" i="1"/>
  <c r="I1293" i="1"/>
  <c r="D1294" i="1"/>
  <c r="H1294" i="1"/>
  <c r="I1294" i="1"/>
  <c r="D1288" i="1"/>
  <c r="H1288" i="1"/>
  <c r="D1299" i="1"/>
  <c r="E1299" i="1"/>
  <c r="H1299" i="1"/>
  <c r="I1299" i="1"/>
  <c r="D1253" i="1"/>
  <c r="E1253" i="1"/>
  <c r="H1253" i="1"/>
  <c r="I1253" i="1"/>
  <c r="D1254" i="1"/>
  <c r="E1254" i="1"/>
  <c r="H1254" i="1"/>
  <c r="I1254" i="1"/>
  <c r="D1289" i="1"/>
  <c r="E1289" i="1"/>
  <c r="H1289" i="1"/>
  <c r="I1289" i="1"/>
  <c r="D1290" i="1"/>
  <c r="H1290" i="1"/>
  <c r="I1290" i="1"/>
  <c r="D1265" i="1"/>
  <c r="H1265" i="1"/>
  <c r="D1266" i="1"/>
  <c r="H1266" i="1"/>
  <c r="D1267" i="1"/>
  <c r="H1267" i="1"/>
  <c r="D1295" i="1"/>
  <c r="E1295" i="1"/>
  <c r="H1295" i="1"/>
  <c r="I1295" i="1"/>
  <c r="D1247" i="1"/>
  <c r="E1247" i="1"/>
  <c r="H1247" i="1"/>
  <c r="D1268" i="1"/>
  <c r="H1268" i="1"/>
  <c r="I1268" i="1"/>
  <c r="D1248" i="1"/>
  <c r="H1248" i="1"/>
  <c r="I1248" i="1"/>
  <c r="D1249" i="1"/>
  <c r="H1249" i="1"/>
  <c r="I1249" i="1"/>
  <c r="D1250" i="1"/>
  <c r="H1250" i="1"/>
  <c r="I1250" i="1"/>
  <c r="D1251" i="1"/>
  <c r="H1251" i="1"/>
  <c r="I1251" i="1"/>
  <c r="D1269" i="1"/>
  <c r="H1269" i="1"/>
  <c r="I1269" i="1"/>
  <c r="D1270" i="1"/>
  <c r="H1270" i="1"/>
  <c r="I1270" i="1"/>
  <c r="D1296" i="1"/>
  <c r="H1296" i="1"/>
  <c r="D1255" i="1"/>
  <c r="E1255" i="1"/>
  <c r="H1255" i="1"/>
  <c r="I1255" i="1"/>
  <c r="D1258" i="1"/>
  <c r="H1258" i="1"/>
  <c r="I1258" i="1"/>
  <c r="D1260" i="1"/>
  <c r="E1260" i="1"/>
  <c r="H1260" i="1"/>
  <c r="I1260" i="1"/>
  <c r="D1264" i="1"/>
  <c r="H1264" i="1"/>
  <c r="I1264" i="1"/>
  <c r="D1261" i="1"/>
  <c r="H1261" i="1"/>
  <c r="I1261" i="1"/>
  <c r="D1271" i="1"/>
  <c r="E1271" i="1"/>
  <c r="H1271" i="1"/>
  <c r="I1271" i="1"/>
  <c r="D1272" i="1"/>
  <c r="E1272" i="1"/>
  <c r="H1272" i="1"/>
  <c r="D1273" i="1"/>
  <c r="E1273" i="1"/>
  <c r="H1273" i="1"/>
  <c r="D1274" i="1"/>
  <c r="E1274" i="1"/>
  <c r="H1274" i="1"/>
  <c r="D1275" i="1"/>
  <c r="E1275" i="1"/>
  <c r="H1275" i="1"/>
  <c r="I1275" i="1"/>
  <c r="D1262" i="1"/>
  <c r="H1262" i="1"/>
  <c r="I1262" i="1"/>
  <c r="D1252" i="1"/>
  <c r="H1252" i="1"/>
  <c r="I1252" i="1"/>
  <c r="D1257" i="1"/>
  <c r="E1257" i="1"/>
  <c r="H1257" i="1"/>
  <c r="I1257" i="1"/>
  <c r="D1283" i="1"/>
  <c r="H1283" i="1"/>
  <c r="I1283" i="1"/>
  <c r="D1281" i="1"/>
  <c r="H1281" i="1"/>
  <c r="I1281" i="1"/>
  <c r="D1284" i="1"/>
  <c r="E1284" i="1"/>
  <c r="H1284" i="1"/>
  <c r="I1284" i="1"/>
  <c r="D1282" i="1"/>
  <c r="H1282" i="1"/>
  <c r="I1282" i="1"/>
  <c r="D1297" i="1"/>
  <c r="E1297" i="1"/>
  <c r="H1297" i="1"/>
  <c r="I1297" i="1"/>
  <c r="D1298" i="1"/>
  <c r="E1298" i="1"/>
  <c r="H1298" i="1"/>
  <c r="I1298" i="1"/>
  <c r="D1263" i="1"/>
  <c r="E1263" i="1"/>
  <c r="H1263" i="1"/>
  <c r="I1263" i="1"/>
  <c r="D1276" i="1"/>
  <c r="H1276" i="1"/>
  <c r="I1276" i="1"/>
  <c r="D1277" i="1"/>
  <c r="H1277" i="1"/>
  <c r="I1277" i="1"/>
  <c r="D1301" i="1"/>
  <c r="E1301" i="1"/>
  <c r="H1301" i="1"/>
  <c r="D1334" i="1"/>
  <c r="E1334" i="1"/>
  <c r="H1334" i="1"/>
  <c r="D1335" i="1"/>
  <c r="H1335" i="1"/>
  <c r="I1335" i="1"/>
  <c r="D1336" i="1"/>
  <c r="E1336" i="1"/>
  <c r="H1336" i="1"/>
  <c r="I1336" i="1"/>
  <c r="D1337" i="1"/>
  <c r="E1337" i="1"/>
  <c r="H1337" i="1"/>
  <c r="D1338" i="1"/>
  <c r="E1338" i="1"/>
  <c r="H1338" i="1"/>
  <c r="D1339" i="1"/>
  <c r="E1339" i="1"/>
  <c r="H1339" i="1"/>
  <c r="D1340" i="1"/>
  <c r="E1340" i="1"/>
  <c r="H1340" i="1"/>
  <c r="D1341" i="1"/>
  <c r="E1341" i="1"/>
  <c r="H1341" i="1"/>
  <c r="D1342" i="1"/>
  <c r="E1342" i="1"/>
  <c r="H1342" i="1"/>
  <c r="D1308" i="1"/>
  <c r="H1308" i="1"/>
  <c r="I1308" i="1"/>
  <c r="D1356" i="1"/>
  <c r="E1356" i="1"/>
  <c r="H1356" i="1"/>
  <c r="I1356" i="1"/>
  <c r="D1355" i="1"/>
  <c r="H1355" i="1"/>
  <c r="I1355" i="1"/>
  <c r="D1343" i="1"/>
  <c r="H1343" i="1"/>
  <c r="I1343" i="1"/>
  <c r="D1344" i="1"/>
  <c r="H1344" i="1"/>
  <c r="I1344" i="1"/>
  <c r="D1345" i="1"/>
  <c r="H1345" i="1"/>
  <c r="I1345" i="1"/>
  <c r="D1346" i="1"/>
  <c r="H1346" i="1"/>
  <c r="I1346" i="1"/>
  <c r="D1311" i="1"/>
  <c r="H1311" i="1"/>
  <c r="I1311" i="1"/>
  <c r="D1327" i="1"/>
  <c r="H1327" i="1"/>
  <c r="I1327" i="1"/>
  <c r="D1312" i="1"/>
  <c r="H1312" i="1"/>
  <c r="I1312" i="1"/>
  <c r="D1315" i="1"/>
  <c r="H1315" i="1"/>
  <c r="I1315" i="1"/>
  <c r="D1302" i="1"/>
  <c r="E1302" i="1"/>
  <c r="H1302" i="1"/>
  <c r="D1347" i="1"/>
  <c r="H1347" i="1"/>
  <c r="I1347" i="1"/>
  <c r="D1333" i="1"/>
  <c r="E1333" i="1"/>
  <c r="H1333" i="1"/>
  <c r="D1303" i="1"/>
  <c r="E1303" i="1"/>
  <c r="H1303" i="1"/>
  <c r="D1328" i="1"/>
  <c r="H1328" i="1"/>
  <c r="I1328" i="1"/>
  <c r="D1329" i="1"/>
  <c r="H1329" i="1"/>
  <c r="I1329" i="1"/>
  <c r="D1330" i="1"/>
  <c r="H1330" i="1"/>
  <c r="I1330" i="1"/>
  <c r="D1331" i="1"/>
  <c r="H1331" i="1"/>
  <c r="I1331" i="1"/>
  <c r="D1313" i="1"/>
  <c r="H1313" i="1"/>
  <c r="I1313" i="1"/>
  <c r="D1314" i="1"/>
  <c r="H1314" i="1"/>
  <c r="I1314" i="1"/>
  <c r="D1309" i="1"/>
  <c r="E1309" i="1"/>
  <c r="H1309" i="1"/>
  <c r="D1348" i="1"/>
  <c r="E1348" i="1"/>
  <c r="H1348" i="1"/>
  <c r="D1349" i="1"/>
  <c r="E1349" i="1"/>
  <c r="H1349" i="1"/>
  <c r="I1349" i="1"/>
  <c r="D1310" i="1"/>
  <c r="H1310" i="1"/>
  <c r="I1310" i="1"/>
  <c r="D1304" i="1"/>
  <c r="E1304" i="1"/>
  <c r="H1304" i="1"/>
  <c r="I1304" i="1"/>
  <c r="D1350" i="1"/>
  <c r="H1350" i="1"/>
  <c r="D1351" i="1"/>
  <c r="E1351" i="1"/>
  <c r="H1351" i="1"/>
  <c r="D1352" i="1"/>
  <c r="H1352" i="1"/>
  <c r="I1352" i="1"/>
  <c r="D1316" i="1"/>
  <c r="E1316" i="1"/>
  <c r="H1316" i="1"/>
  <c r="D1317" i="1"/>
  <c r="E1317" i="1"/>
  <c r="H1317" i="1"/>
  <c r="D1318" i="1"/>
  <c r="E1318" i="1"/>
  <c r="H1318" i="1"/>
  <c r="D1332" i="1"/>
  <c r="E1332" i="1"/>
  <c r="H1332" i="1"/>
  <c r="D1319" i="1"/>
  <c r="E1319" i="1"/>
  <c r="H1319" i="1"/>
  <c r="D1320" i="1"/>
  <c r="E1320" i="1"/>
  <c r="H1320" i="1"/>
  <c r="D1321" i="1"/>
  <c r="E1321" i="1"/>
  <c r="H1321" i="1"/>
  <c r="D1322" i="1"/>
  <c r="E1322" i="1"/>
  <c r="H1322" i="1"/>
  <c r="D1323" i="1"/>
  <c r="E1323" i="1"/>
  <c r="H1323" i="1"/>
  <c r="D1324" i="1"/>
  <c r="E1324" i="1"/>
  <c r="H1324" i="1"/>
  <c r="D1325" i="1"/>
  <c r="E1325" i="1"/>
  <c r="H1325" i="1"/>
  <c r="D1326" i="1"/>
  <c r="E1326" i="1"/>
  <c r="H1326" i="1"/>
  <c r="D1353" i="1"/>
  <c r="E1353" i="1"/>
  <c r="H1353" i="1"/>
  <c r="D1305" i="1"/>
  <c r="E1305" i="1"/>
  <c r="H1305" i="1"/>
  <c r="D1306" i="1"/>
  <c r="E1306" i="1"/>
  <c r="H1306" i="1"/>
  <c r="D1354" i="1"/>
  <c r="E1354" i="1"/>
  <c r="H1354" i="1"/>
  <c r="D1307" i="1"/>
  <c r="E1307" i="1"/>
  <c r="H1307" i="1"/>
  <c r="D1386" i="1"/>
  <c r="E1386" i="1"/>
  <c r="H1386" i="1"/>
  <c r="D1385" i="1"/>
  <c r="E1385" i="1"/>
  <c r="H1385" i="1"/>
  <c r="I1385" i="1"/>
  <c r="D1502" i="1"/>
  <c r="E1502" i="1"/>
  <c r="H1502" i="1"/>
  <c r="D1414" i="1"/>
  <c r="E1414" i="1"/>
  <c r="H1414" i="1"/>
  <c r="D1389" i="1"/>
  <c r="H1389" i="1"/>
  <c r="I1389" i="1"/>
  <c r="D1493" i="1"/>
  <c r="E1493" i="1"/>
  <c r="H1493" i="1"/>
  <c r="D1494" i="1"/>
  <c r="E1494" i="1"/>
  <c r="H1494" i="1"/>
  <c r="D1423" i="1"/>
  <c r="H1423" i="1"/>
  <c r="I1423" i="1"/>
  <c r="D1365" i="1"/>
  <c r="H1365" i="1"/>
  <c r="I1365" i="1"/>
  <c r="D1424" i="1"/>
  <c r="E1424" i="1"/>
  <c r="H1424" i="1"/>
  <c r="I1424" i="1"/>
  <c r="D1488" i="1"/>
  <c r="E1488" i="1"/>
  <c r="H1488" i="1"/>
  <c r="D1357" i="1"/>
  <c r="E1357" i="1"/>
  <c r="H1357" i="1"/>
  <c r="I1357" i="1"/>
  <c r="D1489" i="1"/>
  <c r="H1489" i="1"/>
  <c r="I1489" i="1"/>
  <c r="D1490" i="1"/>
  <c r="H1490" i="1"/>
  <c r="I1490" i="1"/>
  <c r="D1491" i="1"/>
  <c r="H1491" i="1"/>
  <c r="I1491" i="1"/>
  <c r="D1358" i="1"/>
  <c r="E1358" i="1"/>
  <c r="H1358" i="1"/>
  <c r="D1425" i="1"/>
  <c r="H1425" i="1"/>
  <c r="I1425" i="1"/>
  <c r="D1374" i="1"/>
  <c r="H1374" i="1"/>
  <c r="D1495" i="1"/>
  <c r="E1495" i="1"/>
  <c r="H1495" i="1"/>
  <c r="I1495" i="1"/>
  <c r="D1426" i="1"/>
  <c r="E1426" i="1"/>
  <c r="H1426" i="1"/>
  <c r="D1427" i="1"/>
  <c r="H1427" i="1"/>
  <c r="D1428" i="1"/>
  <c r="H1428" i="1"/>
  <c r="I1428" i="1"/>
  <c r="D1429" i="1"/>
  <c r="E1429" i="1"/>
  <c r="H1429" i="1"/>
  <c r="D1430" i="1"/>
  <c r="E1430" i="1"/>
  <c r="H1430" i="1"/>
  <c r="I1430" i="1"/>
  <c r="D1431" i="1"/>
  <c r="E1431" i="1"/>
  <c r="H1431" i="1"/>
  <c r="D1432" i="1"/>
  <c r="H1432" i="1"/>
  <c r="I1432" i="1"/>
  <c r="D1492" i="1"/>
  <c r="H1492" i="1"/>
  <c r="I1492" i="1"/>
  <c r="D1433" i="1"/>
  <c r="E1433" i="1"/>
  <c r="H1433" i="1"/>
  <c r="D1434" i="1"/>
  <c r="E1434" i="1"/>
  <c r="H1434" i="1"/>
  <c r="D1366" i="1"/>
  <c r="E1366" i="1"/>
  <c r="H1366" i="1"/>
  <c r="I1366" i="1"/>
  <c r="D1367" i="1"/>
  <c r="E1367" i="1"/>
  <c r="H1367" i="1"/>
  <c r="I1367" i="1"/>
  <c r="D1359" i="1"/>
  <c r="E1359" i="1"/>
  <c r="H1359" i="1"/>
  <c r="D1375" i="1"/>
  <c r="E1375" i="1"/>
  <c r="H1375" i="1"/>
  <c r="I1375" i="1"/>
  <c r="D1435" i="1"/>
  <c r="E1435" i="1"/>
  <c r="H1435" i="1"/>
  <c r="I1435" i="1"/>
  <c r="D1436" i="1"/>
  <c r="H1436" i="1"/>
  <c r="I1436" i="1"/>
  <c r="D1437" i="1"/>
  <c r="H1437" i="1"/>
  <c r="I1437" i="1"/>
  <c r="D1376" i="1"/>
  <c r="E1376" i="1"/>
  <c r="H1376" i="1"/>
  <c r="I1376" i="1"/>
  <c r="D1360" i="1"/>
  <c r="H1360" i="1"/>
  <c r="I1360" i="1"/>
  <c r="D1496" i="1"/>
  <c r="H1496" i="1"/>
  <c r="I1496" i="1"/>
  <c r="D1364" i="1"/>
  <c r="H1364" i="1"/>
  <c r="I1364" i="1"/>
  <c r="D1438" i="1"/>
  <c r="H1438" i="1"/>
  <c r="I1438" i="1"/>
  <c r="D1441" i="1"/>
  <c r="H1441" i="1"/>
  <c r="I1441" i="1"/>
  <c r="D1442" i="1"/>
  <c r="E1442" i="1"/>
  <c r="H1442" i="1"/>
  <c r="I1442" i="1"/>
  <c r="D1405" i="1"/>
  <c r="E1405" i="1"/>
  <c r="H1405" i="1"/>
  <c r="I1405" i="1"/>
  <c r="D1388" i="1"/>
  <c r="E1388" i="1"/>
  <c r="H1388" i="1"/>
  <c r="I1388" i="1"/>
  <c r="D1377" i="1"/>
  <c r="E1377" i="1"/>
  <c r="H1377" i="1"/>
  <c r="D1406" i="1"/>
  <c r="E1406" i="1"/>
  <c r="H1406" i="1"/>
  <c r="I1406" i="1"/>
  <c r="D1378" i="1"/>
  <c r="E1378" i="1"/>
  <c r="H1378" i="1"/>
  <c r="D1407" i="1"/>
  <c r="E1407" i="1"/>
  <c r="H1407" i="1"/>
  <c r="D1369" i="1"/>
  <c r="E1369" i="1"/>
  <c r="H1369" i="1"/>
  <c r="D1409" i="1"/>
  <c r="H1409" i="1"/>
  <c r="I1409" i="1"/>
  <c r="D1387" i="1"/>
  <c r="E1387" i="1"/>
  <c r="H1387" i="1"/>
  <c r="I1387" i="1"/>
  <c r="D1373" i="1"/>
  <c r="H1373" i="1"/>
  <c r="I1373" i="1"/>
  <c r="D1497" i="1"/>
  <c r="H1497" i="1"/>
  <c r="I1497" i="1"/>
  <c r="D1410" i="1"/>
  <c r="H1410" i="1"/>
  <c r="D1411" i="1"/>
  <c r="H1411" i="1"/>
  <c r="I1411" i="1"/>
  <c r="D1412" i="1"/>
  <c r="E1412" i="1"/>
  <c r="H1412" i="1"/>
  <c r="D1361" i="1"/>
  <c r="E1361" i="1"/>
  <c r="H1361" i="1"/>
  <c r="D1498" i="1"/>
  <c r="E1498" i="1"/>
  <c r="H1498" i="1"/>
  <c r="I1498" i="1"/>
  <c r="D1370" i="1"/>
  <c r="E1370" i="1"/>
  <c r="H1370" i="1"/>
  <c r="I1370" i="1"/>
  <c r="D1371" i="1"/>
  <c r="E1371" i="1"/>
  <c r="H1371" i="1"/>
  <c r="D1499" i="1"/>
  <c r="H1499" i="1"/>
  <c r="D1372" i="1"/>
  <c r="H1372" i="1"/>
  <c r="I1372" i="1"/>
  <c r="D1362" i="1"/>
  <c r="H1362" i="1"/>
  <c r="I1362" i="1"/>
  <c r="D1363" i="1"/>
  <c r="H1363" i="1"/>
  <c r="I1363" i="1"/>
  <c r="D1500" i="1"/>
  <c r="E1500" i="1"/>
  <c r="H1500" i="1"/>
  <c r="I1500" i="1"/>
  <c r="D1501" i="1"/>
  <c r="H1501" i="1"/>
  <c r="I1501" i="1"/>
  <c r="D1444" i="1"/>
  <c r="E1444" i="1"/>
  <c r="H1444" i="1"/>
  <c r="D1445" i="1"/>
  <c r="E1445" i="1"/>
  <c r="H1445" i="1"/>
  <c r="D1379" i="1"/>
  <c r="H1379" i="1"/>
  <c r="D1380" i="1"/>
  <c r="H1380" i="1"/>
  <c r="D1415" i="1"/>
  <c r="H1415" i="1"/>
  <c r="I1415" i="1"/>
  <c r="D1416" i="1"/>
  <c r="H1416" i="1"/>
  <c r="D1381" i="1"/>
  <c r="H1381" i="1"/>
  <c r="D1417" i="1"/>
  <c r="E1417" i="1"/>
  <c r="H1417" i="1"/>
  <c r="D1418" i="1"/>
  <c r="H1418" i="1"/>
  <c r="D1419" i="1"/>
  <c r="H1419" i="1"/>
  <c r="I1419" i="1"/>
  <c r="D1420" i="1"/>
  <c r="E1420" i="1"/>
  <c r="H1420" i="1"/>
  <c r="D1382" i="1"/>
  <c r="E1382" i="1"/>
  <c r="H1382" i="1"/>
  <c r="D1383" i="1"/>
  <c r="E1383" i="1"/>
  <c r="H1383" i="1"/>
  <c r="D1384" i="1"/>
  <c r="E1384" i="1"/>
  <c r="H1384" i="1"/>
  <c r="D1408" i="1"/>
  <c r="H1408" i="1"/>
  <c r="I1408" i="1"/>
  <c r="D1421" i="1"/>
  <c r="H1421" i="1"/>
  <c r="I1421" i="1"/>
  <c r="D1503" i="1"/>
  <c r="H1503" i="1"/>
  <c r="I1503" i="1"/>
  <c r="D1443" i="1"/>
  <c r="H1443" i="1"/>
  <c r="I1443" i="1"/>
  <c r="D1368" i="1"/>
  <c r="H1368" i="1"/>
  <c r="I1368" i="1"/>
  <c r="D1422" i="1"/>
  <c r="E1422" i="1"/>
  <c r="H1422" i="1"/>
  <c r="I1422" i="1"/>
  <c r="D1504" i="1"/>
  <c r="E1504" i="1"/>
  <c r="H1504" i="1"/>
  <c r="I1504" i="1"/>
  <c r="D1413" i="1"/>
  <c r="H1413" i="1"/>
  <c r="D1505" i="1"/>
  <c r="H1505" i="1"/>
  <c r="I1505" i="1"/>
  <c r="D1439" i="1"/>
  <c r="H1439" i="1"/>
  <c r="I1439" i="1"/>
  <c r="D1506" i="1"/>
  <c r="H1506" i="1"/>
  <c r="I1506" i="1"/>
  <c r="D1507" i="1"/>
  <c r="H1507" i="1"/>
  <c r="I1507" i="1"/>
  <c r="D1440" i="1"/>
  <c r="H1440" i="1"/>
  <c r="I1440" i="1"/>
  <c r="D1508" i="1"/>
  <c r="H1508" i="1"/>
  <c r="I1508" i="1"/>
  <c r="D1509" i="1"/>
  <c r="H1509" i="1"/>
  <c r="I1509" i="1"/>
  <c r="D1510" i="1"/>
  <c r="H1510" i="1"/>
  <c r="D1511" i="1"/>
  <c r="E1511" i="1"/>
  <c r="H1511" i="1"/>
  <c r="I1511" i="1"/>
  <c r="D1446" i="1"/>
  <c r="E1446" i="1"/>
  <c r="H1446" i="1"/>
  <c r="D1447" i="1"/>
  <c r="E1447" i="1"/>
  <c r="H1447" i="1"/>
  <c r="D1448" i="1"/>
  <c r="E1448" i="1"/>
  <c r="H1448" i="1"/>
  <c r="I1448" i="1"/>
  <c r="D1390" i="1"/>
  <c r="H1390" i="1"/>
  <c r="D1449" i="1"/>
  <c r="E1449" i="1"/>
  <c r="H1449" i="1"/>
  <c r="I1449" i="1"/>
  <c r="D1391" i="1"/>
  <c r="H1391" i="1"/>
  <c r="I1391" i="1"/>
  <c r="D1392" i="1"/>
  <c r="H1392" i="1"/>
  <c r="D1450" i="1"/>
  <c r="E1450" i="1"/>
  <c r="H1450" i="1"/>
  <c r="D1451" i="1"/>
  <c r="E1451" i="1"/>
  <c r="H1451" i="1"/>
  <c r="D1452" i="1"/>
  <c r="E1452" i="1"/>
  <c r="H1452" i="1"/>
  <c r="D1453" i="1"/>
  <c r="E1453" i="1"/>
  <c r="H1453" i="1"/>
  <c r="D1454" i="1"/>
  <c r="E1454" i="1"/>
  <c r="H1454" i="1"/>
  <c r="D1455" i="1"/>
  <c r="E1455" i="1"/>
  <c r="H1455" i="1"/>
  <c r="D1456" i="1"/>
  <c r="E1456" i="1"/>
  <c r="H1456" i="1"/>
  <c r="D1457" i="1"/>
  <c r="E1457" i="1"/>
  <c r="H1457" i="1"/>
  <c r="D1458" i="1"/>
  <c r="E1458" i="1"/>
  <c r="H1458" i="1"/>
  <c r="D1459" i="1"/>
  <c r="E1459" i="1"/>
  <c r="H1459" i="1"/>
  <c r="D1393" i="1"/>
  <c r="E1393" i="1"/>
  <c r="H1393" i="1"/>
  <c r="D1394" i="1"/>
  <c r="E1394" i="1"/>
  <c r="H1394" i="1"/>
  <c r="D1395" i="1"/>
  <c r="E1395" i="1"/>
  <c r="H1395" i="1"/>
  <c r="D1460" i="1"/>
  <c r="E1460" i="1"/>
  <c r="H1460" i="1"/>
  <c r="D1461" i="1"/>
  <c r="E1461" i="1"/>
  <c r="H1461" i="1"/>
  <c r="D1462" i="1"/>
  <c r="E1462" i="1"/>
  <c r="H1462" i="1"/>
  <c r="D1463" i="1"/>
  <c r="E1463" i="1"/>
  <c r="H1463" i="1"/>
  <c r="D1464" i="1"/>
  <c r="E1464" i="1"/>
  <c r="H1464" i="1"/>
  <c r="D1465" i="1"/>
  <c r="E1465" i="1"/>
  <c r="H1465" i="1"/>
  <c r="D1466" i="1"/>
  <c r="E1466" i="1"/>
  <c r="H1466" i="1"/>
  <c r="D1467" i="1"/>
  <c r="E1467" i="1"/>
  <c r="H1467" i="1"/>
  <c r="D1468" i="1"/>
  <c r="E1468" i="1"/>
  <c r="H1468" i="1"/>
  <c r="D1469" i="1"/>
  <c r="E1469" i="1"/>
  <c r="H1469" i="1"/>
  <c r="D1470" i="1"/>
  <c r="E1470" i="1"/>
  <c r="H1470" i="1"/>
  <c r="D1471" i="1"/>
  <c r="E1471" i="1"/>
  <c r="H1471" i="1"/>
  <c r="D1472" i="1"/>
  <c r="E1472" i="1"/>
  <c r="H1472" i="1"/>
  <c r="D1473" i="1"/>
  <c r="E1473" i="1"/>
  <c r="H1473" i="1"/>
  <c r="D1474" i="1"/>
  <c r="E1474" i="1"/>
  <c r="H1474" i="1"/>
  <c r="D1475" i="1"/>
  <c r="E1475" i="1"/>
  <c r="H1475" i="1"/>
  <c r="D1396" i="1"/>
  <c r="E1396" i="1"/>
  <c r="H1396" i="1"/>
  <c r="D1397" i="1"/>
  <c r="E1397" i="1"/>
  <c r="H1397" i="1"/>
  <c r="D1398" i="1"/>
  <c r="E1398" i="1"/>
  <c r="H1398" i="1"/>
  <c r="D1399" i="1"/>
  <c r="E1399" i="1"/>
  <c r="H1399" i="1"/>
  <c r="D1400" i="1"/>
  <c r="E1400" i="1"/>
  <c r="H1400" i="1"/>
  <c r="D1401" i="1"/>
  <c r="E1401" i="1"/>
  <c r="H1401" i="1"/>
  <c r="D1402" i="1"/>
  <c r="E1402" i="1"/>
  <c r="H1402" i="1"/>
  <c r="D1403" i="1"/>
  <c r="E1403" i="1"/>
  <c r="H1403" i="1"/>
  <c r="D1476" i="1"/>
  <c r="E1476" i="1"/>
  <c r="H1476" i="1"/>
  <c r="D1477" i="1"/>
  <c r="E1477" i="1"/>
  <c r="H1477" i="1"/>
  <c r="D1478" i="1"/>
  <c r="E1478" i="1"/>
  <c r="H1478" i="1"/>
  <c r="D1479" i="1"/>
  <c r="E1479" i="1"/>
  <c r="H1479" i="1"/>
  <c r="D1480" i="1"/>
  <c r="E1480" i="1"/>
  <c r="H1480" i="1"/>
  <c r="D1481" i="1"/>
  <c r="E1481" i="1"/>
  <c r="H1481" i="1"/>
  <c r="D1482" i="1"/>
  <c r="E1482" i="1"/>
  <c r="H1482" i="1"/>
  <c r="D1483" i="1"/>
  <c r="E1483" i="1"/>
  <c r="H1483" i="1"/>
  <c r="D1484" i="1"/>
  <c r="E1484" i="1"/>
  <c r="H1484" i="1"/>
  <c r="D1485" i="1"/>
  <c r="E1485" i="1"/>
  <c r="H1485" i="1"/>
  <c r="D1486" i="1"/>
  <c r="E1486" i="1"/>
  <c r="H1486" i="1"/>
  <c r="D1404" i="1"/>
  <c r="E1404" i="1"/>
  <c r="H1404" i="1"/>
  <c r="D1487" i="1"/>
  <c r="E1487" i="1"/>
  <c r="H1487" i="1"/>
  <c r="D1530" i="1"/>
  <c r="E1530" i="1"/>
  <c r="H1530" i="1"/>
  <c r="D1540" i="1"/>
  <c r="E1540" i="1"/>
  <c r="H1540" i="1"/>
  <c r="I1540" i="1"/>
  <c r="D1541" i="1"/>
  <c r="E1541" i="1"/>
  <c r="H1541" i="1"/>
  <c r="I1541" i="1"/>
  <c r="D1531" i="1"/>
  <c r="E1531" i="1"/>
  <c r="H1531" i="1"/>
  <c r="D1542" i="1"/>
  <c r="E1542" i="1"/>
  <c r="H1542" i="1"/>
  <c r="I1542" i="1"/>
  <c r="D1568" i="1"/>
  <c r="E1568" i="1"/>
  <c r="H1568" i="1"/>
  <c r="I1568" i="1"/>
  <c r="D1514" i="1"/>
  <c r="E1514" i="1"/>
  <c r="H1514" i="1"/>
  <c r="I1514" i="1"/>
  <c r="D1543" i="1"/>
  <c r="H1543" i="1"/>
  <c r="I1543" i="1"/>
  <c r="D1544" i="1"/>
  <c r="E1544" i="1"/>
  <c r="H1544" i="1"/>
  <c r="D1515" i="1"/>
  <c r="H1515" i="1"/>
  <c r="I1515" i="1"/>
  <c r="D1564" i="1"/>
  <c r="E1564" i="1"/>
  <c r="H1564" i="1"/>
  <c r="I1564" i="1"/>
  <c r="D1545" i="1"/>
  <c r="H1545" i="1"/>
  <c r="D1565" i="1"/>
  <c r="E1565" i="1"/>
  <c r="H1565" i="1"/>
  <c r="D1566" i="1"/>
  <c r="E1566" i="1"/>
  <c r="H1566" i="1"/>
  <c r="D1546" i="1"/>
  <c r="E1546" i="1"/>
  <c r="H1546" i="1"/>
  <c r="D1532" i="1"/>
  <c r="E1532" i="1"/>
  <c r="H1532" i="1"/>
  <c r="D1547" i="1"/>
  <c r="H1547" i="1"/>
  <c r="D1548" i="1"/>
  <c r="H1548" i="1"/>
  <c r="I1548" i="1"/>
  <c r="D1549" i="1"/>
  <c r="E1549" i="1"/>
  <c r="H1549" i="1"/>
  <c r="D1538" i="1"/>
  <c r="E1538" i="1"/>
  <c r="H1538" i="1"/>
  <c r="D1550" i="1"/>
  <c r="E1550" i="1"/>
  <c r="H1550" i="1"/>
  <c r="I1550" i="1"/>
  <c r="D1551" i="1"/>
  <c r="E1551" i="1"/>
  <c r="H1551" i="1"/>
  <c r="I1551" i="1"/>
  <c r="D1552" i="1"/>
  <c r="E1552" i="1"/>
  <c r="H1552" i="1"/>
  <c r="D1567" i="1"/>
  <c r="E1567" i="1"/>
  <c r="H1567" i="1"/>
  <c r="D1533" i="1"/>
  <c r="H1533" i="1"/>
  <c r="I1533" i="1"/>
  <c r="D1516" i="1"/>
  <c r="E1516" i="1"/>
  <c r="H1516" i="1"/>
  <c r="I1516" i="1"/>
  <c r="D1539" i="1"/>
  <c r="E1539" i="1"/>
  <c r="H1539" i="1"/>
  <c r="I1539" i="1"/>
  <c r="D1553" i="1"/>
  <c r="H1553" i="1"/>
  <c r="I1553" i="1"/>
  <c r="D1534" i="1"/>
  <c r="H1534" i="1"/>
  <c r="D1554" i="1"/>
  <c r="H1554" i="1"/>
  <c r="D1535" i="1"/>
  <c r="H1535" i="1"/>
  <c r="I1535" i="1"/>
  <c r="D1536" i="1"/>
  <c r="H1536" i="1"/>
  <c r="I1536" i="1"/>
  <c r="D1537" i="1"/>
  <c r="H1537" i="1"/>
  <c r="I1537" i="1"/>
  <c r="D1555" i="1"/>
  <c r="E1555" i="1"/>
  <c r="H1555" i="1"/>
  <c r="I1555" i="1"/>
  <c r="D1556" i="1"/>
  <c r="H1556" i="1"/>
  <c r="I1556" i="1"/>
  <c r="D1557" i="1"/>
  <c r="E1557" i="1"/>
  <c r="H1557" i="1"/>
  <c r="D1558" i="1"/>
  <c r="E1558" i="1"/>
  <c r="H1558" i="1"/>
  <c r="D1559" i="1"/>
  <c r="E1559" i="1"/>
  <c r="H1559" i="1"/>
  <c r="D1569" i="1"/>
  <c r="E1569" i="1"/>
  <c r="H1569" i="1"/>
  <c r="D1560" i="1"/>
  <c r="H1560" i="1"/>
  <c r="D1561" i="1"/>
  <c r="E1561" i="1"/>
  <c r="H1561" i="1"/>
  <c r="D1562" i="1"/>
  <c r="E1562" i="1"/>
  <c r="H1562" i="1"/>
  <c r="D1517" i="1"/>
  <c r="E1517" i="1"/>
  <c r="H1517" i="1"/>
  <c r="D1518" i="1"/>
  <c r="E1518" i="1"/>
  <c r="H1518" i="1"/>
  <c r="D1519" i="1"/>
  <c r="E1519" i="1"/>
  <c r="H1519" i="1"/>
  <c r="D1520" i="1"/>
  <c r="E1520" i="1"/>
  <c r="H1520" i="1"/>
  <c r="I1520" i="1"/>
  <c r="D1521" i="1"/>
  <c r="E1521" i="1"/>
  <c r="H1521" i="1"/>
  <c r="D1522" i="1"/>
  <c r="E1522" i="1"/>
  <c r="H1522" i="1"/>
  <c r="D1523" i="1"/>
  <c r="E1523" i="1"/>
  <c r="H1523" i="1"/>
  <c r="D1524" i="1"/>
  <c r="E1524" i="1"/>
  <c r="H1524" i="1"/>
  <c r="D1525" i="1"/>
  <c r="E1525" i="1"/>
  <c r="H1525" i="1"/>
  <c r="D1526" i="1"/>
  <c r="E1526" i="1"/>
  <c r="H1526" i="1"/>
  <c r="D1527" i="1"/>
  <c r="E1527" i="1"/>
  <c r="H1527" i="1"/>
  <c r="D1528" i="1"/>
  <c r="E1528" i="1"/>
  <c r="H1528" i="1"/>
  <c r="D1563" i="1"/>
  <c r="E1563" i="1"/>
  <c r="H1563" i="1"/>
  <c r="D1529" i="1"/>
  <c r="E1529" i="1"/>
  <c r="H1529" i="1"/>
  <c r="D1513" i="1"/>
  <c r="E1513" i="1"/>
  <c r="H1513" i="1"/>
  <c r="D1512" i="1"/>
  <c r="H1512" i="1"/>
  <c r="I1512" i="1"/>
  <c r="D1624" i="1"/>
  <c r="E1624" i="1"/>
  <c r="H1624" i="1"/>
  <c r="D1625" i="1"/>
  <c r="E1625" i="1"/>
  <c r="H1625" i="1"/>
  <c r="D1651" i="1"/>
  <c r="E1651" i="1"/>
  <c r="H1651" i="1"/>
  <c r="D1652" i="1"/>
  <c r="E1652" i="1"/>
  <c r="H1652" i="1"/>
  <c r="D1653" i="1"/>
  <c r="E1653" i="1"/>
  <c r="H1653" i="1"/>
  <c r="D1650" i="1"/>
  <c r="H1650" i="1"/>
  <c r="I1650" i="1"/>
  <c r="D1664" i="1"/>
  <c r="E1664" i="1"/>
  <c r="H1664" i="1"/>
  <c r="D1654" i="1"/>
  <c r="E1654" i="1"/>
  <c r="H1654" i="1"/>
  <c r="D1626" i="1"/>
  <c r="E1626" i="1"/>
  <c r="H1626" i="1"/>
  <c r="I1626" i="1"/>
  <c r="D1627" i="1"/>
  <c r="E1627" i="1"/>
  <c r="H1627" i="1"/>
  <c r="I1627" i="1"/>
  <c r="D1617" i="1"/>
  <c r="E1617" i="1"/>
  <c r="H1617" i="1"/>
  <c r="D1618" i="1"/>
  <c r="E1618" i="1"/>
  <c r="H1618" i="1"/>
  <c r="D1619" i="1"/>
  <c r="E1619" i="1"/>
  <c r="H1619" i="1"/>
  <c r="D1655" i="1"/>
  <c r="E1655" i="1"/>
  <c r="H1655" i="1"/>
  <c r="D1656" i="1"/>
  <c r="E1656" i="1"/>
  <c r="H1656" i="1"/>
  <c r="D1668" i="1"/>
  <c r="E1668" i="1"/>
  <c r="H1668" i="1"/>
  <c r="D1665" i="1"/>
  <c r="E1665" i="1"/>
  <c r="H1665" i="1"/>
  <c r="D1666" i="1"/>
  <c r="E1666" i="1"/>
  <c r="H1666" i="1"/>
  <c r="D1628" i="1"/>
  <c r="H1628" i="1"/>
  <c r="D1657" i="1"/>
  <c r="E1657" i="1"/>
  <c r="H1657" i="1"/>
  <c r="I1657" i="1"/>
  <c r="D1629" i="1"/>
  <c r="H1629" i="1"/>
  <c r="I1629" i="1"/>
  <c r="D1580" i="1"/>
  <c r="H1580" i="1"/>
  <c r="I1580" i="1"/>
  <c r="D1630" i="1"/>
  <c r="H1630" i="1"/>
  <c r="D1631" i="1"/>
  <c r="E1631" i="1"/>
  <c r="H1631" i="1"/>
  <c r="D1632" i="1"/>
  <c r="H1632" i="1"/>
  <c r="I1632" i="1"/>
  <c r="D1633" i="1"/>
  <c r="H1633" i="1"/>
  <c r="I1633" i="1"/>
  <c r="D1658" i="1"/>
  <c r="E1658" i="1"/>
  <c r="H1658" i="1"/>
  <c r="I1658" i="1"/>
  <c r="D1581" i="1"/>
  <c r="E1581" i="1"/>
  <c r="H1581" i="1"/>
  <c r="D1659" i="1"/>
  <c r="H1659" i="1"/>
  <c r="I1659" i="1"/>
  <c r="D1582" i="1"/>
  <c r="H1582" i="1"/>
  <c r="I1582" i="1"/>
  <c r="D1620" i="1"/>
  <c r="E1620" i="1"/>
  <c r="H1620" i="1"/>
  <c r="D1583" i="1"/>
  <c r="H1583" i="1"/>
  <c r="I1583" i="1"/>
  <c r="D1660" i="1"/>
  <c r="E1660" i="1"/>
  <c r="H1660" i="1"/>
  <c r="D1667" i="1"/>
  <c r="E1667" i="1"/>
  <c r="H1667" i="1"/>
  <c r="D1661" i="1"/>
  <c r="E1661" i="1"/>
  <c r="H1661" i="1"/>
  <c r="D1572" i="1"/>
  <c r="E1572" i="1"/>
  <c r="H1572" i="1"/>
  <c r="D1634" i="1"/>
  <c r="E1634" i="1"/>
  <c r="H1634" i="1"/>
  <c r="D1635" i="1"/>
  <c r="E1635" i="1"/>
  <c r="H1635" i="1"/>
  <c r="D1636" i="1"/>
  <c r="E1636" i="1"/>
  <c r="H1636" i="1"/>
  <c r="D1637" i="1"/>
  <c r="E1637" i="1"/>
  <c r="H1637" i="1"/>
  <c r="D1638" i="1"/>
  <c r="E1638" i="1"/>
  <c r="H1638" i="1"/>
  <c r="D1639" i="1"/>
  <c r="E1639" i="1"/>
  <c r="H1639" i="1"/>
  <c r="D1640" i="1"/>
  <c r="E1640" i="1"/>
  <c r="H1640" i="1"/>
  <c r="D1641" i="1"/>
  <c r="E1641" i="1"/>
  <c r="H1641" i="1"/>
  <c r="D1642" i="1"/>
  <c r="E1642" i="1"/>
  <c r="H1642" i="1"/>
  <c r="D1643" i="1"/>
  <c r="E1643" i="1"/>
  <c r="H1643" i="1"/>
  <c r="D1662" i="1"/>
  <c r="E1662" i="1"/>
  <c r="H1662" i="1"/>
  <c r="D1644" i="1"/>
  <c r="E1644" i="1"/>
  <c r="H1644" i="1"/>
  <c r="D1645" i="1"/>
  <c r="E1645" i="1"/>
  <c r="H1645" i="1"/>
  <c r="D1646" i="1"/>
  <c r="E1646" i="1"/>
  <c r="H1646" i="1"/>
  <c r="D1647" i="1"/>
  <c r="E1647" i="1"/>
  <c r="H1647" i="1"/>
  <c r="D1648" i="1"/>
  <c r="E1648" i="1"/>
  <c r="H1648" i="1"/>
  <c r="D1573" i="1"/>
  <c r="E1573" i="1"/>
  <c r="H1573" i="1"/>
  <c r="D1574" i="1"/>
  <c r="E1574" i="1"/>
  <c r="H1574" i="1"/>
  <c r="D1575" i="1"/>
  <c r="E1575" i="1"/>
  <c r="H1575" i="1"/>
  <c r="D1615" i="1"/>
  <c r="E1615" i="1"/>
  <c r="H1615" i="1"/>
  <c r="D1649" i="1"/>
  <c r="H1649" i="1"/>
  <c r="I1649" i="1"/>
  <c r="D1663" i="1"/>
  <c r="E1663" i="1"/>
  <c r="H1663" i="1"/>
  <c r="D1621" i="1"/>
  <c r="E1621" i="1"/>
  <c r="H1621" i="1"/>
  <c r="D1622" i="1"/>
  <c r="E1622" i="1"/>
  <c r="H1622" i="1"/>
  <c r="D1623" i="1"/>
  <c r="E1623" i="1"/>
  <c r="H1623" i="1"/>
  <c r="D1584" i="1"/>
  <c r="E1584" i="1"/>
  <c r="H1584" i="1"/>
  <c r="D1610" i="1"/>
  <c r="E1610" i="1"/>
  <c r="H1610" i="1"/>
  <c r="D1611" i="1"/>
  <c r="H1611" i="1"/>
  <c r="I1611" i="1"/>
  <c r="D1585" i="1"/>
  <c r="H1585" i="1"/>
  <c r="I1585" i="1"/>
  <c r="D1612" i="1"/>
  <c r="E1612" i="1"/>
  <c r="H1612" i="1"/>
  <c r="D1586" i="1"/>
  <c r="H1586" i="1"/>
  <c r="I1586" i="1"/>
  <c r="D1587" i="1"/>
  <c r="E1587" i="1"/>
  <c r="H1587" i="1"/>
  <c r="D1588" i="1"/>
  <c r="E1588" i="1"/>
  <c r="H1588" i="1"/>
  <c r="D1589" i="1"/>
  <c r="E1589" i="1"/>
  <c r="H1589" i="1"/>
  <c r="D1590" i="1"/>
  <c r="E1590" i="1"/>
  <c r="H1590" i="1"/>
  <c r="I1590" i="1"/>
  <c r="D1591" i="1"/>
  <c r="E1591" i="1"/>
  <c r="H1591" i="1"/>
  <c r="I1591" i="1"/>
  <c r="D1592" i="1"/>
  <c r="H1592" i="1"/>
  <c r="I1592" i="1"/>
  <c r="D1593" i="1"/>
  <c r="H1593" i="1"/>
  <c r="I1593" i="1"/>
  <c r="D1594" i="1"/>
  <c r="E1594" i="1"/>
  <c r="H1594" i="1"/>
  <c r="D1595" i="1"/>
  <c r="H1595" i="1"/>
  <c r="I1595" i="1"/>
  <c r="D1613" i="1"/>
  <c r="H1613" i="1"/>
  <c r="I1613" i="1"/>
  <c r="D1614" i="1"/>
  <c r="H1614" i="1"/>
  <c r="I1614" i="1"/>
  <c r="D1596" i="1"/>
  <c r="E1596" i="1"/>
  <c r="H1596" i="1"/>
  <c r="D1597" i="1"/>
  <c r="E1597" i="1"/>
  <c r="H1597" i="1"/>
  <c r="D1598" i="1"/>
  <c r="E1598" i="1"/>
  <c r="H1598" i="1"/>
  <c r="D1599" i="1"/>
  <c r="E1599" i="1"/>
  <c r="H1599" i="1"/>
  <c r="D1600" i="1"/>
  <c r="E1600" i="1"/>
  <c r="H1600" i="1"/>
  <c r="D1601" i="1"/>
  <c r="E1601" i="1"/>
  <c r="H1601" i="1"/>
  <c r="D1602" i="1"/>
  <c r="E1602" i="1"/>
  <c r="H1602" i="1"/>
  <c r="D1603" i="1"/>
  <c r="E1603" i="1"/>
  <c r="H1603" i="1"/>
  <c r="D1669" i="1"/>
  <c r="H1669" i="1"/>
  <c r="I1669" i="1"/>
  <c r="D1570" i="1"/>
  <c r="E1570" i="1"/>
  <c r="H1570" i="1"/>
  <c r="I1570" i="1"/>
  <c r="D1616" i="1"/>
  <c r="E1616" i="1"/>
  <c r="H1616" i="1"/>
  <c r="D1571" i="1"/>
  <c r="E1571" i="1"/>
  <c r="H1571" i="1"/>
  <c r="I1571" i="1"/>
  <c r="D1576" i="1"/>
  <c r="E1576" i="1"/>
  <c r="H1576" i="1"/>
  <c r="D1604" i="1"/>
  <c r="E1604" i="1"/>
  <c r="H1604" i="1"/>
  <c r="I1604" i="1"/>
  <c r="D1605" i="1"/>
  <c r="E1605" i="1"/>
  <c r="H1605" i="1"/>
  <c r="I1605" i="1"/>
  <c r="D1577" i="1"/>
  <c r="E1577" i="1"/>
  <c r="H1577" i="1"/>
  <c r="D1606" i="1"/>
  <c r="E1606" i="1"/>
  <c r="H1606" i="1"/>
  <c r="I1606" i="1"/>
  <c r="D1607" i="1"/>
  <c r="E1607" i="1"/>
  <c r="H1607" i="1"/>
  <c r="D1608" i="1"/>
  <c r="E1608" i="1"/>
  <c r="H1608" i="1"/>
  <c r="D1578" i="1"/>
  <c r="H1578" i="1"/>
  <c r="D1579" i="1"/>
  <c r="H1579" i="1"/>
  <c r="D1609" i="1"/>
  <c r="E1609" i="1"/>
  <c r="H1609" i="1"/>
  <c r="D1751" i="1"/>
  <c r="H1751" i="1"/>
  <c r="I1751" i="1"/>
  <c r="D1752" i="1"/>
  <c r="H1752" i="1"/>
  <c r="I1752" i="1"/>
  <c r="D1757" i="1"/>
  <c r="E1757" i="1"/>
  <c r="H1757" i="1"/>
  <c r="I1757" i="1"/>
  <c r="D1753" i="1"/>
  <c r="H1753" i="1"/>
  <c r="I1753" i="1"/>
  <c r="D1796" i="1"/>
  <c r="E1796" i="1"/>
  <c r="H1796" i="1"/>
  <c r="D1797" i="1"/>
  <c r="H1797" i="1"/>
  <c r="I1797" i="1"/>
  <c r="D1798" i="1"/>
  <c r="H1798" i="1"/>
  <c r="I1798" i="1"/>
  <c r="D1799" i="1"/>
  <c r="E1799" i="1"/>
  <c r="H1799" i="1"/>
  <c r="D1767" i="1"/>
  <c r="E1767" i="1"/>
  <c r="H1767" i="1"/>
  <c r="D1768" i="1"/>
  <c r="E1768" i="1"/>
  <c r="H1768" i="1"/>
  <c r="D1800" i="1"/>
  <c r="E1800" i="1"/>
  <c r="H1800" i="1"/>
  <c r="I1800" i="1"/>
  <c r="D1780" i="1"/>
  <c r="E1780" i="1"/>
  <c r="H1780" i="1"/>
  <c r="D1781" i="1"/>
  <c r="E1781" i="1"/>
  <c r="H1781" i="1"/>
  <c r="D1782" i="1"/>
  <c r="H1782" i="1"/>
  <c r="I1782" i="1"/>
  <c r="D1783" i="1"/>
  <c r="H1783" i="1"/>
  <c r="D1784" i="1"/>
  <c r="H1784" i="1"/>
  <c r="I1784" i="1"/>
  <c r="D1785" i="1"/>
  <c r="H1785" i="1"/>
  <c r="I1785" i="1"/>
  <c r="D1692" i="1"/>
  <c r="E1692" i="1"/>
  <c r="H1692" i="1"/>
  <c r="D1693" i="1"/>
  <c r="E1693" i="1"/>
  <c r="H1693" i="1"/>
  <c r="D1694" i="1"/>
  <c r="E1694" i="1"/>
  <c r="H1694" i="1"/>
  <c r="D1801" i="1"/>
  <c r="E1801" i="1"/>
  <c r="H1801" i="1"/>
  <c r="D1695" i="1"/>
  <c r="E1695" i="1"/>
  <c r="H1695" i="1"/>
  <c r="D1696" i="1"/>
  <c r="E1696" i="1"/>
  <c r="H1696" i="1"/>
  <c r="D1697" i="1"/>
  <c r="E1697" i="1"/>
  <c r="H1697" i="1"/>
  <c r="D1795" i="1"/>
  <c r="E1795" i="1"/>
  <c r="H1795" i="1"/>
  <c r="D1671" i="1"/>
  <c r="E1671" i="1"/>
  <c r="H1671" i="1"/>
  <c r="I1671" i="1"/>
  <c r="D1698" i="1"/>
  <c r="E1698" i="1"/>
  <c r="H1698" i="1"/>
  <c r="I1698" i="1"/>
  <c r="D1762" i="1"/>
  <c r="E1762" i="1"/>
  <c r="H1762" i="1"/>
  <c r="D1699" i="1"/>
  <c r="E1699" i="1"/>
  <c r="H1699" i="1"/>
  <c r="I1699" i="1"/>
  <c r="D1672" i="1"/>
  <c r="E1672" i="1"/>
  <c r="H1672" i="1"/>
  <c r="I1672" i="1"/>
  <c r="D1673" i="1"/>
  <c r="E1673" i="1"/>
  <c r="H1673" i="1"/>
  <c r="I1673" i="1"/>
  <c r="D1736" i="1"/>
  <c r="E1736" i="1"/>
  <c r="H1736" i="1"/>
  <c r="I1736" i="1"/>
  <c r="D1723" i="1"/>
  <c r="E1723" i="1"/>
  <c r="H1723" i="1"/>
  <c r="D1675" i="1"/>
  <c r="E1675" i="1"/>
  <c r="H1675" i="1"/>
  <c r="D1724" i="1"/>
  <c r="H1724" i="1"/>
  <c r="I1724" i="1"/>
  <c r="D1730" i="1"/>
  <c r="H1730" i="1"/>
  <c r="I1730" i="1"/>
  <c r="D1758" i="1"/>
  <c r="E1758" i="1"/>
  <c r="H1758" i="1"/>
  <c r="D1769" i="1"/>
  <c r="E1769" i="1"/>
  <c r="H1769" i="1"/>
  <c r="D1676" i="1"/>
  <c r="E1676" i="1"/>
  <c r="H1676" i="1"/>
  <c r="D1725" i="1"/>
  <c r="E1725" i="1"/>
  <c r="H1725" i="1"/>
  <c r="D1759" i="1"/>
  <c r="E1759" i="1"/>
  <c r="H1759" i="1"/>
  <c r="D1770" i="1"/>
  <c r="E1770" i="1"/>
  <c r="H1770" i="1"/>
  <c r="D1731" i="1"/>
  <c r="E1731" i="1"/>
  <c r="H1731" i="1"/>
  <c r="D1732" i="1"/>
  <c r="H1732" i="1"/>
  <c r="D1790" i="1"/>
  <c r="E1790" i="1"/>
  <c r="H1790" i="1"/>
  <c r="D1771" i="1"/>
  <c r="E1771" i="1"/>
  <c r="H1771" i="1"/>
  <c r="D1772" i="1"/>
  <c r="E1772" i="1"/>
  <c r="H1772" i="1"/>
  <c r="D1763" i="1"/>
  <c r="E1763" i="1"/>
  <c r="H1763" i="1"/>
  <c r="D1700" i="1"/>
  <c r="E1700" i="1"/>
  <c r="H1700" i="1"/>
  <c r="I1700" i="1"/>
  <c r="D1737" i="1"/>
  <c r="E1737" i="1"/>
  <c r="H1737" i="1"/>
  <c r="I1737" i="1"/>
  <c r="D1773" i="1"/>
  <c r="E1773" i="1"/>
  <c r="H1773" i="1"/>
  <c r="D1705" i="1"/>
  <c r="E1705" i="1"/>
  <c r="H1705" i="1"/>
  <c r="I1705" i="1"/>
  <c r="D1754" i="1"/>
  <c r="E1754" i="1"/>
  <c r="H1754" i="1"/>
  <c r="I1754" i="1"/>
  <c r="D1774" i="1"/>
  <c r="E1774" i="1"/>
  <c r="H1774" i="1"/>
  <c r="D1791" i="1"/>
  <c r="E1791" i="1"/>
  <c r="H1791" i="1"/>
  <c r="I1791" i="1"/>
  <c r="D1706" i="1"/>
  <c r="E1706" i="1"/>
  <c r="H1706" i="1"/>
  <c r="I1706" i="1"/>
  <c r="D1701" i="1"/>
  <c r="E1701" i="1"/>
  <c r="H1701" i="1"/>
  <c r="D1726" i="1"/>
  <c r="E1726" i="1"/>
  <c r="H1726" i="1"/>
  <c r="D1760" i="1"/>
  <c r="E1760" i="1"/>
  <c r="H1760" i="1"/>
  <c r="D1761" i="1"/>
  <c r="E1761" i="1"/>
  <c r="H1761" i="1"/>
  <c r="D1764" i="1"/>
  <c r="E1764" i="1"/>
  <c r="H1764" i="1"/>
  <c r="D1707" i="1"/>
  <c r="E1707" i="1"/>
  <c r="H1707" i="1"/>
  <c r="D1738" i="1"/>
  <c r="E1738" i="1"/>
  <c r="H1738" i="1"/>
  <c r="D1702" i="1"/>
  <c r="E1702" i="1"/>
  <c r="H1702" i="1"/>
  <c r="D1739" i="1"/>
  <c r="E1739" i="1"/>
  <c r="H1739" i="1"/>
  <c r="D1708" i="1"/>
  <c r="E1708" i="1"/>
  <c r="H1708" i="1"/>
  <c r="D1709" i="1"/>
  <c r="E1709" i="1"/>
  <c r="H1709" i="1"/>
  <c r="D1765" i="1"/>
  <c r="E1765" i="1"/>
  <c r="H1765" i="1"/>
  <c r="D1710" i="1"/>
  <c r="E1710" i="1"/>
  <c r="H1710" i="1"/>
  <c r="I1710" i="1"/>
  <c r="D1677" i="1"/>
  <c r="H1677" i="1"/>
  <c r="I1677" i="1"/>
  <c r="D1792" i="1"/>
  <c r="H1792" i="1"/>
  <c r="I1792" i="1"/>
  <c r="D1711" i="1"/>
  <c r="E1711" i="1"/>
  <c r="H1711" i="1"/>
  <c r="I1711" i="1"/>
  <c r="D1793" i="1"/>
  <c r="E1793" i="1"/>
  <c r="H1793" i="1"/>
  <c r="D1740" i="1"/>
  <c r="E1740" i="1"/>
  <c r="H1740" i="1"/>
  <c r="D1727" i="1"/>
  <c r="E1727" i="1"/>
  <c r="H1727" i="1"/>
  <c r="D1712" i="1"/>
  <c r="E1712" i="1"/>
  <c r="H1712" i="1"/>
  <c r="D1728" i="1"/>
  <c r="E1728" i="1"/>
  <c r="H1728" i="1"/>
  <c r="D1766" i="1"/>
  <c r="E1766" i="1"/>
  <c r="H1766" i="1"/>
  <c r="D1713" i="1"/>
  <c r="E1713" i="1"/>
  <c r="H1713" i="1"/>
  <c r="D1714" i="1"/>
  <c r="E1714" i="1"/>
  <c r="H1714" i="1"/>
  <c r="D1715" i="1"/>
  <c r="E1715" i="1"/>
  <c r="H1715" i="1"/>
  <c r="D1741" i="1"/>
  <c r="E1741" i="1"/>
  <c r="H1741" i="1"/>
  <c r="D1680" i="1"/>
  <c r="E1680" i="1"/>
  <c r="H1680" i="1"/>
  <c r="D1733" i="1"/>
  <c r="E1733" i="1"/>
  <c r="H1733" i="1"/>
  <c r="D1742" i="1"/>
  <c r="E1742" i="1"/>
  <c r="H1742" i="1"/>
  <c r="I1742" i="1"/>
  <c r="D1743" i="1"/>
  <c r="E1743" i="1"/>
  <c r="H1743" i="1"/>
  <c r="D1716" i="1"/>
  <c r="E1716" i="1"/>
  <c r="H1716" i="1"/>
  <c r="D1734" i="1"/>
  <c r="E1734" i="1"/>
  <c r="H1734" i="1"/>
  <c r="D1703" i="1"/>
  <c r="E1703" i="1"/>
  <c r="H1703" i="1"/>
  <c r="D1686" i="1"/>
  <c r="E1686" i="1"/>
  <c r="H1686" i="1"/>
  <c r="D1775" i="1"/>
  <c r="E1775" i="1"/>
  <c r="H1775" i="1"/>
  <c r="D1755" i="1"/>
  <c r="E1755" i="1"/>
  <c r="H1755" i="1"/>
  <c r="D1744" i="1"/>
  <c r="E1744" i="1"/>
  <c r="H1744" i="1"/>
  <c r="D1745" i="1"/>
  <c r="E1745" i="1"/>
  <c r="H1745" i="1"/>
  <c r="D1746" i="1"/>
  <c r="E1746" i="1"/>
  <c r="H1746" i="1"/>
  <c r="D1747" i="1"/>
  <c r="E1747" i="1"/>
  <c r="H1747" i="1"/>
  <c r="D1717" i="1"/>
  <c r="E1717" i="1"/>
  <c r="H1717" i="1"/>
  <c r="D1718" i="1"/>
  <c r="E1718" i="1"/>
  <c r="H1718" i="1"/>
  <c r="D1748" i="1"/>
  <c r="E1748" i="1"/>
  <c r="H1748" i="1"/>
  <c r="D1681" i="1"/>
  <c r="E1681" i="1"/>
  <c r="H1681" i="1"/>
  <c r="D1682" i="1"/>
  <c r="E1682" i="1"/>
  <c r="H1682" i="1"/>
  <c r="D1683" i="1"/>
  <c r="E1683" i="1"/>
  <c r="H1683" i="1"/>
  <c r="D1678" i="1"/>
  <c r="E1678" i="1"/>
  <c r="H1678" i="1"/>
  <c r="D1679" i="1"/>
  <c r="E1679" i="1"/>
  <c r="H1679" i="1"/>
  <c r="D1719" i="1"/>
  <c r="E1719" i="1"/>
  <c r="H1719" i="1"/>
  <c r="D1720" i="1"/>
  <c r="E1720" i="1"/>
  <c r="H1720" i="1"/>
  <c r="D1735" i="1"/>
  <c r="E1735" i="1"/>
  <c r="H1735" i="1"/>
  <c r="D1721" i="1"/>
  <c r="E1721" i="1"/>
  <c r="H1721" i="1"/>
  <c r="D1756" i="1"/>
  <c r="E1756" i="1"/>
  <c r="H1756" i="1"/>
  <c r="D1687" i="1"/>
  <c r="E1687" i="1"/>
  <c r="H1687" i="1"/>
  <c r="D1688" i="1"/>
  <c r="E1688" i="1"/>
  <c r="H1688" i="1"/>
  <c r="D1689" i="1"/>
  <c r="E1689" i="1"/>
  <c r="H1689" i="1"/>
  <c r="I1689" i="1"/>
  <c r="D1690" i="1"/>
  <c r="E1690" i="1"/>
  <c r="H1690" i="1"/>
  <c r="D1691" i="1"/>
  <c r="E1691" i="1"/>
  <c r="H1691" i="1"/>
  <c r="D1674" i="1"/>
  <c r="H1674" i="1"/>
  <c r="D1777" i="1"/>
  <c r="E1777" i="1"/>
  <c r="H1777" i="1"/>
  <c r="D1704" i="1"/>
  <c r="H1704" i="1"/>
  <c r="I1704" i="1"/>
  <c r="D1670" i="1"/>
  <c r="E1670" i="1"/>
  <c r="H1670" i="1"/>
  <c r="D1722" i="1"/>
  <c r="E1722" i="1"/>
  <c r="H1722" i="1"/>
  <c r="D1776" i="1"/>
  <c r="H1776" i="1"/>
  <c r="D1684" i="1"/>
  <c r="E1684" i="1"/>
  <c r="H1684" i="1"/>
  <c r="D1729" i="1"/>
  <c r="H1729" i="1"/>
  <c r="I1729" i="1"/>
  <c r="D1685" i="1"/>
  <c r="H1685" i="1"/>
  <c r="D1778" i="1"/>
  <c r="E1778" i="1"/>
  <c r="H1778" i="1"/>
  <c r="I1778" i="1"/>
  <c r="D1779" i="1"/>
  <c r="H1779" i="1"/>
  <c r="I1779" i="1"/>
  <c r="D1749" i="1"/>
  <c r="E1749" i="1"/>
  <c r="H1749" i="1"/>
  <c r="D1750" i="1"/>
  <c r="E1750" i="1"/>
  <c r="H1750" i="1"/>
  <c r="I1750" i="1"/>
  <c r="D1802" i="1"/>
  <c r="E1802" i="1"/>
  <c r="H1802" i="1"/>
  <c r="D1804" i="1"/>
  <c r="H1804" i="1"/>
  <c r="I1804" i="1"/>
  <c r="D1803" i="1"/>
  <c r="H1803" i="1"/>
  <c r="I1803" i="1"/>
  <c r="D1805" i="1"/>
  <c r="E1805" i="1"/>
  <c r="H1805" i="1"/>
  <c r="D1786" i="1"/>
  <c r="E1786" i="1"/>
  <c r="H1786" i="1"/>
  <c r="D1787" i="1"/>
  <c r="H1787" i="1"/>
  <c r="I1787" i="1"/>
  <c r="D1788" i="1"/>
  <c r="E1788" i="1"/>
  <c r="H1788" i="1"/>
  <c r="D1789" i="1"/>
  <c r="H1789" i="1"/>
  <c r="I1789" i="1"/>
  <c r="D1794" i="1"/>
  <c r="H1794" i="1"/>
  <c r="I1794" i="1"/>
  <c r="D1806" i="1"/>
  <c r="H1806" i="1"/>
  <c r="I1806" i="1"/>
  <c r="D1807" i="1"/>
  <c r="H1807" i="1"/>
  <c r="I1807" i="1"/>
  <c r="D1808" i="1"/>
  <c r="H1808" i="1"/>
  <c r="I1808" i="1"/>
  <c r="D1812" i="1"/>
  <c r="E1812" i="1"/>
  <c r="H1812" i="1"/>
  <c r="I1812" i="1"/>
  <c r="D1813" i="1"/>
  <c r="E1813" i="1"/>
  <c r="H1813" i="1"/>
  <c r="I1813" i="1"/>
  <c r="D1814" i="1"/>
  <c r="E1814" i="1"/>
  <c r="H1814" i="1"/>
  <c r="I1814" i="1"/>
  <c r="D1815" i="1"/>
  <c r="E1815" i="1"/>
  <c r="H1815" i="1"/>
  <c r="I1815" i="1"/>
  <c r="D1816" i="1"/>
  <c r="E1816" i="1"/>
  <c r="H1816" i="1"/>
  <c r="I1816" i="1"/>
  <c r="D1817" i="1"/>
  <c r="E1817" i="1"/>
  <c r="H1817" i="1"/>
  <c r="I1817" i="1"/>
  <c r="D1818" i="1"/>
  <c r="E1818" i="1"/>
  <c r="H1818" i="1"/>
  <c r="D1819" i="1"/>
  <c r="E1819" i="1"/>
  <c r="H1819" i="1"/>
  <c r="I1819" i="1"/>
  <c r="D1820" i="1"/>
  <c r="E1820" i="1"/>
  <c r="H1820" i="1"/>
  <c r="I1820" i="1"/>
  <c r="D1821" i="1"/>
  <c r="E1821" i="1"/>
  <c r="H1821" i="1"/>
  <c r="I1821" i="1"/>
  <c r="D1811" i="1"/>
  <c r="E1811" i="1"/>
  <c r="H1811" i="1"/>
  <c r="I1811" i="1"/>
  <c r="D1809" i="1"/>
  <c r="E1809" i="1"/>
  <c r="H1809" i="1"/>
  <c r="I1809" i="1"/>
  <c r="D1822" i="1"/>
  <c r="E1822" i="1"/>
  <c r="H1822" i="1"/>
  <c r="I1822" i="1"/>
  <c r="D1823" i="1"/>
  <c r="E1823" i="1"/>
  <c r="H1823" i="1"/>
  <c r="I1823" i="1"/>
  <c r="D1824" i="1"/>
  <c r="E1824" i="1"/>
  <c r="H1824" i="1"/>
  <c r="I1824" i="1"/>
  <c r="D1825" i="1"/>
  <c r="E1825" i="1"/>
  <c r="H1825" i="1"/>
  <c r="I1825" i="1"/>
  <c r="D1810" i="1"/>
  <c r="E1810" i="1"/>
  <c r="H1810" i="1"/>
  <c r="D1840" i="1"/>
  <c r="H1840" i="1"/>
  <c r="I1840" i="1"/>
  <c r="D1841" i="1"/>
  <c r="E1841" i="1"/>
  <c r="H1841" i="1"/>
  <c r="D1865" i="1"/>
  <c r="E1865" i="1"/>
  <c r="H1865" i="1"/>
  <c r="I1865" i="1"/>
  <c r="D1842" i="1"/>
  <c r="H1842" i="1"/>
  <c r="I1842" i="1"/>
  <c r="D1866" i="1"/>
  <c r="E1866" i="1"/>
  <c r="H1866" i="1"/>
  <c r="D1836" i="1"/>
  <c r="H1836" i="1"/>
  <c r="I1836" i="1"/>
  <c r="D1826" i="1"/>
  <c r="E1826" i="1"/>
  <c r="H1826" i="1"/>
  <c r="D1869" i="1"/>
  <c r="E1869" i="1"/>
  <c r="H1869" i="1"/>
  <c r="I1869" i="1"/>
  <c r="D1867" i="1"/>
  <c r="H1867" i="1"/>
  <c r="I1867" i="1"/>
  <c r="D1903" i="1"/>
  <c r="E1903" i="1"/>
  <c r="H1903" i="1"/>
  <c r="I1903" i="1"/>
  <c r="D1914" i="1"/>
  <c r="H1914" i="1"/>
  <c r="I1914" i="1"/>
  <c r="D1896" i="1"/>
  <c r="H1896" i="1"/>
  <c r="I1896" i="1"/>
  <c r="D1897" i="1"/>
  <c r="H1897" i="1"/>
  <c r="I1897" i="1"/>
  <c r="D1850" i="1"/>
  <c r="E1850" i="1"/>
  <c r="H1850" i="1"/>
  <c r="I1850" i="1"/>
  <c r="D1890" i="1"/>
  <c r="H1890" i="1"/>
  <c r="I1890" i="1"/>
  <c r="D1837" i="1"/>
  <c r="H1837" i="1"/>
  <c r="I1837" i="1"/>
  <c r="D1915" i="1"/>
  <c r="E1915" i="1"/>
  <c r="H1915" i="1"/>
  <c r="I1915" i="1"/>
  <c r="D1830" i="1"/>
  <c r="E1830" i="1"/>
  <c r="H1830" i="1"/>
  <c r="I1830" i="1"/>
  <c r="D1843" i="1"/>
  <c r="E1843" i="1"/>
  <c r="H1843" i="1"/>
  <c r="I1843" i="1"/>
  <c r="D1831" i="1"/>
  <c r="H1831" i="1"/>
  <c r="I1831" i="1"/>
  <c r="D1891" i="1"/>
  <c r="E1891" i="1"/>
  <c r="H1891" i="1"/>
  <c r="I1891" i="1"/>
  <c r="D1871" i="1"/>
  <c r="H1871" i="1"/>
  <c r="I1871" i="1"/>
  <c r="D1916" i="1"/>
  <c r="H1916" i="1"/>
  <c r="I1916" i="1"/>
  <c r="D1917" i="1"/>
  <c r="H1917" i="1"/>
  <c r="I1917" i="1"/>
  <c r="D1838" i="1"/>
  <c r="E1838" i="1"/>
  <c r="H1838" i="1"/>
  <c r="I1838" i="1"/>
  <c r="D1870" i="1"/>
  <c r="H1870" i="1"/>
  <c r="D1868" i="1"/>
  <c r="E1868" i="1"/>
  <c r="H1868" i="1"/>
  <c r="D1918" i="1"/>
  <c r="E1918" i="1"/>
  <c r="H1918" i="1"/>
  <c r="I1918" i="1"/>
  <c r="D1912" i="1"/>
  <c r="E1912" i="1"/>
  <c r="H1912" i="1"/>
  <c r="I1912" i="1"/>
  <c r="D1875" i="1"/>
  <c r="H1875" i="1"/>
  <c r="I1875" i="1"/>
  <c r="D1833" i="1"/>
  <c r="E1833" i="1"/>
  <c r="H1833" i="1"/>
  <c r="D1872" i="1"/>
  <c r="E1872" i="1"/>
  <c r="H1872" i="1"/>
  <c r="D1873" i="1"/>
  <c r="E1873" i="1"/>
  <c r="H1873" i="1"/>
  <c r="D1832" i="1"/>
  <c r="E1832" i="1"/>
  <c r="H1832" i="1"/>
  <c r="I1832" i="1"/>
  <c r="D1913" i="1"/>
  <c r="E1913" i="1"/>
  <c r="H1913" i="1"/>
  <c r="I1913" i="1"/>
  <c r="D1885" i="1"/>
  <c r="H1885" i="1"/>
  <c r="I1885" i="1"/>
  <c r="D1876" i="1"/>
  <c r="E1876" i="1"/>
  <c r="H1876" i="1"/>
  <c r="D1877" i="1"/>
  <c r="E1877" i="1"/>
  <c r="H1877" i="1"/>
  <c r="D1907" i="1"/>
  <c r="E1907" i="1"/>
  <c r="H1907" i="1"/>
  <c r="D1878" i="1"/>
  <c r="E1878" i="1"/>
  <c r="H1878" i="1"/>
  <c r="D1844" i="1"/>
  <c r="E1844" i="1"/>
  <c r="H1844" i="1"/>
  <c r="I1844" i="1"/>
  <c r="D1884" i="1"/>
  <c r="H1884" i="1"/>
  <c r="I1884" i="1"/>
  <c r="D1845" i="1"/>
  <c r="H1845" i="1"/>
  <c r="D1846" i="1"/>
  <c r="E1846" i="1"/>
  <c r="H1846" i="1"/>
  <c r="I1846" i="1"/>
  <c r="D1847" i="1"/>
  <c r="H1847" i="1"/>
  <c r="I1847" i="1"/>
  <c r="D1827" i="1"/>
  <c r="E1827" i="1"/>
  <c r="H1827" i="1"/>
  <c r="I1827" i="1"/>
  <c r="D1828" i="1"/>
  <c r="E1828" i="1"/>
  <c r="H1828" i="1"/>
  <c r="I1828" i="1"/>
  <c r="D1829" i="1"/>
  <c r="E1829" i="1"/>
  <c r="H1829" i="1"/>
  <c r="I1829" i="1"/>
  <c r="D1879" i="1"/>
  <c r="H1879" i="1"/>
  <c r="I1879" i="1"/>
  <c r="D1880" i="1"/>
  <c r="H1880" i="1"/>
  <c r="I1880" i="1"/>
  <c r="D1848" i="1"/>
  <c r="H1848" i="1"/>
  <c r="I1848" i="1"/>
  <c r="D1853" i="1"/>
  <c r="H1853" i="1"/>
  <c r="I1853" i="1"/>
  <c r="D1854" i="1"/>
  <c r="H1854" i="1"/>
  <c r="I1854" i="1"/>
  <c r="D1858" i="1"/>
  <c r="E1858" i="1"/>
  <c r="H1858" i="1"/>
  <c r="I1858" i="1"/>
  <c r="D1859" i="1"/>
  <c r="E1859" i="1"/>
  <c r="H1859" i="1"/>
  <c r="D1860" i="1"/>
  <c r="E1860" i="1"/>
  <c r="H1860" i="1"/>
  <c r="I1860" i="1"/>
  <c r="D1881" i="1"/>
  <c r="H1881" i="1"/>
  <c r="D1888" i="1"/>
  <c r="H1888" i="1"/>
  <c r="I1888" i="1"/>
  <c r="D1889" i="1"/>
  <c r="H1889" i="1"/>
  <c r="I1889" i="1"/>
  <c r="D1886" i="1"/>
  <c r="E1886" i="1"/>
  <c r="H1886" i="1"/>
  <c r="I1886" i="1"/>
  <c r="D1920" i="1"/>
  <c r="H1920" i="1"/>
  <c r="I1920" i="1"/>
  <c r="D1855" i="1"/>
  <c r="E1855" i="1"/>
  <c r="H1855" i="1"/>
  <c r="I1855" i="1"/>
  <c r="D1908" i="1"/>
  <c r="H1908" i="1"/>
  <c r="I1908" i="1"/>
  <c r="D1921" i="1"/>
  <c r="H1921" i="1"/>
  <c r="I1921" i="1"/>
  <c r="D1862" i="1"/>
  <c r="H1862" i="1"/>
  <c r="I1862" i="1"/>
  <c r="D1922" i="1"/>
  <c r="H1922" i="1"/>
  <c r="I1922" i="1"/>
  <c r="D1835" i="1"/>
  <c r="H1835" i="1"/>
  <c r="I1835" i="1"/>
  <c r="D1856" i="1"/>
  <c r="H1856" i="1"/>
  <c r="I1856" i="1"/>
  <c r="D1923" i="1"/>
  <c r="H1923" i="1"/>
  <c r="D1909" i="1"/>
  <c r="H1909" i="1"/>
  <c r="I1909" i="1"/>
  <c r="D1864" i="1"/>
  <c r="H1864" i="1"/>
  <c r="I1864" i="1"/>
  <c r="D1857" i="1"/>
  <c r="H1857" i="1"/>
  <c r="I1857" i="1"/>
  <c r="D1924" i="1"/>
  <c r="E1924" i="1"/>
  <c r="H1924" i="1"/>
  <c r="D1925" i="1"/>
  <c r="E1925" i="1"/>
  <c r="H1925" i="1"/>
  <c r="D1861" i="1"/>
  <c r="H1861" i="1"/>
  <c r="I1861" i="1"/>
  <c r="D1834" i="1"/>
  <c r="H1834" i="1"/>
  <c r="I1834" i="1"/>
  <c r="D1851" i="1"/>
  <c r="H1851" i="1"/>
  <c r="I1851" i="1"/>
  <c r="D1882" i="1"/>
  <c r="E1882" i="1"/>
  <c r="H1882" i="1"/>
  <c r="I1882" i="1"/>
  <c r="D1883" i="1"/>
  <c r="E1883" i="1"/>
  <c r="H1883" i="1"/>
  <c r="I1883" i="1"/>
  <c r="D1910" i="1"/>
  <c r="E1910" i="1"/>
  <c r="H1910" i="1"/>
  <c r="I1910" i="1"/>
  <c r="D1906" i="1"/>
  <c r="H1906" i="1"/>
  <c r="I1906" i="1"/>
  <c r="D1863" i="1"/>
  <c r="E1863" i="1"/>
  <c r="H1863" i="1"/>
  <c r="I1863" i="1"/>
  <c r="D1892" i="1"/>
  <c r="E1892" i="1"/>
  <c r="H1892" i="1"/>
  <c r="I1892" i="1"/>
  <c r="D1887" i="1"/>
  <c r="E1887" i="1"/>
  <c r="H1887" i="1"/>
  <c r="I1887" i="1"/>
  <c r="D1893" i="1"/>
  <c r="E1893" i="1"/>
  <c r="H1893" i="1"/>
  <c r="I1893" i="1"/>
  <c r="D1849" i="1"/>
  <c r="H1849" i="1"/>
  <c r="I1849" i="1"/>
  <c r="D1894" i="1"/>
  <c r="E1894" i="1"/>
  <c r="H1894" i="1"/>
  <c r="I1894" i="1"/>
  <c r="D1901" i="1"/>
  <c r="E1901" i="1"/>
  <c r="H1901" i="1"/>
  <c r="I1901" i="1"/>
  <c r="D1895" i="1"/>
  <c r="E1895" i="1"/>
  <c r="H1895" i="1"/>
  <c r="D1902" i="1"/>
  <c r="E1902" i="1"/>
  <c r="H1902" i="1"/>
  <c r="D1874" i="1"/>
  <c r="H1874" i="1"/>
  <c r="I1874" i="1"/>
  <c r="D1899" i="1"/>
  <c r="E1899" i="1"/>
  <c r="H1899" i="1"/>
  <c r="D1900" i="1"/>
  <c r="E1900" i="1"/>
  <c r="H1900" i="1"/>
  <c r="D1839" i="1"/>
  <c r="E1839" i="1"/>
  <c r="H1839" i="1"/>
  <c r="I1839" i="1"/>
  <c r="D1852" i="1"/>
  <c r="E1852" i="1"/>
  <c r="H1852" i="1"/>
  <c r="I1852" i="1"/>
  <c r="D1926" i="1"/>
  <c r="H1926" i="1"/>
  <c r="I1926" i="1"/>
  <c r="D1898" i="1"/>
  <c r="E1898" i="1"/>
  <c r="H1898" i="1"/>
  <c r="I1898" i="1"/>
  <c r="D1904" i="1"/>
  <c r="E1904" i="1"/>
  <c r="H1904" i="1"/>
  <c r="I1904" i="1"/>
  <c r="D1905" i="1"/>
  <c r="E1905" i="1"/>
  <c r="H1905" i="1"/>
  <c r="I1905" i="1"/>
  <c r="D1911" i="1"/>
  <c r="E1911" i="1"/>
  <c r="H1911" i="1"/>
  <c r="I1911" i="1"/>
  <c r="D1927" i="1"/>
  <c r="E1927" i="1"/>
  <c r="H1927" i="1"/>
  <c r="I1927" i="1"/>
  <c r="D1919" i="1"/>
  <c r="E1919" i="1"/>
  <c r="H1919" i="1"/>
  <c r="I1919" i="1"/>
  <c r="D2037" i="1"/>
  <c r="E2037" i="1"/>
  <c r="H2037" i="1"/>
  <c r="I2037" i="1"/>
  <c r="D2001" i="1"/>
  <c r="H2001" i="1"/>
  <c r="I2001" i="1"/>
  <c r="D1952" i="1"/>
  <c r="E1952" i="1"/>
  <c r="H1952" i="1"/>
  <c r="I1952" i="1"/>
  <c r="D1966" i="1"/>
  <c r="H1966" i="1"/>
  <c r="I1966" i="1"/>
  <c r="D2087" i="1"/>
  <c r="H2087" i="1"/>
  <c r="I2087" i="1"/>
  <c r="D2056" i="1"/>
  <c r="E2056" i="1"/>
  <c r="H2056" i="1"/>
  <c r="I2056" i="1"/>
  <c r="D1967" i="1"/>
  <c r="H1967" i="1"/>
  <c r="I1967" i="1"/>
  <c r="D2035" i="1"/>
  <c r="H2035" i="1"/>
  <c r="I2035" i="1"/>
  <c r="D2088" i="1"/>
  <c r="H2088" i="1"/>
  <c r="I2088" i="1"/>
  <c r="D2012" i="1"/>
  <c r="H2012" i="1"/>
  <c r="D2089" i="1"/>
  <c r="H2089" i="1"/>
  <c r="I2089" i="1"/>
  <c r="D2013" i="1"/>
  <c r="H2013" i="1"/>
  <c r="I2013" i="1"/>
  <c r="D2103" i="1"/>
  <c r="H2103" i="1"/>
  <c r="I2103" i="1"/>
  <c r="D2118" i="1"/>
  <c r="E2118" i="1"/>
  <c r="H2118" i="1"/>
  <c r="I2118" i="1"/>
  <c r="D1961" i="1"/>
  <c r="H1961" i="1"/>
  <c r="I1961" i="1"/>
  <c r="D1928" i="1"/>
  <c r="E1928" i="1"/>
  <c r="H1928" i="1"/>
  <c r="D1929" i="1"/>
  <c r="E1929" i="1"/>
  <c r="H1929" i="1"/>
  <c r="D2090" i="1"/>
  <c r="E2090" i="1"/>
  <c r="H2090" i="1"/>
  <c r="I2090" i="1"/>
  <c r="D1968" i="1"/>
  <c r="E1968" i="1"/>
  <c r="H1968" i="1"/>
  <c r="D2091" i="1"/>
  <c r="E2091" i="1"/>
  <c r="H2091" i="1"/>
  <c r="D1969" i="1"/>
  <c r="E1969" i="1"/>
  <c r="H1969" i="1"/>
  <c r="D1970" i="1"/>
  <c r="H1970" i="1"/>
  <c r="I1970" i="1"/>
  <c r="D2104" i="1"/>
  <c r="H2104" i="1"/>
  <c r="I2104" i="1"/>
  <c r="D2105" i="1"/>
  <c r="H2105" i="1"/>
  <c r="I2105" i="1"/>
  <c r="D2092" i="1"/>
  <c r="E2092" i="1"/>
  <c r="H2092" i="1"/>
  <c r="D2119" i="1"/>
  <c r="E2119" i="1"/>
  <c r="H2119" i="1"/>
  <c r="I2119" i="1"/>
  <c r="D1930" i="1"/>
  <c r="E1930" i="1"/>
  <c r="H1930" i="1"/>
  <c r="I1930" i="1"/>
  <c r="D2093" i="1"/>
  <c r="H2093" i="1"/>
  <c r="I2093" i="1"/>
  <c r="D1933" i="1"/>
  <c r="E1933" i="1"/>
  <c r="H1933" i="1"/>
  <c r="D2106" i="1"/>
  <c r="H2106" i="1"/>
  <c r="I2106" i="1"/>
  <c r="D2057" i="1"/>
  <c r="H2057" i="1"/>
  <c r="I2057" i="1"/>
  <c r="D1934" i="1"/>
  <c r="H1934" i="1"/>
  <c r="I1934" i="1"/>
  <c r="D2120" i="1"/>
  <c r="E2120" i="1"/>
  <c r="H2120" i="1"/>
  <c r="I2120" i="1"/>
  <c r="D2094" i="1"/>
  <c r="E2094" i="1"/>
  <c r="H2094" i="1"/>
  <c r="I2094" i="1"/>
  <c r="D2036" i="1"/>
  <c r="E2036" i="1"/>
  <c r="H2036" i="1"/>
  <c r="I2036" i="1"/>
  <c r="D2095" i="1"/>
  <c r="H2095" i="1"/>
  <c r="D2121" i="1"/>
  <c r="E2121" i="1"/>
  <c r="H2121" i="1"/>
  <c r="D2096" i="1"/>
  <c r="E2096" i="1"/>
  <c r="H2096" i="1"/>
  <c r="D1931" i="1"/>
  <c r="E1931" i="1"/>
  <c r="H1931" i="1"/>
  <c r="D2073" i="1"/>
  <c r="H2073" i="1"/>
  <c r="I2073" i="1"/>
  <c r="D2107" i="1"/>
  <c r="H2107" i="1"/>
  <c r="I2107" i="1"/>
  <c r="D2108" i="1"/>
  <c r="H2108" i="1"/>
  <c r="I2108" i="1"/>
  <c r="D1971" i="1"/>
  <c r="E1971" i="1"/>
  <c r="H1971" i="1"/>
  <c r="D2014" i="1"/>
  <c r="H2014" i="1"/>
  <c r="I2014" i="1"/>
  <c r="D2074" i="1"/>
  <c r="E2074" i="1"/>
  <c r="H2074" i="1"/>
  <c r="D2097" i="1"/>
  <c r="H2097" i="1"/>
  <c r="I2097" i="1"/>
  <c r="D1937" i="1"/>
  <c r="E1937" i="1"/>
  <c r="H1937" i="1"/>
  <c r="I1937" i="1"/>
  <c r="D1939" i="1"/>
  <c r="H1939" i="1"/>
  <c r="I1939" i="1"/>
  <c r="D2038" i="1"/>
  <c r="H2038" i="1"/>
  <c r="D2044" i="1"/>
  <c r="E2044" i="1"/>
  <c r="H2044" i="1"/>
  <c r="D1940" i="1"/>
  <c r="H1940" i="1"/>
  <c r="I1940" i="1"/>
  <c r="D1941" i="1"/>
  <c r="H1941" i="1"/>
  <c r="I1941" i="1"/>
  <c r="D1942" i="1"/>
  <c r="E1942" i="1"/>
  <c r="H1942" i="1"/>
  <c r="I1942" i="1"/>
  <c r="D1943" i="1"/>
  <c r="H1943" i="1"/>
  <c r="D1944" i="1"/>
  <c r="H1944" i="1"/>
  <c r="D2039" i="1"/>
  <c r="E2039" i="1"/>
  <c r="H2039" i="1"/>
  <c r="I2039" i="1"/>
  <c r="D1947" i="1"/>
  <c r="E1947" i="1"/>
  <c r="H1947" i="1"/>
  <c r="D1948" i="1"/>
  <c r="E1948" i="1"/>
  <c r="H1948" i="1"/>
  <c r="D1962" i="1"/>
  <c r="E1962" i="1"/>
  <c r="H1962" i="1"/>
  <c r="I1962" i="1"/>
  <c r="D1945" i="1"/>
  <c r="H1945" i="1"/>
  <c r="I1945" i="1"/>
  <c r="D1963" i="1"/>
  <c r="H1963" i="1"/>
  <c r="I1963" i="1"/>
  <c r="D1946" i="1"/>
  <c r="E1946" i="1"/>
  <c r="H1946" i="1"/>
  <c r="I1946" i="1"/>
  <c r="D2004" i="1"/>
  <c r="E2004" i="1"/>
  <c r="H2004" i="1"/>
  <c r="D1954" i="1"/>
  <c r="E1954" i="1"/>
  <c r="H1954" i="1"/>
  <c r="D2072" i="1"/>
  <c r="E2072" i="1"/>
  <c r="H2072" i="1"/>
  <c r="D1938" i="1"/>
  <c r="E1938" i="1"/>
  <c r="H1938" i="1"/>
  <c r="D1955" i="1"/>
  <c r="E1955" i="1"/>
  <c r="H1955" i="1"/>
  <c r="D1956" i="1"/>
  <c r="E1956" i="1"/>
  <c r="H1956" i="1"/>
  <c r="D2028" i="1"/>
  <c r="E2028" i="1"/>
  <c r="H2028" i="1"/>
  <c r="D2102" i="1"/>
  <c r="E2102" i="1"/>
  <c r="H2102" i="1"/>
  <c r="I2102" i="1"/>
  <c r="D2029" i="1"/>
  <c r="E2029" i="1"/>
  <c r="H2029" i="1"/>
  <c r="I2029" i="1"/>
  <c r="D1972" i="1"/>
  <c r="E1972" i="1"/>
  <c r="H1972" i="1"/>
  <c r="I1972" i="1"/>
  <c r="D1997" i="1"/>
  <c r="E1997" i="1"/>
  <c r="H1997" i="1"/>
  <c r="D2058" i="1"/>
  <c r="E2058" i="1"/>
  <c r="H2058" i="1"/>
  <c r="I2058" i="1"/>
  <c r="D1987" i="1"/>
  <c r="E1987" i="1"/>
  <c r="H1987" i="1"/>
  <c r="D1973" i="1"/>
  <c r="E1973" i="1"/>
  <c r="H1973" i="1"/>
  <c r="D1988" i="1"/>
  <c r="H1988" i="1"/>
  <c r="I1988" i="1"/>
  <c r="D1974" i="1"/>
  <c r="E1974" i="1"/>
  <c r="H1974" i="1"/>
  <c r="D2059" i="1"/>
  <c r="H2059" i="1"/>
  <c r="D1989" i="1"/>
  <c r="E1989" i="1"/>
  <c r="H1989" i="1"/>
  <c r="D1990" i="1"/>
  <c r="E1990" i="1"/>
  <c r="H1990" i="1"/>
  <c r="D2060" i="1"/>
  <c r="E2060" i="1"/>
  <c r="H2060" i="1"/>
  <c r="D2061" i="1"/>
  <c r="H2061" i="1"/>
  <c r="I2061" i="1"/>
  <c r="D1998" i="1"/>
  <c r="E1998" i="1"/>
  <c r="H1998" i="1"/>
  <c r="I1998" i="1"/>
  <c r="D2062" i="1"/>
  <c r="E2062" i="1"/>
  <c r="H2062" i="1"/>
  <c r="I2062" i="1"/>
  <c r="D2063" i="1"/>
  <c r="E2063" i="1"/>
  <c r="H2063" i="1"/>
  <c r="D2064" i="1"/>
  <c r="E2064" i="1"/>
  <c r="H2064" i="1"/>
  <c r="D1999" i="1"/>
  <c r="E1999" i="1"/>
  <c r="H1999" i="1"/>
  <c r="D2075" i="1"/>
  <c r="E2075" i="1"/>
  <c r="H2075" i="1"/>
  <c r="D2077" i="1"/>
  <c r="E2077" i="1"/>
  <c r="H2077" i="1"/>
  <c r="D2078" i="1"/>
  <c r="E2078" i="1"/>
  <c r="H2078" i="1"/>
  <c r="D2079" i="1"/>
  <c r="E2079" i="1"/>
  <c r="H2079" i="1"/>
  <c r="D1975" i="1"/>
  <c r="H1975" i="1"/>
  <c r="D1976" i="1"/>
  <c r="E1976" i="1"/>
  <c r="H1976" i="1"/>
  <c r="D1977" i="1"/>
  <c r="H1977" i="1"/>
  <c r="I1977" i="1"/>
  <c r="D1978" i="1"/>
  <c r="H1978" i="1"/>
  <c r="D1979" i="1"/>
  <c r="H1979" i="1"/>
  <c r="D1980" i="1"/>
  <c r="H1980" i="1"/>
  <c r="I1980" i="1"/>
  <c r="D1981" i="1"/>
  <c r="H1981" i="1"/>
  <c r="D1982" i="1"/>
  <c r="H1982" i="1"/>
  <c r="D1991" i="1"/>
  <c r="H1991" i="1"/>
  <c r="I1991" i="1"/>
  <c r="D1983" i="1"/>
  <c r="E1983" i="1"/>
  <c r="H1983" i="1"/>
  <c r="D2065" i="1"/>
  <c r="E2065" i="1"/>
  <c r="H2065" i="1"/>
  <c r="I2065" i="1"/>
  <c r="D2076" i="1"/>
  <c r="H2076" i="1"/>
  <c r="I2076" i="1"/>
  <c r="D2010" i="1"/>
  <c r="E2010" i="1"/>
  <c r="H2010" i="1"/>
  <c r="D1992" i="1"/>
  <c r="E1992" i="1"/>
  <c r="H1992" i="1"/>
  <c r="D1984" i="1"/>
  <c r="E1984" i="1"/>
  <c r="H1984" i="1"/>
  <c r="D1985" i="1"/>
  <c r="E1985" i="1"/>
  <c r="H1985" i="1"/>
  <c r="D1993" i="1"/>
  <c r="E1993" i="1"/>
  <c r="H1993" i="1"/>
  <c r="D1994" i="1"/>
  <c r="E1994" i="1"/>
  <c r="H1994" i="1"/>
  <c r="D1986" i="1"/>
  <c r="E1986" i="1"/>
  <c r="H1986" i="1"/>
  <c r="D1995" i="1"/>
  <c r="E1995" i="1"/>
  <c r="H1995" i="1"/>
  <c r="D1949" i="1"/>
  <c r="H1949" i="1"/>
  <c r="I1949" i="1"/>
  <c r="D1950" i="1"/>
  <c r="H1950" i="1"/>
  <c r="I1950" i="1"/>
  <c r="D2015" i="1"/>
  <c r="H2015" i="1"/>
  <c r="D2016" i="1"/>
  <c r="H2016" i="1"/>
  <c r="D2017" i="1"/>
  <c r="H2017" i="1"/>
  <c r="D2018" i="1"/>
  <c r="H2018" i="1"/>
  <c r="D2019" i="1"/>
  <c r="H2019" i="1"/>
  <c r="D2020" i="1"/>
  <c r="H2020" i="1"/>
  <c r="D2021" i="1"/>
  <c r="H2021" i="1"/>
  <c r="D2022" i="1"/>
  <c r="H2022" i="1"/>
  <c r="D2080" i="1"/>
  <c r="H2080" i="1"/>
  <c r="I2080" i="1"/>
  <c r="D2081" i="1"/>
  <c r="H2081" i="1"/>
  <c r="I2081" i="1"/>
  <c r="D1964" i="1"/>
  <c r="E1964" i="1"/>
  <c r="H1964" i="1"/>
  <c r="D2083" i="1"/>
  <c r="E2083" i="1"/>
  <c r="H2083" i="1"/>
  <c r="D2068" i="1"/>
  <c r="E2068" i="1"/>
  <c r="H2068" i="1"/>
  <c r="D2045" i="1"/>
  <c r="E2045" i="1"/>
  <c r="H2045" i="1"/>
  <c r="D2069" i="1"/>
  <c r="E2069" i="1"/>
  <c r="H2069" i="1"/>
  <c r="D1960" i="1"/>
  <c r="E1960" i="1"/>
  <c r="H1960" i="1"/>
  <c r="D2070" i="1"/>
  <c r="E2070" i="1"/>
  <c r="H2070" i="1"/>
  <c r="D2071" i="1"/>
  <c r="H2071" i="1"/>
  <c r="I2071" i="1"/>
  <c r="D1932" i="1"/>
  <c r="E1932" i="1"/>
  <c r="H1932" i="1"/>
  <c r="I1932" i="1"/>
  <c r="D2046" i="1"/>
  <c r="E2046" i="1"/>
  <c r="H2046" i="1"/>
  <c r="I2046" i="1"/>
  <c r="D2023" i="1"/>
  <c r="H2023" i="1"/>
  <c r="I2023" i="1"/>
  <c r="D1953" i="1"/>
  <c r="E1953" i="1"/>
  <c r="H1953" i="1"/>
  <c r="I1953" i="1"/>
  <c r="D2109" i="1"/>
  <c r="E2109" i="1"/>
  <c r="H2109" i="1"/>
  <c r="I2109" i="1"/>
  <c r="D2047" i="1"/>
  <c r="E2047" i="1"/>
  <c r="H2047" i="1"/>
  <c r="D2048" i="1"/>
  <c r="E2048" i="1"/>
  <c r="H2048" i="1"/>
  <c r="I2048" i="1"/>
  <c r="D2110" i="1"/>
  <c r="E2110" i="1"/>
  <c r="H2110" i="1"/>
  <c r="D2111" i="1"/>
  <c r="E2111" i="1"/>
  <c r="H2111" i="1"/>
  <c r="I2111" i="1"/>
  <c r="D2112" i="1"/>
  <c r="E2112" i="1"/>
  <c r="H2112" i="1"/>
  <c r="I2112" i="1"/>
  <c r="D2040" i="1"/>
  <c r="E2040" i="1"/>
  <c r="H2040" i="1"/>
  <c r="D1951" i="1"/>
  <c r="E1951" i="1"/>
  <c r="H1951" i="1"/>
  <c r="D2113" i="1"/>
  <c r="E2113" i="1"/>
  <c r="H2113" i="1"/>
  <c r="D2114" i="1"/>
  <c r="E2114" i="1"/>
  <c r="H2114" i="1"/>
  <c r="D2115" i="1"/>
  <c r="E2115" i="1"/>
  <c r="H2115" i="1"/>
  <c r="D2116" i="1"/>
  <c r="E2116" i="1"/>
  <c r="H2116" i="1"/>
  <c r="I2116" i="1"/>
  <c r="D2049" i="1"/>
  <c r="H2049" i="1"/>
  <c r="I2049" i="1"/>
  <c r="D2117" i="1"/>
  <c r="E2117" i="1"/>
  <c r="H2117" i="1"/>
  <c r="D2041" i="1"/>
  <c r="E2041" i="1"/>
  <c r="H2041" i="1"/>
  <c r="I2041" i="1"/>
  <c r="D2042" i="1"/>
  <c r="E2042" i="1"/>
  <c r="H2042" i="1"/>
  <c r="I2042" i="1"/>
  <c r="D2050" i="1"/>
  <c r="E2050" i="1"/>
  <c r="H2050" i="1"/>
  <c r="D2051" i="1"/>
  <c r="E2051" i="1"/>
  <c r="H2051" i="1"/>
  <c r="D2052" i="1"/>
  <c r="E2052" i="1"/>
  <c r="H2052" i="1"/>
  <c r="D2043" i="1"/>
  <c r="E2043" i="1"/>
  <c r="H2043" i="1"/>
  <c r="D2002" i="1"/>
  <c r="E2002" i="1"/>
  <c r="H2002" i="1"/>
  <c r="I2002" i="1"/>
  <c r="D1965" i="1"/>
  <c r="E1965" i="1"/>
  <c r="H1965" i="1"/>
  <c r="I1965" i="1"/>
  <c r="D2003" i="1"/>
  <c r="E2003" i="1"/>
  <c r="H2003" i="1"/>
  <c r="D2084" i="1"/>
  <c r="E2084" i="1"/>
  <c r="H2084" i="1"/>
  <c r="I2084" i="1"/>
  <c r="D2066" i="1"/>
  <c r="E2066" i="1"/>
  <c r="H2066" i="1"/>
  <c r="I2066" i="1"/>
  <c r="D2007" i="1"/>
  <c r="E2007" i="1"/>
  <c r="H2007" i="1"/>
  <c r="I2007" i="1"/>
  <c r="D2008" i="1"/>
  <c r="E2008" i="1"/>
  <c r="H2008" i="1"/>
  <c r="I2008" i="1"/>
  <c r="D2098" i="1"/>
  <c r="E2098" i="1"/>
  <c r="H2098" i="1"/>
  <c r="I2098" i="1"/>
  <c r="D2099" i="1"/>
  <c r="E2099" i="1"/>
  <c r="H2099" i="1"/>
  <c r="D2100" i="1"/>
  <c r="H2100" i="1"/>
  <c r="I2100" i="1"/>
  <c r="D2024" i="1"/>
  <c r="H2024" i="1"/>
  <c r="I2024" i="1"/>
  <c r="D2030" i="1"/>
  <c r="E2030" i="1"/>
  <c r="H2030" i="1"/>
  <c r="D1996" i="1"/>
  <c r="H1996" i="1"/>
  <c r="I1996" i="1"/>
  <c r="D2025" i="1"/>
  <c r="H2025" i="1"/>
  <c r="D2026" i="1"/>
  <c r="H2026" i="1"/>
  <c r="D2085" i="1"/>
  <c r="H2085" i="1"/>
  <c r="I2085" i="1"/>
  <c r="D2101" i="1"/>
  <c r="H2101" i="1"/>
  <c r="D1935" i="1"/>
  <c r="H1935" i="1"/>
  <c r="I1935" i="1"/>
  <c r="D2031" i="1"/>
  <c r="H2031" i="1"/>
  <c r="D2032" i="1"/>
  <c r="H2032" i="1"/>
  <c r="D2053" i="1"/>
  <c r="H2053" i="1"/>
  <c r="I2053" i="1"/>
  <c r="D2054" i="1"/>
  <c r="H2054" i="1"/>
  <c r="I2054" i="1"/>
  <c r="D2033" i="1"/>
  <c r="H2033" i="1"/>
  <c r="I2033" i="1"/>
  <c r="D2055" i="1"/>
  <c r="E2055" i="1"/>
  <c r="H2055" i="1"/>
  <c r="I2055" i="1"/>
  <c r="D1936" i="1"/>
  <c r="E1936" i="1"/>
  <c r="H1936" i="1"/>
  <c r="I1936" i="1"/>
  <c r="D2067" i="1"/>
  <c r="H2067" i="1"/>
  <c r="I2067" i="1"/>
  <c r="D2086" i="1"/>
  <c r="H2086" i="1"/>
  <c r="I2086" i="1"/>
  <c r="D2005" i="1"/>
  <c r="H2005" i="1"/>
  <c r="I2005" i="1"/>
  <c r="D2006" i="1"/>
  <c r="H2006" i="1"/>
  <c r="D2034" i="1"/>
  <c r="H2034" i="1"/>
  <c r="I2034" i="1"/>
  <c r="D2000" i="1"/>
  <c r="E2000" i="1"/>
  <c r="H2000" i="1"/>
  <c r="D2082" i="1"/>
  <c r="H2082" i="1"/>
  <c r="I2082" i="1"/>
  <c r="D2027" i="1"/>
  <c r="E2027" i="1"/>
  <c r="H2027" i="1"/>
  <c r="D1957" i="1"/>
  <c r="E1957" i="1"/>
  <c r="H1957" i="1"/>
  <c r="D1958" i="1"/>
  <c r="E1958" i="1"/>
  <c r="H1958" i="1"/>
  <c r="D1959" i="1"/>
  <c r="E1959" i="1"/>
  <c r="H1959" i="1"/>
  <c r="D2009" i="1"/>
  <c r="E2009" i="1"/>
  <c r="H2009" i="1"/>
  <c r="I2009" i="1"/>
  <c r="D2011" i="1"/>
  <c r="H2011" i="1"/>
  <c r="I2011" i="1"/>
  <c r="D2122" i="1"/>
  <c r="E2122" i="1"/>
  <c r="H2122" i="1"/>
  <c r="I2122" i="1"/>
  <c r="D2167" i="1"/>
  <c r="E2167" i="1"/>
  <c r="H2167" i="1"/>
  <c r="I2167" i="1"/>
  <c r="D2158" i="1"/>
  <c r="E2158" i="1"/>
  <c r="H2158" i="1"/>
  <c r="D2172" i="1"/>
  <c r="H2172" i="1"/>
  <c r="I2172" i="1"/>
  <c r="D2163" i="1"/>
  <c r="H2163" i="1"/>
  <c r="I2163" i="1"/>
  <c r="D2174" i="1"/>
  <c r="E2174" i="1"/>
  <c r="H2174" i="1"/>
  <c r="I2174" i="1"/>
  <c r="D2171" i="1"/>
  <c r="E2171" i="1"/>
  <c r="H2171" i="1"/>
  <c r="D2164" i="1"/>
  <c r="H2164" i="1"/>
  <c r="I2164" i="1"/>
  <c r="D2165" i="1"/>
  <c r="H2165" i="1"/>
  <c r="I2165" i="1"/>
  <c r="D2173" i="1"/>
  <c r="E2173" i="1"/>
  <c r="H2173" i="1"/>
  <c r="I2173" i="1"/>
  <c r="D2166" i="1"/>
  <c r="H2166" i="1"/>
  <c r="I2166" i="1"/>
  <c r="D2131" i="1"/>
  <c r="E2131" i="1"/>
  <c r="H2131" i="1"/>
  <c r="I2131" i="1"/>
  <c r="D2168" i="1"/>
  <c r="E2168" i="1"/>
  <c r="H2168" i="1"/>
  <c r="I2168" i="1"/>
  <c r="D2147" i="1"/>
  <c r="E2147" i="1"/>
  <c r="H2147" i="1"/>
  <c r="I2147" i="1"/>
  <c r="D2135" i="1"/>
  <c r="H2135" i="1"/>
  <c r="I2135" i="1"/>
  <c r="D2136" i="1"/>
  <c r="H2136" i="1"/>
  <c r="I2136" i="1"/>
  <c r="D2160" i="1"/>
  <c r="H2160" i="1"/>
  <c r="I2160" i="1"/>
  <c r="D2161" i="1"/>
  <c r="H2161" i="1"/>
  <c r="I2161" i="1"/>
  <c r="D2162" i="1"/>
  <c r="H2162" i="1"/>
  <c r="I2162" i="1"/>
  <c r="D2169" i="1"/>
  <c r="E2169" i="1"/>
  <c r="H2169" i="1"/>
  <c r="D2170" i="1"/>
  <c r="E2170" i="1"/>
  <c r="H2170" i="1"/>
  <c r="D2148" i="1"/>
  <c r="E2148" i="1"/>
  <c r="H2148" i="1"/>
  <c r="I2148" i="1"/>
  <c r="D2157" i="1"/>
  <c r="E2157" i="1"/>
  <c r="H2157" i="1"/>
  <c r="I2157" i="1"/>
  <c r="D2159" i="1"/>
  <c r="H2159" i="1"/>
  <c r="I2159" i="1"/>
  <c r="D2149" i="1"/>
  <c r="E2149" i="1"/>
  <c r="H2149" i="1"/>
  <c r="I2149" i="1"/>
  <c r="D2141" i="1"/>
  <c r="E2141" i="1"/>
  <c r="H2141" i="1"/>
  <c r="D2142" i="1"/>
  <c r="E2142" i="1"/>
  <c r="H2142" i="1"/>
  <c r="D2153" i="1"/>
  <c r="E2153" i="1"/>
  <c r="H2153" i="1"/>
  <c r="D2154" i="1"/>
  <c r="H2154" i="1"/>
  <c r="I2154" i="1"/>
  <c r="D2155" i="1"/>
  <c r="E2155" i="1"/>
  <c r="H2155" i="1"/>
  <c r="D2150" i="1"/>
  <c r="H2150" i="1"/>
  <c r="I2150" i="1"/>
  <c r="D2134" i="1"/>
  <c r="E2134" i="1"/>
  <c r="H2134" i="1"/>
  <c r="D2151" i="1"/>
  <c r="E2151" i="1"/>
  <c r="H2151" i="1"/>
  <c r="I2151" i="1"/>
  <c r="D2156" i="1"/>
  <c r="E2156" i="1"/>
  <c r="H2156" i="1"/>
  <c r="I2156" i="1"/>
  <c r="D2130" i="1"/>
  <c r="H2130" i="1"/>
  <c r="I2130" i="1"/>
  <c r="D2133" i="1"/>
  <c r="H2133" i="1"/>
  <c r="I2133" i="1"/>
  <c r="D2143" i="1"/>
  <c r="E2143" i="1"/>
  <c r="H2143" i="1"/>
  <c r="D2152" i="1"/>
  <c r="H2152" i="1"/>
  <c r="I2152" i="1"/>
  <c r="D2128" i="1"/>
  <c r="H2128" i="1"/>
  <c r="I2128" i="1"/>
  <c r="D2137" i="1"/>
  <c r="H2137" i="1"/>
  <c r="I2137" i="1"/>
  <c r="D2124" i="1"/>
  <c r="H2124" i="1"/>
  <c r="I2124" i="1"/>
  <c r="D2132" i="1"/>
  <c r="H2132" i="1"/>
  <c r="I2132" i="1"/>
  <c r="D2140" i="1"/>
  <c r="E2140" i="1"/>
  <c r="H2140" i="1"/>
  <c r="I2140" i="1"/>
  <c r="D2129" i="1"/>
  <c r="E2129" i="1"/>
  <c r="H2129" i="1"/>
  <c r="I2129" i="1"/>
  <c r="D2138" i="1"/>
  <c r="H2138" i="1"/>
  <c r="I2138" i="1"/>
  <c r="D2125" i="1"/>
  <c r="H2125" i="1"/>
  <c r="I2125" i="1"/>
  <c r="D2139" i="1"/>
  <c r="H2139" i="1"/>
  <c r="I2139" i="1"/>
  <c r="D2127" i="1"/>
  <c r="E2127" i="1"/>
  <c r="H2127" i="1"/>
  <c r="I2127" i="1"/>
  <c r="D2144" i="1"/>
  <c r="H2144" i="1"/>
  <c r="I2144" i="1"/>
  <c r="D2126" i="1"/>
  <c r="H2126" i="1"/>
  <c r="I2126" i="1"/>
  <c r="D2145" i="1"/>
  <c r="E2145" i="1"/>
  <c r="H2145" i="1"/>
  <c r="I2145" i="1"/>
  <c r="D2146" i="1"/>
  <c r="E2146" i="1"/>
  <c r="H2146" i="1"/>
  <c r="I2146" i="1"/>
  <c r="D2123" i="1"/>
  <c r="E2123" i="1"/>
  <c r="H2123" i="1"/>
  <c r="I2123" i="1"/>
  <c r="D2191" i="1"/>
  <c r="E2191" i="1"/>
  <c r="H2191" i="1"/>
  <c r="D2204" i="1"/>
  <c r="H2204" i="1"/>
  <c r="I2204" i="1"/>
  <c r="D2192" i="1"/>
  <c r="E2192" i="1"/>
  <c r="H2192" i="1"/>
  <c r="D2193" i="1"/>
  <c r="E2193" i="1"/>
  <c r="H2193" i="1"/>
  <c r="I2193" i="1"/>
  <c r="D2215" i="1"/>
  <c r="E2215" i="1"/>
  <c r="H2215" i="1"/>
  <c r="D2216" i="1"/>
  <c r="E2216" i="1"/>
  <c r="H2216" i="1"/>
  <c r="D2205" i="1"/>
  <c r="H2205" i="1"/>
  <c r="I2205" i="1"/>
  <c r="D2194" i="1"/>
  <c r="H2194" i="1"/>
  <c r="I2194" i="1"/>
  <c r="D2217" i="1"/>
  <c r="E2217" i="1"/>
  <c r="H2217" i="1"/>
  <c r="I2217" i="1"/>
  <c r="D2218" i="1"/>
  <c r="E2218" i="1"/>
  <c r="H2218" i="1"/>
  <c r="D2195" i="1"/>
  <c r="E2195" i="1"/>
  <c r="H2195" i="1"/>
  <c r="D2206" i="1"/>
  <c r="E2206" i="1"/>
  <c r="H2206" i="1"/>
  <c r="D2196" i="1"/>
  <c r="E2196" i="1"/>
  <c r="H2196" i="1"/>
  <c r="D2197" i="1"/>
  <c r="E2197" i="1"/>
  <c r="H2197" i="1"/>
  <c r="D2198" i="1"/>
  <c r="E2198" i="1"/>
  <c r="H2198" i="1"/>
  <c r="D2199" i="1"/>
  <c r="E2199" i="1"/>
  <c r="H2199" i="1"/>
  <c r="D2185" i="1"/>
  <c r="E2185" i="1"/>
  <c r="H2185" i="1"/>
  <c r="I2185" i="1"/>
  <c r="D2213" i="1"/>
  <c r="H2213" i="1"/>
  <c r="D2180" i="1"/>
  <c r="E2180" i="1"/>
  <c r="H2180" i="1"/>
  <c r="I2180" i="1"/>
  <c r="D2179" i="1"/>
  <c r="H2179" i="1"/>
  <c r="D2184" i="1"/>
  <c r="E2184" i="1"/>
  <c r="H2184" i="1"/>
  <c r="D2219" i="1"/>
  <c r="E2219" i="1"/>
  <c r="H2219" i="1"/>
  <c r="D2186" i="1"/>
  <c r="E2186" i="1"/>
  <c r="H2186" i="1"/>
  <c r="I2186" i="1"/>
  <c r="D2187" i="1"/>
  <c r="H2187" i="1"/>
  <c r="I2187" i="1"/>
  <c r="D2202" i="1"/>
  <c r="E2202" i="1"/>
  <c r="H2202" i="1"/>
  <c r="I2202" i="1"/>
  <c r="D2214" i="1"/>
  <c r="E2214" i="1"/>
  <c r="H2214" i="1"/>
  <c r="I2214" i="1"/>
  <c r="D2203" i="1"/>
  <c r="E2203" i="1"/>
  <c r="H2203" i="1"/>
  <c r="D2188" i="1"/>
  <c r="E2188" i="1"/>
  <c r="H2188" i="1"/>
  <c r="D2189" i="1"/>
  <c r="E2189" i="1"/>
  <c r="H2189" i="1"/>
  <c r="D2181" i="1"/>
  <c r="E2181" i="1"/>
  <c r="H2181" i="1"/>
  <c r="D2175" i="1"/>
  <c r="E2175" i="1"/>
  <c r="H2175" i="1"/>
  <c r="D2176" i="1"/>
  <c r="E2176" i="1"/>
  <c r="H2176" i="1"/>
  <c r="D2177" i="1"/>
  <c r="E2177" i="1"/>
  <c r="H2177" i="1"/>
  <c r="D2178" i="1"/>
  <c r="E2178" i="1"/>
  <c r="H2178" i="1"/>
  <c r="D2207" i="1"/>
  <c r="E2207" i="1"/>
  <c r="H2207" i="1"/>
  <c r="D2208" i="1"/>
  <c r="E2208" i="1"/>
  <c r="H2208" i="1"/>
  <c r="I2208" i="1"/>
  <c r="D2182" i="1"/>
  <c r="E2182" i="1"/>
  <c r="H2182" i="1"/>
  <c r="I2182" i="1"/>
  <c r="D2209" i="1"/>
  <c r="E2209" i="1"/>
  <c r="H2209" i="1"/>
  <c r="D2183" i="1"/>
  <c r="H2183" i="1"/>
  <c r="D2210" i="1"/>
  <c r="E2210" i="1"/>
  <c r="H2210" i="1"/>
  <c r="D2190" i="1"/>
  <c r="H2190" i="1"/>
  <c r="I2190" i="1"/>
  <c r="D2211" i="1"/>
  <c r="E2211" i="1"/>
  <c r="H2211" i="1"/>
  <c r="D2212" i="1"/>
  <c r="E2212" i="1"/>
  <c r="H2212" i="1"/>
  <c r="D2200" i="1"/>
  <c r="H2200" i="1"/>
  <c r="I2200" i="1"/>
  <c r="D2201" i="1"/>
  <c r="E2201" i="1"/>
  <c r="H2201" i="1"/>
  <c r="I2201" i="1"/>
  <c r="D2229" i="1"/>
  <c r="H2229" i="1"/>
  <c r="I2229" i="1"/>
  <c r="D2220" i="1"/>
  <c r="E2220" i="1"/>
  <c r="H2220" i="1"/>
  <c r="I2220" i="1"/>
  <c r="D2233" i="1"/>
  <c r="E2233" i="1"/>
  <c r="H2233" i="1"/>
  <c r="I2233" i="1"/>
  <c r="D2234" i="1"/>
  <c r="E2234" i="1"/>
  <c r="H2234" i="1"/>
  <c r="I2234" i="1"/>
  <c r="D2230" i="1"/>
  <c r="E2230" i="1"/>
  <c r="H2230" i="1"/>
  <c r="I2230" i="1"/>
  <c r="D2237" i="1"/>
  <c r="E2237" i="1"/>
  <c r="H2237" i="1"/>
  <c r="D2238" i="1"/>
  <c r="E2238" i="1"/>
  <c r="H2238" i="1"/>
  <c r="I2238" i="1"/>
  <c r="D2241" i="1"/>
  <c r="E2241" i="1"/>
  <c r="H2241" i="1"/>
  <c r="D2242" i="1"/>
  <c r="E2242" i="1"/>
  <c r="H2242" i="1"/>
  <c r="I2242" i="1"/>
  <c r="D2231" i="1"/>
  <c r="E2231" i="1"/>
  <c r="H2231" i="1"/>
  <c r="I2231" i="1"/>
  <c r="D2226" i="1"/>
  <c r="E2226" i="1"/>
  <c r="H2226" i="1"/>
  <c r="I2226" i="1"/>
  <c r="D2227" i="1"/>
  <c r="E2227" i="1"/>
  <c r="H2227" i="1"/>
  <c r="I2227" i="1"/>
  <c r="D2228" i="1"/>
  <c r="E2228" i="1"/>
  <c r="H2228" i="1"/>
  <c r="I2228" i="1"/>
  <c r="D2236" i="1"/>
  <c r="E2236" i="1"/>
  <c r="H2236" i="1"/>
  <c r="I2236" i="1"/>
  <c r="D2239" i="1"/>
  <c r="E2239" i="1"/>
  <c r="H2239" i="1"/>
  <c r="D2240" i="1"/>
  <c r="E2240" i="1"/>
  <c r="H2240" i="1"/>
  <c r="D2235" i="1"/>
  <c r="E2235" i="1"/>
  <c r="H2235" i="1"/>
  <c r="D2222" i="1"/>
  <c r="E2222" i="1"/>
  <c r="H2222" i="1"/>
  <c r="I2222" i="1"/>
  <c r="D2223" i="1"/>
  <c r="E2223" i="1"/>
  <c r="H2223" i="1"/>
  <c r="I2223" i="1"/>
  <c r="D2224" i="1"/>
  <c r="E2224" i="1"/>
  <c r="H2224" i="1"/>
  <c r="I2224" i="1"/>
  <c r="D2232" i="1"/>
  <c r="E2232" i="1"/>
  <c r="H2232" i="1"/>
  <c r="I2232" i="1"/>
  <c r="D2225" i="1"/>
  <c r="E2225" i="1"/>
  <c r="H2225" i="1"/>
  <c r="I2225" i="1"/>
  <c r="D2221" i="1"/>
  <c r="E2221" i="1"/>
  <c r="H2221" i="1"/>
  <c r="I2221" i="1"/>
  <c r="D2243" i="1"/>
  <c r="H2243" i="1"/>
  <c r="I2243" i="1"/>
</calcChain>
</file>

<file path=xl/sharedStrings.xml><?xml version="1.0" encoding="utf-8"?>
<sst xmlns="http://schemas.openxmlformats.org/spreadsheetml/2006/main" count="38058" uniqueCount="12536">
  <si>
    <t>STATE</t>
  </si>
  <si>
    <t>STATION NAME - LEA</t>
  </si>
  <si>
    <t>REQUISITION ID</t>
  </si>
  <si>
    <t>FSC</t>
  </si>
  <si>
    <t>NIIN</t>
  </si>
  <si>
    <t>ITEM NAME</t>
  </si>
  <si>
    <t>UI</t>
  </si>
  <si>
    <t>QUANTITY</t>
  </si>
  <si>
    <t>ACQUISITION VALUE</t>
  </si>
  <si>
    <t>DATE SHIPPED</t>
  </si>
  <si>
    <t>JUSTIFICATION</t>
  </si>
  <si>
    <t>AK</t>
  </si>
  <si>
    <t>ANCHORAGE POLICE DEPARTMENT (2YTN5E)</t>
  </si>
  <si>
    <t>2YTN5E61280457</t>
  </si>
  <si>
    <t>DSGYM0000</t>
  </si>
  <si>
    <t>GYM</t>
  </si>
  <si>
    <t>EA</t>
  </si>
  <si>
    <t>FOR USE BY THE ANCHORAGE POLICE DEPARTMENT IN PHYSICAL FITNESS TRAINING CARDIO VASCULAR FITNESS.</t>
  </si>
  <si>
    <t>AL</t>
  </si>
  <si>
    <t>ALABAMA LAW ENFORCEMENT AGENCY (2YTN4N)</t>
  </si>
  <si>
    <t>2YTN4N60440536</t>
  </si>
  <si>
    <t>AIRCRAFT COMPONENT</t>
  </si>
  <si>
    <t xml:space="preserve">THE ALABAMA LAW ENFORCEMENT AGENCY CURRENTLY OPERATES A FLEET OF EIGHT OH58 HELICOPTERS.  THE UNIT SUPPORTS STATE, LOCAL AND FEDERAL AGENCIES IN A LAW ENFORCEMENT CAPACITY.  THESE AIRCRAFT ARE USED FOR SEARCHES FOR MISSING CHILDREN, MISSING ALZHEIMER'S PATIENTS, AND FLEEING FUGITIVES.  WE ALSO SUPPORT DRUG ERADICATION PROGRAMS AND HOMELAND SECURITY MISSIONS.  THESE PARTS WILL CONTINUE TO SUSTAIN UNIT OPERATIONS FOR THE FUTURE.
</t>
  </si>
  <si>
    <t>BARBOUR COUNTY SHERIFF DEPT (2YTAV9)</t>
  </si>
  <si>
    <t>2YTAV961078610</t>
  </si>
  <si>
    <t>FIRING DEVICE,NON-LETHAL</t>
  </si>
  <si>
    <t>THE BARBOUR COUNTY SHERIFF OFFICE WILL USE THIS EQUIPMENT FOR NON- LETHAL ENGAGEMENTS WITHIN OUR PATROL DIVISION AND COUNTY JAIL.</t>
  </si>
  <si>
    <t>2YTAV961421365</t>
  </si>
  <si>
    <t>HOLSTER,PISTOL</t>
  </si>
  <si>
    <t>THE BARBOUR COUNTY SHERIFF'S OFFICE WOULD USE THESE ITEMS FOR THE SPECIAL RESPONSE TEAM.</t>
  </si>
  <si>
    <t>CLARKE COUNTY SHERIFFS OFFICE (2YTCFW)</t>
  </si>
  <si>
    <t>2YTCFW60937102</t>
  </si>
  <si>
    <t>CASE,SMALL ARMS</t>
  </si>
  <si>
    <t>THE CLARKE COUNTY SHERIFF'S OFFICE WOULD LIKE TO ACQUIRE THIS EQUIPMENT TO BE UTILIZED BY OUR OFFICERS FOR THE SAFE AND SECURE TRANSPORTATION OF WEAPONS AND TRAINING WEAPONS</t>
  </si>
  <si>
    <t>2YTCFW61491994</t>
  </si>
  <si>
    <t>ROPE,FIBROUS</t>
  </si>
  <si>
    <t>THE CLARKE COUNTY SHERIFF'S OFFICE WOULD LIKE TO ACQUIRE THIS EQUIPMENT TO  BE UTILIZED BY OUR OFFICERS FOR SEVERAL DIFFERENT SCENARIOS, TO INCLUDE BUT NOT LIMITED TO RESCUE LINES, ROPING OFF AREAS, BUILDING CLEARING, AND OTHER USES.</t>
  </si>
  <si>
    <t>2YTCFW60937105</t>
  </si>
  <si>
    <t>DSCOT0000</t>
  </si>
  <si>
    <t>COT</t>
  </si>
  <si>
    <t>THE CLARKE COUNTY SHERIFFS OFFICE WOULD LIKE TO ACQUIRE THIS EQUIPMENT TO BE UTILIZED BY OUR OFFICERS FOR USE DURING TRAINING, SPECIAL OPERATIONS, NATURAL DISASTERS, AND OTHER SPECIAL EVOLUTIONS. CAN ALSO BE UTILIZED FOR USE FOR CITIZENS DURING NATURAL DISASTERS</t>
  </si>
  <si>
    <t>2YTCFW60866705</t>
  </si>
  <si>
    <t>CAP,WORKING</t>
  </si>
  <si>
    <t>THE CLARKE COUNTY SHERIFF'S OFFICE WOULD LIKE TO ACQUIRE THIS EQUIPMENT TO BE UTILIZED BY OUR OFFICERS FOR HEAD PROTECTION DURING OUTDOOR OPERATIONS, SPECIAL OPERATIONS, AND SEARCH AND RESCUE OPERATIONS</t>
  </si>
  <si>
    <t>2YTCFW60866716</t>
  </si>
  <si>
    <t>CAP,SERVICE</t>
  </si>
  <si>
    <t>THE CLARKE COUNTY SHERIFF'S OFFICE WOULD LIKE  TO ACQUIRE THIS EQUIPMENT TO BE UTILIZED BY OUR OFFICERS FOR HEAD PROTECTION DURING OUTDOOR OPERATIONS, SPECIAL OPERATIONS, SEARCH AND RESCUE OPERATIONS AND TRAINING</t>
  </si>
  <si>
    <t>2YTCFW61078996</t>
  </si>
  <si>
    <t>JACKET,FLYER'S</t>
  </si>
  <si>
    <t>THE CLARKE COUNTY SHERIFF'S OFFICE WOULD LIKE TO ACQUIRE THIS EQUIPMENT TO BE UTILIZED FOR CLOTHING FOR THE MOTORCYCLE OFFICERS</t>
  </si>
  <si>
    <t>2YTCFW60937103</t>
  </si>
  <si>
    <t>CARRIER, ENTRENCHING TOOL</t>
  </si>
  <si>
    <t>THE CLARKE COUNTY SHERIFF'S OFFICE WOULD LIKE TO ACQUIRE THIS EQUIPMENT TO UTILIZED BY OUR OFFICERS FOR USE WITH THE ENTRENCHING TOOL AND AN EFFICIENT AND SECURE WAY TO ATTACH THE EQUIPMENT TO BELTS OR PACKS</t>
  </si>
  <si>
    <t>2YTCFW60937113</t>
  </si>
  <si>
    <t>STUFF,SACK</t>
  </si>
  <si>
    <t>THE CLARKE CUNTY SHERIFF'S OFFICE WOULD LIKE TO  ACQUIRE THIS EQUIPMENT TO BE UTILIZED BY OUR OFFICERS TO CARRY THE SLEEPING BAG AND REDUCE THE SPACE NEEDED FOR THE SLEEPING BAG.</t>
  </si>
  <si>
    <t>2YTCFW60937111</t>
  </si>
  <si>
    <t>TACTICAL ASSAULT PA</t>
  </si>
  <si>
    <t>THE CLARKE COUNTY SHERIFF'S OFFICE WOULD LIKE TO ACQUIRE THIS EQUIPMENT TO BE UTILIZED BY OUR OFFICERS FOR CARRYING EMERGENCY EQUIPMENT AND SUPPLIES DURING SPECIAL OPERATIONS, NATURAL DISASTERS, SEARCH AND RESCUE OPERATIONS, ACTIVE SHOOTER SCENARIOS, AND TERRORIST INCIDENTS.</t>
  </si>
  <si>
    <t>DALE COUNTY SHERIFF OFFICE (2YTC28)</t>
  </si>
  <si>
    <t>2YTC2860936957</t>
  </si>
  <si>
    <t>DSCART000</t>
  </si>
  <si>
    <t>CART, MOTORIZED</t>
  </si>
  <si>
    <t>DALE COUNTY SHERIFF'S OFFICE IS REQUESTING THIS CART FOR OUR DEPUTIES, RESERVES, AND RETIRED DEPUTIES TO USE FOR OUR NEW SOS SERVE OUR SENIORS PROGRAM WHERE WE WILL MAKE WEEKLY VISITS TO SENIORS WHO HAVE NO ONE CHECKING ON THEM AND PROVIDE ASSISTANCE AND FELLOWSHIP.</t>
  </si>
  <si>
    <t>2YTC2860936958</t>
  </si>
  <si>
    <t>2YTC2861421490</t>
  </si>
  <si>
    <t>FLOODLIGHT SET,ELEC</t>
  </si>
  <si>
    <t>DALE COUNTY SHERIFF'S OFFICE IS REQUESTING THESE TRAILERS FOR OUR DEPUTIES TO ILLUMINATE CRIME SCENES AND CRITICAL EVENTS IN LOW LIGHT CONDITIONS AND ENVIRONMENTS.</t>
  </si>
  <si>
    <t>ENTERPRISE STATE COMM COLL PD HI_ED (2YTRM4)</t>
  </si>
  <si>
    <t>2YTRM461421449</t>
  </si>
  <si>
    <t>DSTRAILE1</t>
  </si>
  <si>
    <t>TRAILER</t>
  </si>
  <si>
    <t>THE ENCLOSED TRAILER WILL PROVIDE SECURE TRANSPORTATION AND STORAGE FOR CRITICAL EQUIPMENT USED DURING EMERGENCY RESPONSE OPERATIONS, ACTIVE THREAT INCIDENTS, LARGE PUBLIC EVENTS, TRAINING EXERCISES, AND DISASTER RESPONSE MISSIONS. THE TRAILER WILL ALLOW THE DEPARTMENT TO RAPIDLY DEPLOY TRAFFIC CONTROL DEVICES, BARRICADES, COMMUNICATIONS EQUIPMENT, PORTABLE LIGHTING, GENERATORS, EVIDENCE COLLECTION EQUIPMENT, AND OTHER LE OPERATIONAL RESOURCES TO VARIOUS JURISDICTIONAL LOCATIONS</t>
  </si>
  <si>
    <t>FULTONDALE POLICE DEPT (2YTEEJ)</t>
  </si>
  <si>
    <t>2YTEEJ61703389</t>
  </si>
  <si>
    <t>DSTRUTRAA</t>
  </si>
  <si>
    <t>TRUCK AND TRACTOR ATTACHMENTS</t>
  </si>
  <si>
    <t>THE FULTONDALE PD WILL USE THIS BUSH HOG TO KEEP THE GRASS CUT ON OUR FIREARMS RANGE PROPERTY. IT WILL ALSO BE USED FOR NATURAL DISASTER PREPAREDNESS.</t>
  </si>
  <si>
    <t>2YTEEJ61703404</t>
  </si>
  <si>
    <t>THIS CUTTER WILL BE USED BY THE FULTONDALE PD TO CUT THE GRASS AT OUR FIREARM'S RANGE PROPERTY AND FOR NATURAL DISASTER PREPAREDNESS.,</t>
  </si>
  <si>
    <t>HEADLAND POLICE DEPT (2YTE9E)</t>
  </si>
  <si>
    <t>2YTE9E61210551</t>
  </si>
  <si>
    <t>THE HEADLAND POLICE DEPARTMENT AND OFFICERS WOULD BENEFIT FROM THIS EQUIPMENT BY HAVING THE MEANS TO TRANSPORT EQUIPMENT TO AREAS OF NEEDS IN A SAFE MANNER.</t>
  </si>
  <si>
    <t>2YTE9E61007972</t>
  </si>
  <si>
    <t>DSATV4WHE</t>
  </si>
  <si>
    <t>ALL TERRAIN VEHICLE, 4 WHEEL</t>
  </si>
  <si>
    <t>THE HEADLAND POLICE DEPARTMENT AND OFFICERS WOULD BENEFIT FROM THIS PROPERTY BY HAVING THE MEANS OF TRANSPORTATION OF OFFICERS TO AREAS OF NEED IN A SAFE MANNER.</t>
  </si>
  <si>
    <t>2YTE9E61078508</t>
  </si>
  <si>
    <t>DSTOOLKIT</t>
  </si>
  <si>
    <t>SETS, KITS, AND OUTFITS OF HAND TOOLS</t>
  </si>
  <si>
    <t>THE HEADLAND POLICE DEPARTMENT WOULD BENEFIT FROM THIS EQUIPMENT BY HAVING THE NECESSARY EQUIPMENT TO MAINTAIN WORKING EQIPMENT NEEDED FOR THE SAFETY OF THEIR JOBS.</t>
  </si>
  <si>
    <t>2YTE9E61078509</t>
  </si>
  <si>
    <t>JEFFERSON COUNTY SHERIFF'S OFFICE (2YTFX4)</t>
  </si>
  <si>
    <t>2YTFX460867360</t>
  </si>
  <si>
    <t>DSSWEPASA</t>
  </si>
  <si>
    <t>WEAPON ACCESSORIES DEMIL A</t>
  </si>
  <si>
    <t>THESE WOULD BE USED BY LAW ENFORCEMENT AT JEFFERSON COUNTY SHERIFF'S OFFICE. THEY WOULD BE USED FOR DEPUTIES THAT ARE ISSUED SHOTGUNS AND TEMPORARY PISTOL HOLSTERS WHEN OTHERS ARE BROKEN</t>
  </si>
  <si>
    <t>2YTFX461562664</t>
  </si>
  <si>
    <t>TRACTOR,WHEELED,INDUSTRIAL</t>
  </si>
  <si>
    <t>THIS WOULD BE USED BY LAW ENFORCEMENT AT THE JEFFERSON COUNTY SHERIFF'S OFFICE TO MAINTAIN THE SHOOTING AND EXPLOSIVES RANGE. AS WELL AS THE FARM USED FOR ANIMAL CRUELTY INVESTIGATIONS</t>
  </si>
  <si>
    <t>2YTFX461280056</t>
  </si>
  <si>
    <t>LOADER,SCOOP TYPE,FULL TRACKED</t>
  </si>
  <si>
    <t>THIS WILL BE USED BY LAW ENFORCEMENT AT JEFFERSON COUNTY SHERIFF'S OFFICE TO CLEAR FOR NEW K9 KENNELS, AND MAINTAIN THE PROPERTY USED FOR ANIMAL CRUELTY INVESTIGATIONS.</t>
  </si>
  <si>
    <t>2YTFX461350848</t>
  </si>
  <si>
    <t>THIS WOULD BE USED TO REPLACE THE BUCKET ON A SKID STEER THAT IS USED BY LAW ENFORCEMENT AT JEFFERSON COUNTY SHERIFF'S OFFICE SHOOTING RANGE. THE CURRENT BUCKET IS SEVERELY DAMAGED AND ALMOST UNUSABLE.</t>
  </si>
  <si>
    <t>2YTFX461350849</t>
  </si>
  <si>
    <t>2YTFX460866175</t>
  </si>
  <si>
    <t>DSMISCCO0</t>
  </si>
  <si>
    <t>MISCELLANEOUS CONSTRUCTION EQUIPMENT</t>
  </si>
  <si>
    <t>THIS WILL BE USED BY LAW ENFORCEMENT AT THE JEFFERSON COUNTY SHERIFF'S TRAINING CENTER TO REPAIR DRAINAGE ISSUES ON THE SHOOTING RANGES</t>
  </si>
  <si>
    <t>2YTFX461280068</t>
  </si>
  <si>
    <t>DSCABINE6</t>
  </si>
  <si>
    <t>CABINET, STORAGE</t>
  </si>
  <si>
    <t>THESE WILL BE USED BY LAW ENFORCEMENT AT THE JEFFERSON COUNTY SHERIFF'S OFFICE AIR SUPPORT UNIT TO STORE FLAMMABLE MATERIALS AT THE HANGER</t>
  </si>
  <si>
    <t>2YTFX461280145</t>
  </si>
  <si>
    <t>THESE WILL BE USED BY LAW ENFORCEMENT IN THE JEFFERSON COUNTY SHERIFF'S OFFICE AIR SUPPORT UNIT TO STORE FLAMMABLE MATERIALS.</t>
  </si>
  <si>
    <t>2YTFX460937359</t>
  </si>
  <si>
    <t>CONTAINER,FREIGHT,G</t>
  </si>
  <si>
    <t>THIS WOULD BE USED BY LAW ENFORCEMENT AT THE JEFFERSON COUNTY SHERIFF'S OFFICE ANIMAL CRUELTY DIVISION. IT WOULD STORE SUPPLIES SUCH AS FOOD, BEDDING, AND MEDICAL</t>
  </si>
  <si>
    <t>2YTFX460937357</t>
  </si>
  <si>
    <t>KINSEY POLICE DEPARTMENT (2YTRAR)</t>
  </si>
  <si>
    <t>2YTRAR60725773</t>
  </si>
  <si>
    <t>SEMITRAILER,LOW BED</t>
  </si>
  <si>
    <t>THIS WOULD ASSIST THE KINSEY POLICE DEPARTMENT IN BEING ABLE TO REMOVE ITEMS FROM LESO PROGRAM WHEN AWARDED IT. AND MOVING ITEMS FROM PLACE TO PLACE WHILE WE USE IT</t>
  </si>
  <si>
    <t>2YTRAR60866474</t>
  </si>
  <si>
    <t>DSMILLMAC</t>
  </si>
  <si>
    <t>SAWMILL AND PLANING MILL MACHINERY</t>
  </si>
  <si>
    <t>THIS WOULD ASSIST THE KINSEY POLICE DEPARTMENT IN BUILDING OUR BUILIDING AT THE FIRING RANGE TO SAVE MONEY ON LUMBER WHEN WE CAN CUT THEM OURSELVES AND USE OUR OWN LUMBER</t>
  </si>
  <si>
    <t>2YTRAR60795672</t>
  </si>
  <si>
    <t>TORCH OUTFIT,WELDING,GAS SHIELDED ARC</t>
  </si>
  <si>
    <t>THIS WOULD ASSIST THE KINSEY POLICE DEPARTMENT IN HAVING A MACHINE TO WELD OUR PUSH BARS BACK TOGETHER WHEN NEEDED AND WELD METAL TARGETS TOGETHER AT OUR SHOOTING RANGE</t>
  </si>
  <si>
    <t>2YTRAR6106JG30</t>
  </si>
  <si>
    <t>LOADER,SCOOP TYPE</t>
  </si>
  <si>
    <t>2YTRAR60795648</t>
  </si>
  <si>
    <t>DSSWEEPER</t>
  </si>
  <si>
    <t>ROAD CLEARING, CLEANING, AND MARKING</t>
  </si>
  <si>
    <t>THIS WOULD ASSIST THE KINSEY POLICE DEPARTMENT IN ACCESSING THE ROADWAYS AFTER SEVER WEATHER SO THAT WE CAN RENDER FIRST AID TO CITIZENS ALSO HELP OUR SMALL DEPARTMENT SAVE MONEY BY CLEANING OUR ROADWAYS FROM DEBRIS THAT CAN PUNCHER OUR TIRES.</t>
  </si>
  <si>
    <t>2YTRAR60725215</t>
  </si>
  <si>
    <t>DSAIRCOND</t>
  </si>
  <si>
    <t>AIR CONDITIONER</t>
  </si>
  <si>
    <t>THIS WOULD ASSIST THE KINSEY POLICE DEPARTMENT IN HAVING AIR IN OUR CLOSED BARN AT THE FIRING RANGE AND CHANGING THE OLD UNIT AT THE POLICE DEPARTMENT SO THAT IT WILL COOL BETTER AND AT POLICE DEPARTMENT MAINTENANCE SHOP</t>
  </si>
  <si>
    <t>2YTRAR60866478</t>
  </si>
  <si>
    <t>DSLADDER2</t>
  </si>
  <si>
    <t>LADDER, SCAFFOLDING</t>
  </si>
  <si>
    <t>THIS WOULD ASSIST THE KINSEY POLICE DEPARTMENT TO GET ON TOP OF THE ROOF OF THE BUILDING THAT WE ARE BUILDING AT THE FIRING RANGE TO PUT TIN ON TOP OF IT</t>
  </si>
  <si>
    <t>2YTRAR60725653</t>
  </si>
  <si>
    <t>DSDETECT0</t>
  </si>
  <si>
    <t>MISCELLANEOUS ALARM, SECURITY DETECTION</t>
  </si>
  <si>
    <t>THIS WOULD ASSIST THE KINSEY POLICE DEPARTMENT IN PUTTING A  ALARM SYSTEM AT THE POLICE DEPARTMENT</t>
  </si>
  <si>
    <t>2YTRAR6106JG34</t>
  </si>
  <si>
    <t>DSSIGN000</t>
  </si>
  <si>
    <t>SIGNS, AD DISPLAYS, AND ID PLATES</t>
  </si>
  <si>
    <t>LEVEL PLAINS POLICE DEPARTMENT (2YTRNR)</t>
  </si>
  <si>
    <t>2YTRNR61219736</t>
  </si>
  <si>
    <t>LEVEL PLAINS POLICE DEPTARTMENT WOULD UTILIZE T0 HAUL 133 OTEMS AWARDED AS WELL AS OTHER POLICE EQUIPMENT THAT NEEDS TO BE HAUL INCLOSED</t>
  </si>
  <si>
    <t>2YTRNR60866729</t>
  </si>
  <si>
    <t>LEVEL PLAIN POLICE DEPT. WOULD USE CART AT POLICE EVENTS, AND ANIMAL CONTROL AND OTHER NECESSARY POLICE FUNCTIONS WHEN NEEDED.</t>
  </si>
  <si>
    <t>2YTRNR61491904</t>
  </si>
  <si>
    <t>DSBLOWER0</t>
  </si>
  <si>
    <t>BLOWER, LANDSCAPE</t>
  </si>
  <si>
    <t>LEVEL PLAINS PD WOULD UTILIZE TO CLEAN UP AROUND PD AND IMPOUND YARD</t>
  </si>
  <si>
    <t>2YTRNR61492750</t>
  </si>
  <si>
    <t>DSFENCING</t>
  </si>
  <si>
    <t>FENCING, FENCES, GATES AND COMPONENTS</t>
  </si>
  <si>
    <t>LEVEL PLAINS POLICE DEPARTMENT WOULD USE TO FENCE IN IMPOUND AREA.</t>
  </si>
  <si>
    <t>2YTRNR61007709</t>
  </si>
  <si>
    <t>PRINTER,3D</t>
  </si>
  <si>
    <t>LEVEL PLAINS POLICE DEPT WOULD USE TO MAKE NECESSARY POLICE ITEMS THAT ARE NEEDED TO ENHANCE THE DEPARTMENT AND IMPROVE THEIR JOBS</t>
  </si>
  <si>
    <t>NORTHPORT POLICE DEPT (2YT1RJ)</t>
  </si>
  <si>
    <t>2YT1RJ60866504</t>
  </si>
  <si>
    <t>DSLIGHTSE</t>
  </si>
  <si>
    <t>LIGHT SET</t>
  </si>
  <si>
    <t>THIS ITEM WILL BE UTILIZED BY POLICE PERSONNEL TO ENHANCE VISIBILITY FOR SECURITY AT EVENTS DURING NIGHTTIME HOURS.</t>
  </si>
  <si>
    <t>ONEONTA POLICE DEPTMENT (2YT13U)</t>
  </si>
  <si>
    <t>2YT13U61351299</t>
  </si>
  <si>
    <t>SIGHT,NIGHT VISION SNIPERSCOPE</t>
  </si>
  <si>
    <t>POC STATES LENS ARE GOOD.  ONEONTA POLICE DEPARTMENT WILL USE THESE FOR OUR SRT SNIPER RIFLES.</t>
  </si>
  <si>
    <t>2YT13U61351025</t>
  </si>
  <si>
    <t>DSPASSMOT</t>
  </si>
  <si>
    <t>PASSENGER MOTOR VEHICLES</t>
  </si>
  <si>
    <t>ONEONTA POLICE DEPARTMENT WILL USE THIS SUV AS A FULL TIME SRO, SCHOOL RESOURCE OFFICER, PATROL UNIT 1 IT WILL GET USED EVERYDAY.</t>
  </si>
  <si>
    <t>TRAFFORD PD (2YTLXK)</t>
  </si>
  <si>
    <t>2YTLXK61219693</t>
  </si>
  <si>
    <t>MAGAZINE,CARTRIDGE</t>
  </si>
  <si>
    <t>TRAFFORD POLICE DEPARTMENT WOULD USE THESE IN CONJUNCTION WITH THE 3 POUCH MAGAZINE HOLDERS I'M RECEIVING FROM EGLIN.</t>
  </si>
  <si>
    <t>2YTLXK61351012</t>
  </si>
  <si>
    <t>CASE,BIPOD</t>
  </si>
  <si>
    <t>TRAFFORD POLICE WOULD USE THESE IN CONJUNCTION WITH THE BIPOD. THEY WOULD BE CITY ISSUED FOR CITY ISSUED RIFLES.</t>
  </si>
  <si>
    <t>2YTLXK61633065</t>
  </si>
  <si>
    <t>TRAFFORD POLICE WOULD USE THESE IN THEIR ASSAULT PACKS THAT WILL BE IN PATROL CARS. THESE WOULD BE IN ADDITION TO THE 18 WE GOT BEFORE FOR OUR VEST.</t>
  </si>
  <si>
    <t>2YTLXK61351008</t>
  </si>
  <si>
    <t>BIPOD, RIFLE</t>
  </si>
  <si>
    <t>TRAFFORD POLICE WOULD USE THESE FOR CITY ISSUED AR-15S FOR BARRICADED SUBJECT AND OVERWATCH.</t>
  </si>
  <si>
    <t>2YTLXK61078455</t>
  </si>
  <si>
    <t>TRAFFORD POLICE WOULD USE THIS AS NON-LETHAL OPTION ON THEIR DUTY BELTS</t>
  </si>
  <si>
    <t>2YTLXK61219683</t>
  </si>
  <si>
    <t>FIRST LOOK</t>
  </si>
  <si>
    <t>TRAFFORD POLICE DEPARTMENT WOULD USE THIS IN DRUG ENFORCEMENT SCENARIOS TO GO IN PLACE OF A PERSON. THIS WOULD ALSO AID IN CASE OF SCHOOL SHOOTINGS OR BARRICADED SUBJECTS</t>
  </si>
  <si>
    <t>2YTLXK61350967</t>
  </si>
  <si>
    <t>DSDRONES0</t>
  </si>
  <si>
    <t>DRONES</t>
  </si>
  <si>
    <t>TRAFFORD POLICE DEPARTMENT WOULD USE THIS IN ARIEL RECON FOR DRUG ENFORCEMENT. ALSO FOR SUBJECTS THAT RUN FROM LAW ENFORCEMENT INTO WOODED AREAS</t>
  </si>
  <si>
    <t>2YTLXK61492198</t>
  </si>
  <si>
    <t>UNMANNED AIRCRAFT</t>
  </si>
  <si>
    <t>TRAFFORD POLICE DEPARTMENT WOULD USE THIS IN EMERGENT SCENE SURVEILLANCE NATURAL DISASTERS AND POTENTIAL LIFE THREATING SCENES. THE DRONE I PICKED UP FOR THIS DID NOT HAVE A MONITOR OR CONTROLLER. BUT IT DOES HAVE THE SENSORS I CAN USE WITH THE RAVEN.</t>
  </si>
  <si>
    <t>2YTLXK61007919</t>
  </si>
  <si>
    <t>TRAFFORD POLICE INTEND TO USE THIS VEHICLE FOR TACTICAL RESPONSE WHERE VEHICLES CAN'T GET TO IE RAILROADS AND RIVERS THAT RUN THROUGH THE MIDDLE OF THE CITY</t>
  </si>
  <si>
    <t>2YTLXK61219564</t>
  </si>
  <si>
    <t>BARRIER,VEHICLE ARR</t>
  </si>
  <si>
    <t>THESE WOULD BE USED BY THE TRAFFORD POLICE DEPARTMENT TO PREVENT VEHICLE PURSUITS BEFORE THEY START. PLACING THEM AT TIRES WHILE DOING DRUG ENFORCEMENT.</t>
  </si>
  <si>
    <t>2YTLXK61078448</t>
  </si>
  <si>
    <t>BARRIER,VEHICLE ARRESTING,PORTABLE</t>
  </si>
  <si>
    <t>TRAFFORD POLICE WOULD USE THESE IN THE IMPLEMENTATION OF STOPPING VEHICLES LEAVING A SCENE WHEN DOING DRUG ENFORCEMENT</t>
  </si>
  <si>
    <t>2YTLXK61149270</t>
  </si>
  <si>
    <t>TOOL KIT,GENERAL MECHANIC'S</t>
  </si>
  <si>
    <t>KT</t>
  </si>
  <si>
    <t>TRAFFORD POLICE HAS DESIGNATED OUR SHOP MECHANIC TO DO ALL WORK ON OUR POLICE CARS. THIS WOULD ASSIST US IN GETTING THAT WORK COMPLETED ON POLICE UNITS.</t>
  </si>
  <si>
    <t>2YTLXK61351014</t>
  </si>
  <si>
    <t>BORELIGHT SYSTEM,LA</t>
  </si>
  <si>
    <t>TRAFFORD POLICE WOULD USE THIS FOR MONTHLY INSPECTIONS OF OUR CITY ISSUED AR-15S FOR SAFETY AND PROPER FUNCTION.</t>
  </si>
  <si>
    <t>2YTLXK61421473</t>
  </si>
  <si>
    <t>LANGUAGE TRANSLATOR</t>
  </si>
  <si>
    <t>TRAFFORD POLICE WOULD USE THIS FOR EMERGENCY PREPAREDNESS IN GETTING NON ENGLISH SPEAKING PEOPLE HELP INTO SHELTERS</t>
  </si>
  <si>
    <t>2YTLXK60937345</t>
  </si>
  <si>
    <t>GENERATOR SET,DIESEL ENGINE,TRAILER MOUN</t>
  </si>
  <si>
    <t>EMERGENCY PREPAREDNESS. RUNNING GOVERNMENT BUILDING IN DISASTER POWER OUTAGES</t>
  </si>
  <si>
    <t>2YTLXK61351005</t>
  </si>
  <si>
    <t>CHARGER,BATTERY</t>
  </si>
  <si>
    <t>TRAFFORD POLICE DEPARTMENT WOULD USE THIS ON HMMV AWARDED AND DIESEL SET GENERATOR AWARDED. TO KEEP THEM IN READY MODE FOR EMERGENCY PREPAREDNESS.</t>
  </si>
  <si>
    <t>2YTLXK61078501</t>
  </si>
  <si>
    <t>FLASHLIGHT</t>
  </si>
  <si>
    <t>TRAFFORD POLICE WOULD USE THESE TO SEARCH FOR SUBJECTS IN THE DARK. WOULD ASSIGN THESE TO PATROL CARS. ALSO, WOULD USE IN EMERGENCY POWER OUTAGES DUE TO WEATHER.</t>
  </si>
  <si>
    <t>2YTLXK61351459</t>
  </si>
  <si>
    <t>OXIMETER,PULSE</t>
  </si>
  <si>
    <t>TRAFFORD POLICE WOULD USE THIS WITH THE 1 PARAMEDIC ON STAFF. IT WOULD BE IN HIS MEDICAL BAG IN THE PATROL CAR.</t>
  </si>
  <si>
    <t>2YTLXK60725838</t>
  </si>
  <si>
    <t>FIRST AID KIT,UNIVE</t>
  </si>
  <si>
    <t>PUTTING IN PATROL CARS FOR FIRST AID</t>
  </si>
  <si>
    <t>2YTLXK61421968</t>
  </si>
  <si>
    <t>DETECTING AND TRACING SET,METAL</t>
  </si>
  <si>
    <t>TRAFFORD POLICE WOULD USE THIS TO FIND BULLET FRAGMENTS AND CASINGS IN OPEN AREAS.</t>
  </si>
  <si>
    <t>2YTLXK61219687</t>
  </si>
  <si>
    <t>SIMULATED,M16A2 RIFLE,5.56MM</t>
  </si>
  <si>
    <t>TRAFFORD POLICE DEPARTMENT WOULD USE THESE FOR FURTHER EDUCATION AND TRAINING FOR REAL WORLD SCENARIOS. I AM THE AGENCY FIREARMS INSTRUCTOR.</t>
  </si>
  <si>
    <t>2YTLXK61008412</t>
  </si>
  <si>
    <t>SIMULATED,M9 PISTOL,9MM</t>
  </si>
  <si>
    <t>TRAFFORD POLICE WILL USE THESE FOR SIMULATED WEAPONS TRAINING. I AM A FIREARMS INSTRUCTOR FOR MY DEPARTMENT AND WOULD USE THESE TO TEACH COMBAT COURSES.</t>
  </si>
  <si>
    <t>2YTLXK61491951</t>
  </si>
  <si>
    <t>DSEXTERNA</t>
  </si>
  <si>
    <t>HARD DRIVE, EXTERNAL</t>
  </si>
  <si>
    <t>TRAFFORD POLICE WOULD USE THESE IN OUR EVIDENCE ROOM AS STAND ALONE DRIVES FOR THE CAMERA INSIDE THE EVIDENCE ROOM</t>
  </si>
  <si>
    <t>2YTLXK60937348</t>
  </si>
  <si>
    <t>DSTENT000</t>
  </si>
  <si>
    <t>TENT</t>
  </si>
  <si>
    <t>EMERGENCY PREPAREDNESS. PORTABLE COMMAND STATION FOR EMERGENCY RESPONSE</t>
  </si>
  <si>
    <t>2YTLXK61491952</t>
  </si>
  <si>
    <t>VEST,HIGH VISIBILITY</t>
  </si>
  <si>
    <t>TRAFFORD POLICE DEPARTMENT WOULD USE THESE IN TRAFFIC SITUATIONS AND FOR RECOGNITION IN EMERGENCY RESPONSE TO NATURAL DISASTER</t>
  </si>
  <si>
    <t>2YTLXK61421472</t>
  </si>
  <si>
    <t>PACK,ASSUALT</t>
  </si>
  <si>
    <t>TRAFFORD POLICE DEPARTMENT WOULD USE THESE IN DRUG ENFORCEMENT TO GO OVER OUR VEST FOR MORE STORAGE TO ENTER SCENES</t>
  </si>
  <si>
    <t>2YTLXK61491963</t>
  </si>
  <si>
    <t>BELT,INDIVIDUAL EQU</t>
  </si>
  <si>
    <t>TRAFFORD POLICE WOULD USE THESE FOR OUR DUTY BELTS AND GEAR</t>
  </si>
  <si>
    <t>2YTLXK61421966</t>
  </si>
  <si>
    <t>TRAFFORD POLICE WOULD USE THESE FOR EMERGENCY PREPAREDNESS BAGS FOR THE PATROL CARS.</t>
  </si>
  <si>
    <t>2YTLXK60937929</t>
  </si>
  <si>
    <t>POUCH,M4 THREE MAGA</t>
  </si>
  <si>
    <t>TRAFFORD POLICE WILL USE THESE IN CONJUNCTION WITH OUR TACTICAL GEAR.</t>
  </si>
  <si>
    <t>TUSCALOOSA POLICE DEPT (2YTL15)</t>
  </si>
  <si>
    <t>2YTL1561148841</t>
  </si>
  <si>
    <t>TRUCK,CARGO</t>
  </si>
  <si>
    <t>TPD REQUEST THESE TRUCKS TO USE IN DEPLOYING PERSONNEL AND EQUIPMENT IN RESPONSE TO ACTS OF TERROR AND MASS CASUALTY EVENTS.</t>
  </si>
  <si>
    <t>2YTL1561703606</t>
  </si>
  <si>
    <t>TPD REQUEST THIS VEHICLE TO USE IN DEPLOYING EQUIPMENT AND PERSONAL DURING TERROR AND MASS CASUALTY ATTACKS, SEVERE WEATHER AND SETTING UP SECURITY FOR LARGE SCALE EVENTS TO PREVENT TERROR AND MASS CASUALTY ATTACKS.</t>
  </si>
  <si>
    <t>2YTL1561703607</t>
  </si>
  <si>
    <t>TPD REQUEST THIS TRAILER TO USE IN DEPLOYING EQUIPMENT DURING TERROR AND MASS CASUALTY ATTACKS, SEVERE WEATHER AND SETTING UP SECURITY FOR LARGE SCALE EVENTS TO PREVENT TERROR AND MASS CASUALTY ATTACKS.</t>
  </si>
  <si>
    <t>2YTL1561633669</t>
  </si>
  <si>
    <t>DSMISCWEL</t>
  </si>
  <si>
    <t>MISCELLANEOUS WELDING EQUIPMENT</t>
  </si>
  <si>
    <t>TPD REQUEST THESE TOOLS TO USE IN REPAIRING OUR DEPARTMENT OWNED VEHICLES, AND 10-33 VEHICLES. THEY WILL ALSO BE USED TO REPAIR AND UPDATE ANY OTHER POLICE DEPARTMENT OWNED EQUIPMENT AND PROPERTY. SO THAT OFFICERS HAVE THE BEST EQUIPMENT TO HELP THEM IN RESPONSE TO TERRORIST AND MASS CASUALTY EVENTS.</t>
  </si>
  <si>
    <t>2YTL1561694179</t>
  </si>
  <si>
    <t>STRIPPER,WIRE,POWER OPERATED</t>
  </si>
  <si>
    <t>TPD REQUEST THIS WIRE STRIPPER TO USE IN REPAIRING OUR DEPARTMENT OWNED VEHICLES, AND 10-33 VEHICLES. THEY WILL ALSO BE USED TO REPAIR AND UPDATE ANY OTHER POLICE DEPARTMENT OWNED EQUIPMENT AND PROPERTY. SO THAT OFFICERS HAVE THE BEST EQUIPMENT TO HELP THEM IN RESPONSE TO TERRORIST AND MASS CASUALTY EVENTS.</t>
  </si>
  <si>
    <t>2YTL1561149874</t>
  </si>
  <si>
    <t>LENS,HELMET,WELDER'</t>
  </si>
  <si>
    <t>DZ</t>
  </si>
  <si>
    <t>TPD REQUEST THESE LENS TO USE IN REPAIRING OUR DEPARTMENT OWNED VEHICLES, AND 10-33 VEHICLES. THEY WILL ALSO BE USED TO REPAIR AND UPDATE ANY OTHER POLICE DEPARTMENT OWNED EQUIPMENT AND PROPERTY. SO THAT OFFICERS HAVE THE BEST EQUIPMENT TO HELP THEM IN RESPONSE TO TERRORIST AND MASS CASUALTY EVENTS</t>
  </si>
  <si>
    <t>2YTL1561704005</t>
  </si>
  <si>
    <t>DSVEHMAIN</t>
  </si>
  <si>
    <t>MOTOR VEHICLE MAINTENANCE AND REPAIR</t>
  </si>
  <si>
    <t>TPD REQUEST THIS EQUIPMENT TO USE IN REPAIRING, UPDATING, MODIFYING OUR POLICE DEPARTMENT EQUIPMENT AND FACILITIES TO KEEP IT IN THE BEST CONDITION POSSIBLE FOR RESPONDING TO TERRORIST, AND MASS CASUALTY EVENTS AND CALLS FOR SERVICE.</t>
  </si>
  <si>
    <t>2YTL1560857410</t>
  </si>
  <si>
    <t>HARDWARE KIT,SHOP S</t>
  </si>
  <si>
    <t>TPD REQUEST THESE KITS TO USE IN REPAIRING, UPDATING, MODIFYING OUR POLICE DEPARTMENT VEHICLES, OFFICES, AND OTHER EQUIPMENT TO KEEP THEM READY FOR THE EVER CHANGING MISSION OF THE DEPARTMENT TO BEST RESPOND TO TERRORIST, AND MASS CASUALTY EVENTS, AND TO BEST PROTECT OUR CITIZENS.</t>
  </si>
  <si>
    <t>2YTL1560857411</t>
  </si>
  <si>
    <t>2YTL1561149876</t>
  </si>
  <si>
    <t>DSMEDSUPP</t>
  </si>
  <si>
    <t>MEDICAL SUPPLIES</t>
  </si>
  <si>
    <t>TPD REQUEST THESE MEDICAL SUPPLIES FOR OUR OFFICERS TO CARRY DURING THEIR SHIFTS TO USE IN CASE EMERGENCY FIRST AID IS NEEDED FOR THEMSELVES OR OTHERS DURING TERRORIST OR MASS CASUALTY EVENTS.</t>
  </si>
  <si>
    <t>2YTL1561149877</t>
  </si>
  <si>
    <t>2YTL1561149875</t>
  </si>
  <si>
    <t>DSMEDSUPC</t>
  </si>
  <si>
    <t>CS</t>
  </si>
  <si>
    <t>2YTL1561139872</t>
  </si>
  <si>
    <t>FIRST AID KIT,INDIV</t>
  </si>
  <si>
    <t xml:space="preserve">TPD REQUEST THESE FIRST AID KITS FOR OUR OFFICERS TO CARRY DURING THEIR SHIFTS TO USE IN CASE EMERGENCY FIRST AID IS NEEDED FOR THEMSELVES OR OTHERS DURING TERRORIST OR MASS CASUALTY EVENTS. 
</t>
  </si>
  <si>
    <t>2YTL1561139873</t>
  </si>
  <si>
    <t xml:space="preserve">
TPD REQUEST THESE FIRST AID KITS FOR OUR OFFICERS TO CARRY DURING THEIR SHIFTS TO USE IN CASE EMERGENCY FIRST AID IS NEEDED FOR THEMSELVES OR OTHERS DURING TERRORIST OR MASS CASUALTY EVENTS. 
</t>
  </si>
  <si>
    <t>2YTL1561149751</t>
  </si>
  <si>
    <t>ARMY COMBAT BOOT HOT WEATHER</t>
  </si>
  <si>
    <t>PR</t>
  </si>
  <si>
    <t>TPD REQUEST THESE BOOTS FOR OUR OFFICERS TO WEAR DURING TRAINING AND CALL OUTS FOR TERRORIST OR MASS CASUALTY EVENTS.</t>
  </si>
  <si>
    <t>2YTL1561149752</t>
  </si>
  <si>
    <t>ARMY COMBAT BOOT HO</t>
  </si>
  <si>
    <t>2YTL1561149753</t>
  </si>
  <si>
    <t>2YTL1561149754</t>
  </si>
  <si>
    <t>2YTL1561149755</t>
  </si>
  <si>
    <t>2YTL1561149756</t>
  </si>
  <si>
    <t>2YTL1561149757</t>
  </si>
  <si>
    <t>2YTL1561149758</t>
  </si>
  <si>
    <t>2YTL1561149759</t>
  </si>
  <si>
    <t>2YTL1561149760</t>
  </si>
  <si>
    <t>2YTL1561149761</t>
  </si>
  <si>
    <t>2YTL1561149762</t>
  </si>
  <si>
    <t>2YTL1561149763</t>
  </si>
  <si>
    <t>2YTL1561149765</t>
  </si>
  <si>
    <t>2YTL1561149766</t>
  </si>
  <si>
    <t>2YTL1561149767</t>
  </si>
  <si>
    <t>2YTL1561149768</t>
  </si>
  <si>
    <t>2YTL1561149769</t>
  </si>
  <si>
    <t>2YTL1561149770</t>
  </si>
  <si>
    <t>2YTL1561149771</t>
  </si>
  <si>
    <t>2YTL1561149773</t>
  </si>
  <si>
    <t>2YTL1561149774</t>
  </si>
  <si>
    <t>2YTL1561149775</t>
  </si>
  <si>
    <t>2YTL1561149776</t>
  </si>
  <si>
    <t>2YTL1561149777</t>
  </si>
  <si>
    <t>2YTL1561149778</t>
  </si>
  <si>
    <t>2YTL1561149779</t>
  </si>
  <si>
    <t>2YTL1561149780</t>
  </si>
  <si>
    <t>2YTL1561149781</t>
  </si>
  <si>
    <t>2YTL1561149782</t>
  </si>
  <si>
    <t>2YTL1561219717</t>
  </si>
  <si>
    <t>PLATE,METAL</t>
  </si>
  <si>
    <t>SH</t>
  </si>
  <si>
    <t xml:space="preserve">TPD REQUEST THESE METAL SHEETS TO USE IN REPAIRING OUR DEPARTMENT OWNED VEHICLES, AND 10-33 VEHICLES. THEY WILL ALSO BE USED TO REPAIR AND UPDATE ANY OTHER POLICE DEPARTMENT OWNED EQUIPMENT AND PROPERTY. SO THAT OFFICERS HAVE THE BEST EQUIPMENT TO HELP THEM IN RESPONSE TO TERRORIST AND MASS CASUALTY EVENTS. 
</t>
  </si>
  <si>
    <t>2YTL1561219716</t>
  </si>
  <si>
    <t>SHEET,METAL</t>
  </si>
  <si>
    <t xml:space="preserve">
TPD REQUEST THESE METAL SHEETS TO USE IN REPAIRING OUR DEPARTMENT OWNED VEHICLES, AND 10-33 VEHICLES. THEY WILL ALSO BE USED TO REPAIR AND UPDATE ANY OTHER POLICE DEPARTMENT OWNED EQUIPMENT AND PROPERTY. SO THAT OFFICERS HAVE THE BEST EQUIPMENT TO HELP THEM IN RESPONSE TO TERRORIST AND MASS CASUALTY EVENTS. 
</t>
  </si>
  <si>
    <t>2YTL1561694180</t>
  </si>
  <si>
    <t>CLEANER,TOBACCO PIPE</t>
  </si>
  <si>
    <t>BX</t>
  </si>
  <si>
    <t>TPD REQUEST THESE CLEANERS FOR OUR OFFICERS TO USE TO KEEP THEIR FIREARMS AND OTHER EQUIPMENT CLEAN AND READY TO RESPOND TO ACTS OF TERROR AND MASS CASUALTY.</t>
  </si>
  <si>
    <t>WALLACE STATE CAMPUS POLICE HI_ED (2YTQTY)</t>
  </si>
  <si>
    <t>2YTQTY61280977</t>
  </si>
  <si>
    <t>DSROBTEOD</t>
  </si>
  <si>
    <t>EOD ROBOT</t>
  </si>
  <si>
    <t>OUR DEPARTMENT WOULD LIKE TO HAVE THIS PIECE OF EQUIPMENT FOR THE PURPOSE OF ENHANCING OUR CAMPUS SECURITY PLAN AND PROTECTING OUR STUDENTS AND PERSONNEL.</t>
  </si>
  <si>
    <t>2YTQTY61210473</t>
  </si>
  <si>
    <t>TRUCK,VAN</t>
  </si>
  <si>
    <t>OUR DEPARTMENT WOULD UTILIZE THIS EQUIPMENT TO PICK UP EQUIPMENT THAT NEEDS TO STAY OUT OF THE WEATHER RECEIVED BY THIS PROGRAM.</t>
  </si>
  <si>
    <t>WEBB POLICE DEPARTMENT (2YTRL4)</t>
  </si>
  <si>
    <t>2YTRL460937217</t>
  </si>
  <si>
    <t>DSMISCVES</t>
  </si>
  <si>
    <t>MISCELLANEOUS VESSELS</t>
  </si>
  <si>
    <t>WEBB PD WILL USE THIS EQUIPMENT FOR WATER BODY LOCATION AND RECOVERY.</t>
  </si>
  <si>
    <t>2YTRL460866451</t>
  </si>
  <si>
    <t>WEB PD WILL USE THIS EQUIPMENT TO MOVE RESCUE EQUIPMENT TO AND FROM SCENES AS WELL AS PICK UP AWARDED ITEMS.</t>
  </si>
  <si>
    <t>2YTRL461078463</t>
  </si>
  <si>
    <t>TRUCK,CARRYALL</t>
  </si>
  <si>
    <t>WEBB PD WILL USE THIS EQUIPMENT FOR ADMINISTRATIVE PURPOSES AS WELL AS FOR INMATE TRANSPORT TO REPLACE RUSTED UNUSABLE ADMIN VEHICLE.</t>
  </si>
  <si>
    <t>2YTRL460937613</t>
  </si>
  <si>
    <t>WEBB PD WILL USE THIS EQUIPMENT FOR DRUG AND VIOLENCE PREVENTION PROGRAMS AT WEBB SCHOOL AND COMMUNITY.</t>
  </si>
  <si>
    <t>2YTRL461007643</t>
  </si>
  <si>
    <t>WEBB PD WILL USE THIS EQUIPMENT TO MAINTAIN POLICE DEPT GROUNDS.</t>
  </si>
  <si>
    <t>2YTRL461351209</t>
  </si>
  <si>
    <t>FIFTH WHEEL ASSEMBLY</t>
  </si>
  <si>
    <t>WEBB PD WILL USE TO MOVE AWARDED 1033 AND RESCUE EQUIPMENT ITEMS.</t>
  </si>
  <si>
    <t>2YTRL461351210</t>
  </si>
  <si>
    <t>DSVEHMISC</t>
  </si>
  <si>
    <t>MISCELLANEOUS VEHICULAR COMPONENTS</t>
  </si>
  <si>
    <t>WEBB PD WILL USE THIS EQUIPMENT TO REPAIR AND MAINTAIN POLICE VEHICLES.</t>
  </si>
  <si>
    <t>2YTRL461492730</t>
  </si>
  <si>
    <t>DSEARTHMO</t>
  </si>
  <si>
    <t>EARTH MOVING AND EXCAVATING EQUIPMENT</t>
  </si>
  <si>
    <t>WEBB PD WILL USE TO HELP BUILD UP BERMS FOR GUN RANGE,</t>
  </si>
  <si>
    <t>2YTRL461007947</t>
  </si>
  <si>
    <t>DSREFRIG0</t>
  </si>
  <si>
    <t>REFRIGERATOR</t>
  </si>
  <si>
    <t>WEBB PD WILL USE THIS FOR STORAGE OF DEGRADABLE EVIDENCE STORAGE.</t>
  </si>
  <si>
    <t>2YTRL461351215</t>
  </si>
  <si>
    <t>DSFOUNTAI</t>
  </si>
  <si>
    <t>FOUNTAIN, WATER</t>
  </si>
  <si>
    <t>WEBB PD WILL USE THIS EQUIPMENT FOR DRINKING PURPOSES AT THE POLICE DEPT.</t>
  </si>
  <si>
    <t>2YTRL461007946</t>
  </si>
  <si>
    <t>REFRIGERATOR-FREEZE</t>
  </si>
  <si>
    <t>2YTRL461078465</t>
  </si>
  <si>
    <t>DSAIRCIRC</t>
  </si>
  <si>
    <t>FANS, AIR CIRCULATORS, AND BLOWER EQUIP</t>
  </si>
  <si>
    <t>WEBB PD WILL USE TO EXHAUST MOTOR VEHICLE FUMES FROM POLICE DEPT MAINTENANCE BUILDING WHILE PERFORMING MAINTENANCE ON POLICE VEHICLES.</t>
  </si>
  <si>
    <t>2YTRL461422088</t>
  </si>
  <si>
    <t>BALANCER,VEHICLE WHEEL</t>
  </si>
  <si>
    <t>WEBB PD WILL USE TO BALANCE NEW PATROL TIRES AS WELL AS ALL TERRAIN VEHICLE TIRES.</t>
  </si>
  <si>
    <t>2YTRL461219440</t>
  </si>
  <si>
    <t>SERVICING PLATFORM,SELF-PROPELLED</t>
  </si>
  <si>
    <t>WEBB PD WILL USE THIS EQUIPMENT TO PERFORM MAINTENANCE ON POLICE DEPT BUILDING AS WELL AS REMOVE TREE LIMBS FROM ROADWAY AFTER NATURAL DISASTERS.</t>
  </si>
  <si>
    <t>2YTRL461492086</t>
  </si>
  <si>
    <t>DSSHIPCON</t>
  </si>
  <si>
    <t>SPECIALIZED SHIPPING AND STORAGE CONTAIN</t>
  </si>
  <si>
    <t>WEB BPD WILL USE TO STORE USED FUELS AS WELL AS NEW FUELS AND CHEMICALS.</t>
  </si>
  <si>
    <t>AR</t>
  </si>
  <si>
    <t>MILLER CSO (2YTHR0)</t>
  </si>
  <si>
    <t>2YTHR061078483</t>
  </si>
  <si>
    <t>TRUCK,UTILITY</t>
  </si>
  <si>
    <t>THE MILLER COSO REQUESTS THE FOLLOWING ITEM FOR EMERGENCY RESPONSE, SWAT USE, ACTIVE SHOOTER RESPONSE, AND TRAINING. THE ITEM WILL BE USED FOR LAW ENFORCEMENT USE ONLY.</t>
  </si>
  <si>
    <t>2YTHR060795977</t>
  </si>
  <si>
    <t>THE MILLER COSO REQUESTS THE FOLLOWING ITEM FOR RANGE TRAINING AND MAINTENANCE, EMERGENCY RESPONSE, AND SWAT USE. THE ITEM WILL BE USED FOR LAW ENFORCEMENT PURPOSES ONLY.</t>
  </si>
  <si>
    <t>2YTHR060725758</t>
  </si>
  <si>
    <t>CONTAINER,SPECIAL</t>
  </si>
  <si>
    <t>THE MILLER COSO IS REQUESTING THE FOLLOWING ITEM FOR STORAGE OF EMERGENCY RESPONSE SUPPLIES, SWAT EQUIPMENT, AND DISASTER RESPONSE ITEMS AT OUR FACILITY. THE ITEM WILL BE USED FOR LAW ENFORCEMENT PURPOSES ONLY.</t>
  </si>
  <si>
    <t>TEXARKANA POLICE DEPT (2YTLR8)</t>
  </si>
  <si>
    <t>2YTLR861210236</t>
  </si>
  <si>
    <t>SHIPPING AND STORAG</t>
  </si>
  <si>
    <t>THE TEXARKANA POLICE DEPARTMENT WILL USE THIS STORAGE CONTAINER TO SECURELY HOUSE, ORGANIZE, AND TRANSPORT CRITICAL EQUIPMENT AND EVIDENCE ASSOCIATED WITH OPERATIONS TARGETING NARCOTERRORISM AND HUMAN TRAFFICKING. IT WILL SUPPORT PROPERTY PRESERVATION, MAINTAIN CHAIN-OF-CUSTODY STANDARDS, AND PROVIDE A RELIABLE RESOURCE FOR SPECIALIZED TRAINING EXERCISES AND COORDINATED RESPONSES, ENSURING READINESS, SAFETY, AND OPERATIONAL EFFICIENCY FOR LAW ENFORCEMENT ONLY.</t>
  </si>
  <si>
    <t>2YTLR861210235</t>
  </si>
  <si>
    <t>AZ</t>
  </si>
  <si>
    <t>ARIZONA DEPT OF PUBLIC SAFETY (2YTJLV)</t>
  </si>
  <si>
    <t>2YTJLV61078690</t>
  </si>
  <si>
    <t>WE WANT TO USE THESE DRONES FOR DPS SWAT, DRUG AND MONEY APPREHENSIONS, AND PUBLIC SAFETY INCIDENTS.</t>
  </si>
  <si>
    <t>2YTJLV61149223</t>
  </si>
  <si>
    <t>WRENCH,TORQUE</t>
  </si>
  <si>
    <t>THE ARIZONA DEPARTMENT OF PUBLIC SAFETY SWAT MOVED TO A NEW BUILDING AND WE ARE TRYING TO OUTFIT OUR BUILDING WITH TOOLS, EQUIPMENT AND OTHER ITEMS TO REPAIR, REPLACE AND MAKE NEW ITEMS USED FOR LAW ENFORCEMENT OPERATIONS. THIS ITEM WILL BE USED BY SWORN LAW ENFORCEMENT OFFICERS AND AZDPS IS A CERTIFIED LAW ENFORCEMENT AGENCY.</t>
  </si>
  <si>
    <t>2YTJLV61351170</t>
  </si>
  <si>
    <t>TOOL KIT,CARPENTER'S</t>
  </si>
  <si>
    <t>THE TOOLS WILL BE USED BY THE PINAL COUNTY DRUG ENFORCEMENT DIVSION OF AZDPS</t>
  </si>
  <si>
    <t>2YTJLV61149220</t>
  </si>
  <si>
    <t>VOLTMETER</t>
  </si>
  <si>
    <t>2YTJLV61149221</t>
  </si>
  <si>
    <t>MULTIMETER</t>
  </si>
  <si>
    <t>2YTJLV61079195</t>
  </si>
  <si>
    <t>DSELLIPTI</t>
  </si>
  <si>
    <t>ELLIPTICAL</t>
  </si>
  <si>
    <t>THE AZDPS WANTS TO USE THIS WORK OUT EQUIPMENT TO KEEP UP WITH THE RIGOROUS JOB WE HAVE AS LAW ENFORCEMENT OFFICERS. AZDPS IS A CERTIFIED LAW ENFORCEMENT AGENCY AND WILL BE USED BY LAW ENFORCEMENT OFFICERS.</t>
  </si>
  <si>
    <t>2YTJLV61079219</t>
  </si>
  <si>
    <t>DSLIFECYC</t>
  </si>
  <si>
    <t>LIFECYCLE</t>
  </si>
  <si>
    <t>THE AZDPS SWAT TEAM JUST MOVED TO A NEW BUILDING AND WE ARE TRYING TO OUTFIT THE BUILDING WITH WORK OUT EQUIPMENT TO ENSURE THE DETECTIVES ARE KEEPING HEALTHY AND FIT. THE ARIZONA DEPARTMENT OF PUBLIC SAFETY IS A CERTIFIED LAW ENFORCEMENT AGENCY AND THE ITEM WILL BE USED BY LAW ENFORCEMENT OFFICERS.</t>
  </si>
  <si>
    <t>2YTJLV61079218</t>
  </si>
  <si>
    <t>2YTJLV61079217</t>
  </si>
  <si>
    <t>2YTJLV61079216</t>
  </si>
  <si>
    <t>2YTJLV61079215</t>
  </si>
  <si>
    <t>2YTJLV61079214</t>
  </si>
  <si>
    <t>DSTREADM1</t>
  </si>
  <si>
    <t>TREADMILL</t>
  </si>
  <si>
    <t>2YTJLV61079213</t>
  </si>
  <si>
    <t>2YTJLV61351169</t>
  </si>
  <si>
    <t>FIELD PACK,LARGE,SE</t>
  </si>
  <si>
    <t>SE</t>
  </si>
  <si>
    <t>PACKS WILL BE USED BY SWORN PERSONNEL IN THE FIELD TO CARRY  SUPPLIES, RESCUE AND FIRST AID EQUIPMENT</t>
  </si>
  <si>
    <t>DOJ/DEA PHOENIX DIV (2YTQK9)</t>
  </si>
  <si>
    <t>2YTQK961149260</t>
  </si>
  <si>
    <t>ILLUMINATOR,LA5PEQ</t>
  </si>
  <si>
    <t>WILL BE UTILIZED BY DEA SPECIAL AGENTS DURING ENFORCEMENT OPERATIONS</t>
  </si>
  <si>
    <t>PINAL COUNTY SHERIFF OFFICE (2YTJNN)</t>
  </si>
  <si>
    <t>2YTJNN61008118</t>
  </si>
  <si>
    <t>TIRE,PNEUMATIC,VEHI</t>
  </si>
  <si>
    <t>TIRES WOULD HELP ASSIST USE OUR CURRENT DRMO ISSUED MRAP THAT HAS 3 FLAT TIRES FOR SWAT OPERATIONS</t>
  </si>
  <si>
    <t>TUCSON POLICE DEPT (2YTLZ8)</t>
  </si>
  <si>
    <t>2YTLZ860795904</t>
  </si>
  <si>
    <t>BLOCK,TACKLE</t>
  </si>
  <si>
    <t>THE TUCSON POLICE DEPARTMENT IS REQUESTING THIS ITEM TO BE USED BY SPECIALIZED UNITS IN AIDING IN THE RECOVERY OF VEHICLES THAT HAVE BECOME STUCK OR ABANDONED IN WASHES, DITCHES, AND DESERT AREAS IN THE CITY OF TUCSON.</t>
  </si>
  <si>
    <t>2YTLZ86092CG00</t>
  </si>
  <si>
    <t>GOGGLES,BALLISTIC,B</t>
  </si>
  <si>
    <t>2YTLZ861008042</t>
  </si>
  <si>
    <t>TOOL KIT,PIONEER,ENGINEER'S</t>
  </si>
  <si>
    <t>THE TUCSON POLICE DEPARTMENT IS SEEKING THIS KIT TO BE USED TO MANUFACTURE PROTESTOR DEVICES TO BE USED FOR PRACTICE BY THE PROTESTOR DEVICE TEAM IN PREPARATION FOR POSSIBLE DEVICES ENCOUNTERED DURING PROTESTS.</t>
  </si>
  <si>
    <t>2YTLZ861008041</t>
  </si>
  <si>
    <t>TOOL KIT,SUPPLEMENT</t>
  </si>
  <si>
    <t>2YTLZ861007990</t>
  </si>
  <si>
    <t>COMPASS,MAGNETIC,UN</t>
  </si>
  <si>
    <t>THE TUCSON POLICE DEPARTMENT IS SEEKING THESE ITEMS TO BE USED BY SEARCH TEAM MEMBERS INVOLVED IN DESERT AREA SEARCHES.</t>
  </si>
  <si>
    <t>2YTLZ860796022</t>
  </si>
  <si>
    <t>DSCASE003</t>
  </si>
  <si>
    <t>CASE</t>
  </si>
  <si>
    <t>THE TUCSON POLICE DEPARTMENT IS REQUESTING THIS ITEM TO BE USED BY OFFICERS TO STORE EQUIPMENT IN THE TRUNK AREA OF PATROL VEHICLES.</t>
  </si>
  <si>
    <t>2YTLZ860796023</t>
  </si>
  <si>
    <t>2YTLZ860796024</t>
  </si>
  <si>
    <t>2YTLZ861562702</t>
  </si>
  <si>
    <t>DSCASE004</t>
  </si>
  <si>
    <t>SHIPPING CASE</t>
  </si>
  <si>
    <t>THE TUCSON POLICE DEPT IS SEEKING THESE CASES TO BE USED BY PATROL AND DETECTIVES TO STORE EQUIPMENT IN VEHICLES WHILE ON DUTY.</t>
  </si>
  <si>
    <t>2YTLZ860795901</t>
  </si>
  <si>
    <t>JACKET,COLD WEATHER</t>
  </si>
  <si>
    <t>THE TUCSON POLICE DEPARTMENT IS REQUESTING THIS ITEM TO BE USED BY OFFICERS DURING INCLEMENT WEATHER.</t>
  </si>
  <si>
    <t>2YTLZ860795900</t>
  </si>
  <si>
    <t>2YTLZ860795898</t>
  </si>
  <si>
    <t>2YTLZ860795897</t>
  </si>
  <si>
    <t>THE TUCSON POLICE DEPARTMENT IS REQUESTING THIS ITEM TO BE ISSUED TO OFFICERS FOR USE DURING COLD OR INCLEMENT WEATHER.</t>
  </si>
  <si>
    <t>YUMA POLICE DEPT (2YTN1M)</t>
  </si>
  <si>
    <t>2YTN1M61492098</t>
  </si>
  <si>
    <t>DSTRACTO1</t>
  </si>
  <si>
    <t>TRACTORS, WHEELED</t>
  </si>
  <si>
    <t>EQUIPMENT TO BE USED BY SWORN LAW ENFORCEMENT PERSONNEL TO MAINTAIN POLICE DRIVING TRACK AND GROUNDS, FIRING RANGE AND TRAINING AREAS.</t>
  </si>
  <si>
    <t>2YTN1M60725489</t>
  </si>
  <si>
    <t>THE YUMA POLICE DEPARTMENT IS REQUESTING THESE ITEMS TO BE USED OFFICERS FOR TRAINING PURPOSES, ACTIVE KILLER RESPONSE, MASS CASUALTY EVENTS, AND OTHER EMERGENCY SITUATIONS.</t>
  </si>
  <si>
    <t>CA</t>
  </si>
  <si>
    <t>CLAREMONT POLICE DEPT (2YTCE2)</t>
  </si>
  <si>
    <t>2YTCE260937004</t>
  </si>
  <si>
    <t>SCOOTER,MOTOR</t>
  </si>
  <si>
    <t>VEHICLES WILL BE USED BY MEMBERS OF THE CLAREMONT POLICE DEPARTMENT TO TRANSPORT EQUIPMENT AND PERSONNEL DURING CRITICAL INCIDENTS AND NORMAL OPERATIONS.</t>
  </si>
  <si>
    <t>2YTCE260866541</t>
  </si>
  <si>
    <t>KIT,COVER,SOFT TOP</t>
  </si>
  <si>
    <t>COVER WILL BE USED BY MEMBERS OF THE CLAREMONT POLICE DEPARTMENT TO ENCLOSE THE CARGO AREA OF THE DEPARTMENT'S LMTV.</t>
  </si>
  <si>
    <t>2YTCE261210449</t>
  </si>
  <si>
    <t>BATTERY CHARGER WILL BE USED BY MEMBERS OF THE CLAREMONT POLICE DEPARTMENT TO CHARGE BB-2590 BATTERIES FOR PACBOT ROBOT</t>
  </si>
  <si>
    <t>2YTCE261078558</t>
  </si>
  <si>
    <t>BATTERY CHARGER WILL BE USED BY MEMBERS OF THE CLAREMONT POLICE DEPARTMENT TO CHARGE BATTERIES FOR PACBOT ROBOT</t>
  </si>
  <si>
    <t>MODOC COUNTY SHERIFF OFFICE (2YTHVX)</t>
  </si>
  <si>
    <t>2YTHVX60654478</t>
  </si>
  <si>
    <t>SHIPPING AND STORAGE CONTAINER WILL BE USED BY THE MODOC COUNTY SHERIFF'S OFFICE TO STORE EMERGENCY RESPONSE EQUIPMENT.</t>
  </si>
  <si>
    <t>2YTHVX61280474</t>
  </si>
  <si>
    <t>DSBOOTS01</t>
  </si>
  <si>
    <t>BOOTS, MEN'S, PAIR</t>
  </si>
  <si>
    <t>BOOTS, MEN'S, PAIR WILL BE ISSUED TO DEPUTIES AND SEARCH AND RESCUE TO TEAMS FOR SUMMER TIME MISSIONS.</t>
  </si>
  <si>
    <t>2YTHVX61280476</t>
  </si>
  <si>
    <t>BOOTS,HOT WEATHER</t>
  </si>
  <si>
    <t>BOOTS, MEN'S, PAIR WILL BE ISSUED TO DEPUTIES AND SEARCH AND RESCUE TEAMS FOR SUMMER TIME MISSIONS.</t>
  </si>
  <si>
    <t>2YTHVX61210477</t>
  </si>
  <si>
    <t>ASSAULT PACK</t>
  </si>
  <si>
    <t>ASSAULT PACK WILL BE ISSUED TO DEPUTIES FOR FOR FIELD OPERATIONS AND SEARCH AND RESCUE MISSIONS.</t>
  </si>
  <si>
    <t>MONTEREY PARK POLICE DEPT (2YTHX6)</t>
  </si>
  <si>
    <t>2YTHX661078601</t>
  </si>
  <si>
    <t>FOR USE BY THE MONTEREY PARK POLICE DEPARTMENT FOR LOGISTICAL SUPPORT AND TRANSPORTATION OF OFFICERS DURING SPECIAL EVENTS TO MITIGATE DISASTERS AND PREVENT MASS CASUALTY INCIDENT.</t>
  </si>
  <si>
    <t>2YTHX660937759</t>
  </si>
  <si>
    <t>DSATVGATO</t>
  </si>
  <si>
    <t>ALL TERRAIN VEHICLE, AG/BVUS</t>
  </si>
  <si>
    <t>FOR USE BY THE MONTEREY PARK POLICE DEPARTMENT TO FACILITATE LOGISTICAL SUPPORT AND TRANSPORTATION OF OFFICERS DURING SPECIAL EVENTS LIKE THE CITY'S LUNAR FESTIVAL WHICH DRAWS 100,000 VISITORS OVER A WEEKEND AND THE UPCOMING 2028 OLYMPICS SECURITY DETAIL.</t>
  </si>
  <si>
    <t>ORANGE COUNTY SHERIFFS DEPT (2YT14Z)</t>
  </si>
  <si>
    <t>2YT14Z61633608</t>
  </si>
  <si>
    <t>TOTAL CONTAINMENT VESSEL</t>
  </si>
  <si>
    <t>THIS ITEM WOULD BE USED BY THE ORANGE COUNTY SHERIFF'S DEPARTMENT. THIS ITEM WOULD BE ISSUED TO OUR HAZARDOUS DEVICES AND BOMB SQUAD. THE ITEM WOULD BE USED TO REPLACE AN OLD UNIT. THE ITEM WOULD BE USED THROUGHOUT THE COUNTY FOR CALL OUTS, CRITICAL INCIDENTS, MASS CASUALTY INCIDENTS OR ANY OTHER LAW ENFORCEMENT INCIDENT.</t>
  </si>
  <si>
    <t>2YT14Z61350908</t>
  </si>
  <si>
    <t>L0CKER,SECRETARY,AN</t>
  </si>
  <si>
    <t>THESE ITEM WOULD BE USED BY THE ORANGE COUNTY SHERIFF'S DEPARTMENT. OUR TRANSPORTATION, JAIL AND RTOC DIVISIONS HAVE ALL REQUESTED STORAGE SOLUTIONS FOR RIOT RESPONSE GEAR, EQUIPMENT LIKE HELMETS, VESTS, BAGS AND WEAPONS. OUR QUARTERMASTER DIVISION IS ALSO IN IN OF LOCKERS TO STORE LESS THAN LEATHAL OPTIONS AND ACCESSORIES FOR FIELD UNITS.</t>
  </si>
  <si>
    <t>2YT14Z60938084</t>
  </si>
  <si>
    <t>DSWELDSOL</t>
  </si>
  <si>
    <t>MISCELLANEOUS WELD, SOLDER, BRAZING</t>
  </si>
  <si>
    <t>THESE ITEMS WILL BE USED BY THE ORANGE COUNTY SHERIFF'S DEPARTMENT. THESE TYPES OF TOOLS HAVE BEEN REQUESTED BY SEVERAL DIVISIONS WITHIN OUR DEPARTMENT. OUR BOMB SQUAD USING THE TOOLS FOR TRAINING, MAINTENANCE, DISPOSAL AND CALLS FOR SERVICE. OUR CYBER CRIMES UNIT USES THE TOOLS FOR EVIDENCE, FIXING THEIR EQUIPMENT AND DURING SEARCH WARRANTS. OUR DIVE TEAM HAS ASK FOR TOOLS FOR TRAINING, MAINTENANCE AND CALLS FOR SERVICE. OUR TRAINING AND ARMORY DIVISION ALSO USES THE TOOLS FOR MAINTAINING GEAR</t>
  </si>
  <si>
    <t>2YT14Z60937835</t>
  </si>
  <si>
    <t>CRANE,CRAWLER MOUNT</t>
  </si>
  <si>
    <t>ITEM WILL BE USED BY THE ORANGE COUNTY SHERIFF'S DEPARTMENT FOR THE PURPOSE OF PLACEMENT WITH OUR FACILITY OPERATIONS UNIT. THE CRANE WILL BE USED TO HOIST LOADS TO ROOFTOP LOCATIONS IN CONFINED SPACES TO MAINTAIN OUR VARIOUS FACILITIES THROUGHOUT THE COUNTY.</t>
  </si>
  <si>
    <t>2YT14Z61341621</t>
  </si>
  <si>
    <t>DSFIBERRO</t>
  </si>
  <si>
    <t>FIBER ROPE, CORDAGE, AND TWINE</t>
  </si>
  <si>
    <t>THIS ITEM WOULD BE USED BY THE ORANGE COUNTY SHERIFF'S DEPARTMENT. THIS ITEM WOULD BE ISSUED TO OUR HARBOR DIVISIONS OR DEPUTIES AND MECHANICS AT THE HARBOR WOULD USE THESE ITEMS AT OUR PATROLLED HARBORS FOR THEIR BOATS AND OTHER LAW ENFORCEMENT VEHICLES OR EQUIPMENT AT THE HARBOR</t>
  </si>
  <si>
    <t>2YT14Z61562582</t>
  </si>
  <si>
    <t>GOGGLES,INDUSTRIAL</t>
  </si>
  <si>
    <t>THESE ITEMS WOULD BE USED BY THE ORANGE COUNTY SHERIFF'S DEPARTMENT. THESE ITEMS WOULD BE ISSUED AND USED BY OUR RANGE AND TRAINING STAFFS. THE ITEMS COULD BE USED IN ON THE RANGE DURING TRAINING AND EXERCISES, SIMULATIONS AND SIMUNITIONS SCENARIOS, NIGHT PROBLEMS AND ACADEMY TRAINING AND LESS THAN LETHAL TRAINING OR EXERCISES.</t>
  </si>
  <si>
    <t>2YT14Z61562581</t>
  </si>
  <si>
    <t>2YT14Z61562580</t>
  </si>
  <si>
    <t>SPECTACLES,INDUSTRI</t>
  </si>
  <si>
    <t>2YT14Z61562579</t>
  </si>
  <si>
    <t>2YT14Z60938073</t>
  </si>
  <si>
    <t>DSHANDTNP</t>
  </si>
  <si>
    <t>HAND TOOLS, EDGED, NONPOWERED</t>
  </si>
  <si>
    <t>2YT14Z60938087</t>
  </si>
  <si>
    <t>CUTTER,BOLT</t>
  </si>
  <si>
    <t>2YT14Z60938081</t>
  </si>
  <si>
    <t>2YT14Z60938077</t>
  </si>
  <si>
    <t>DSTORQUEW</t>
  </si>
  <si>
    <t>TORQUEWRENCH</t>
  </si>
  <si>
    <t>2YT14Z60938082</t>
  </si>
  <si>
    <t>DSWRENCH0</t>
  </si>
  <si>
    <t>WRENCH</t>
  </si>
  <si>
    <t>2YT14Z60938083</t>
  </si>
  <si>
    <t>DSHANDTOO</t>
  </si>
  <si>
    <t>HAND TOOLS, NONEDGED, NONPOWERED</t>
  </si>
  <si>
    <t>2YT14Z60938085</t>
  </si>
  <si>
    <t>2YT14Z60938072</t>
  </si>
  <si>
    <t>DSHAMMER0</t>
  </si>
  <si>
    <t>HAMMER, NON-POWERED</t>
  </si>
  <si>
    <t>2YT14Z60938078</t>
  </si>
  <si>
    <t>2YT14Z60938074</t>
  </si>
  <si>
    <t>2YT14Z60938086</t>
  </si>
  <si>
    <t>2YT14Z61491956</t>
  </si>
  <si>
    <t>INTRENCHING TOOL,HAND</t>
  </si>
  <si>
    <t>THESE ITEMS WOULD BE USED BY THE ORANGE COUNTY SHERIFF'S DEPARTMENT. OUR SEARCH AND RESCUE, BEHAVIORAL HEALTH AND HOMELESS OUTREACH UNITS HAVE REQUESTED ITEMS LIKE THIS TO UTILIZE OUT IN THE FIELD DURING CALLS FOR SERVICE, CALL OUTS, CRITICAL INCIDENTS OR NATURAL DISASTERS.</t>
  </si>
  <si>
    <t>2YT14Z61491955</t>
  </si>
  <si>
    <t>2YT14Z61491954</t>
  </si>
  <si>
    <t>2YT14Z61491953</t>
  </si>
  <si>
    <t>2YT14Z61350912</t>
  </si>
  <si>
    <t>PIONEER KIT</t>
  </si>
  <si>
    <t>THESE ITEMS WOULD BE USED BY THE ORANGE COUNTY SHERIFF'S DEPARTMENT. THESE ITEMS COULD BE USED BY OUR SEARCH AND RESCUE DIVISION DURING CALLS FOR SERVICE AND TRAINING. SOME ITEMS COULD BE USED BY PATROL AND INVESTIGATIONS FOR PATROL OPERATIONS AND WARRANT SERVICE.</t>
  </si>
  <si>
    <t>2YT14Z60938076</t>
  </si>
  <si>
    <t>2YT14Z60938079</t>
  </si>
  <si>
    <t>DSMEASTOO</t>
  </si>
  <si>
    <t>MEASURING TOOLS, CRAFTMEN'S</t>
  </si>
  <si>
    <t>2YT14Z60866580</t>
  </si>
  <si>
    <t>DSHEADSET</t>
  </si>
  <si>
    <t>HEADSET</t>
  </si>
  <si>
    <t>THESE ITEMS WOULD BE USED BY THE ORANGE COUNTY SHERIFF'S DEPARTMENT. THESE ITEMS WOULD BE ISSUED AND USED BY OUR COMMUNICATIONS AND DISPATCHER DIVISION. OUR REAL TIME CRIME CENTER WOULD ALSO BE ABLE TO USE THE ITEMS FOR REVIEWING VIDEOS AND COMMUNICATING WITH DISPATCH. OUR HNT UNIT HAS ALSO EXPRESSED INTEREST IN THESE TYPE OF ITEMS.</t>
  </si>
  <si>
    <t>2YT14Z60938080</t>
  </si>
  <si>
    <t>DSMETER01</t>
  </si>
  <si>
    <t>LAB INSTRUMENT METER</t>
  </si>
  <si>
    <t>2YT14Z60938075</t>
  </si>
  <si>
    <t>DSTESTPOW</t>
  </si>
  <si>
    <t>TEST SET, ELECTRICAL POWER</t>
  </si>
  <si>
    <t>2YT14Z61078419</t>
  </si>
  <si>
    <t>DSSAMMOCN</t>
  </si>
  <si>
    <t>SMALL ARMS AMMO CAN</t>
  </si>
  <si>
    <t>ITEMS WILL BE USED BY THE ORANGE COUNTY SHERIFF'S DEPARTMENT FOR THE PURPOSE OF PLACEMENT WITHIN OUR QUARTERMASTER UNIT. THEY WILL BE USED TO STORE LESS LETHAL MUNITIONS PENDING ISSUE TO DIVISIONS WITHIN THE COUNTY.</t>
  </si>
  <si>
    <t>2YT14Z61421339</t>
  </si>
  <si>
    <t>THESE ITEMS WOULD BE USED BY THE ORANGE COUNTY SHERIFF'S DEPARTMENT. THESE CASES WOULD BE ISSUED TO OUR RTOC UNIT FOR STORAGE OF EQUIPMENT AND GEAR. OUR DRONE UNIT HAS ALSO ASKED FOR SIMILAR STORAGE SOLUTIONS FOR ELECTRONICS AND EQUIPMENT. OUR INVESTIGATIONS DIVISIONS HAVE ALSO ASKED FOR CASES TO STORE GEAR IN THEIR DEPARTMENT VEHICLES</t>
  </si>
  <si>
    <t>2YT14Z61078420</t>
  </si>
  <si>
    <t>PONCHO,WET WEATHER</t>
  </si>
  <si>
    <t>ITEMS WILL BE USED BY THE ORANGE COUNTY SHERIFF'S DEPARTMENT FOR THE PURPOSE OF ISSUE TO SWORN LAW ENFORCEMENT PERSONNEL DURING WET WEATHER EXTENDED DEPLOYMENTS SUCH AS SEARCH AND RESCUE OR FLOOD CONTROL.</t>
  </si>
  <si>
    <t>2YT14Z61543064</t>
  </si>
  <si>
    <t>THIS ITEM WOULD BE USED BY THE ORANGE COUNTY SHERIFF'S DEPARTMENT. THESE ITEMS COULD BE USED BY OUR SEARCH AND RESCUE OR HARBOR DIVISION DURING SEVERE OR INCLEMENT WEATHER. THE ITEMS COULD ALSO BE USED DURING CALLS FOR SERVICE, CRITICAL INCIDENTS, NATURAL DISASTERS AND MUTUAL AID EVENTS.</t>
  </si>
  <si>
    <t>2YT14Z61543076</t>
  </si>
  <si>
    <t>2YT14Z61543071</t>
  </si>
  <si>
    <t>2YT14Z61280337</t>
  </si>
  <si>
    <t>DSMUNDERW</t>
  </si>
  <si>
    <t>UNDERWEAR AND NIGHTWEAR, MENS</t>
  </si>
  <si>
    <t>THESE ITEMS WILL BE USED BY THE ORANGE COUNTY SHERIFF'S DEPARTMENT. THESE ITEMS COULD BE USED BY ANY OF OUR DEPUTIES IN THE FIELD AS A BASE LAYER DURING COLD, WET OR OTHER INCLEMENT WEATHER.</t>
  </si>
  <si>
    <t>2YT14Z61341627</t>
  </si>
  <si>
    <t>THESE ITEMS WOULD BE USED BY THE ORANGE COUNTY SHERIFF'S DEPARTMENT. THESE ITEMS COULD BE USED BY OUR SEARCH AND RESCUE AND HARBOR DIVISIONS TO WEAR DURING COLD AND OR INCLEMENT WEATHER. THE ITEMS COULD BE DEPLOYED AT JAILS, DURING CRITICAL EVENTS, CALL OUTS, MASS CASUALTY EVENTS, NATURAL DISASTERS AND RESCUE OPERATIONS</t>
  </si>
  <si>
    <t>2YT14Z61341626</t>
  </si>
  <si>
    <t>2YT14Z61341625</t>
  </si>
  <si>
    <t>2YT14Z61280287</t>
  </si>
  <si>
    <t>2YT14Z61553270</t>
  </si>
  <si>
    <t>THESE ITEMS WOULD BE USED BY THE ORANGE COUNTY SHERIFF'S DEPARTMENT. THESE ITEMS COULD BE ISSUED AND USED BY OUR HARBOR UNITS, SEARCH AND RESCUE, CANYON DEPUTIES OR JAIL DEPUTIES DURING COLD OR INCLEMENT WEATHER. THE ITEMS COULD ALSO BE USED OR DEPLOYED DURING CRISIS EVENTS, NATURAL DISASTER, OR CRITICAL INCIDENTS.</t>
  </si>
  <si>
    <t>2YT14Z61553269</t>
  </si>
  <si>
    <t>2YT14Z61553268</t>
  </si>
  <si>
    <t>2YT14Z61280297</t>
  </si>
  <si>
    <t>2YT14Z61280298</t>
  </si>
  <si>
    <t>2YT14Z61280301</t>
  </si>
  <si>
    <t>2YT14Z61280308</t>
  </si>
  <si>
    <t>2YT14Z61149788</t>
  </si>
  <si>
    <t>THESE ITEMS WOULD BE USED BY THE ORANGE COUNTY SHERIFF'S DEPARTMENT. THESE ITEMS COULD BE ISSUED TO SEARCH AND RESCUE, HARBOR PATROL, CANYON PATROL DEPUTIES OR ANY OTHER POSITION THAT WORKS OUT IN INCLEMENT WEATHER, EVENINGS, COLD WEATHER OR THAT IS OUT IN THE ELEMENTS FOR A LENGTHY AMOUNT OF TIME</t>
  </si>
  <si>
    <t>2YT14Z61280285</t>
  </si>
  <si>
    <t>2YT14Z61553272</t>
  </si>
  <si>
    <t>GAITER,NECK</t>
  </si>
  <si>
    <t>2YT14Z61129614</t>
  </si>
  <si>
    <t>SLEEPING BAG</t>
  </si>
  <si>
    <t>THESE ITEMS WOULD BE USED BY THE ORANGE COUNTY SHERIFF'S DEPARTMENT. THESE ITEMS COULD BE USED BY OR ISSUED TO OUR SEARCH AND RESCUE DIVISION, AIR SUPPORT DIVISION FOR RESCUES OR TRANSPORT, HARBOR DIVISION OR ISSUED TO OUR JAILS TO USE IN DEPUTY BUNKROOMS. THEY COULD ALSO BE DEPLOYED DURING NATURAL DISASTERS, DISPLACEMENTS OR OTHER CRITICAL INCIDENTS</t>
  </si>
  <si>
    <t>2YT14Z61331338</t>
  </si>
  <si>
    <t>MAT,SLEEPING</t>
  </si>
  <si>
    <t>THESE ITEMS WOULD BE USED BY THE ORANGE COUNTY SHERIFF'S DEPARTMENT. THESE ITEMS WOULD BE ISSUED OR USED BY OUR SWAT SNIPERS, K9 UNIT FOR TRAINING OR KENNELS, OUR DEPUTY BUNK ROOMS IN THE JAILS AND ECB OR OUR SEARCH AND RESCUE DURING DEPLOYMENTS AND CALLS FOR SERVICE.</t>
  </si>
  <si>
    <t>2YT14Z61129623</t>
  </si>
  <si>
    <t>2YT14Z61129622</t>
  </si>
  <si>
    <t>2YT14Z61129621</t>
  </si>
  <si>
    <t>2YT14Z61078410</t>
  </si>
  <si>
    <t>FIELD PACK</t>
  </si>
  <si>
    <t>ITEMS WILL BE USED BY THE ORANGE COUNTY SHERIFF'S DEPARTMENT FOR THE PURPOSE OF ISSUE TO SWORN LAW ENFORCEMENT PERSONNEL. THE BAGS WILL BE USED TO STORE AND TRANSFER EQUIPMENT BETWEEN SHIFTS AND LOCATIONS.</t>
  </si>
  <si>
    <t>2YT14Z61129618</t>
  </si>
  <si>
    <t>2YT14Z61260898</t>
  </si>
  <si>
    <t>BAG,BARRACKS</t>
  </si>
  <si>
    <t>THESE ITEMS WILL BE USED BY THE ORANGE COUNTY SHERIFF'S DEPARTMENT. THESE ITEMS COULD BE USED BY PATROL DEPUTIES OR OTHER DEPUTIES ASSIGNED TO FIELD OPERATIONS. THESE ITEMS COULD BE USED TO STORE AND TRANSPORT GEAR AND EQUIPMENT NEEDED FOR PATROL OPERATIONS</t>
  </si>
  <si>
    <t>2YT14Z61331437</t>
  </si>
  <si>
    <t>BAG,DUFFEL</t>
  </si>
  <si>
    <t>THESE ITEMS WOULD BE USED BY THE ORANGE COUNTY SHERIFF'S DEPARTMENT. THESE ITEMS WOULD BE ISSUED OUT TO OUR PATROL DEPUTIES TO USE AS GEAR BAGS OR EMERGENCY RESPONSE BAGS FOR GEAR AND EQUIPMENT.THE BAG COULD ALSO BE USED BY OUR SRT UNITS TO CARRY AND DEPLOY TOOLS, EQUIPMENT, GEAR OR NON LETHAL SYSTEMS.</t>
  </si>
  <si>
    <t>2YT14Z61078408</t>
  </si>
  <si>
    <t>2YT14Z61078409</t>
  </si>
  <si>
    <t>2YT14Z61129617</t>
  </si>
  <si>
    <t>2YT14Z61129620</t>
  </si>
  <si>
    <t>TEHAMA COUNTY DISTRICT ATTORNEY (2YTLQ8)</t>
  </si>
  <si>
    <t>2YTLQ861704088</t>
  </si>
  <si>
    <t>TROUSERS,COLD WEATH</t>
  </si>
  <si>
    <t>THE TEHAMA COUNTY DISTRICT ATTORNEY BUREAU OF INVESTIGATIONS WILL ISSUE TROUSERS,COLD WEATH TO INDIVIDUAL INVESTIGATORS FOR WORKING IN INCLEMENT WEATHER CONDITIONS.</t>
  </si>
  <si>
    <t>2YTLQ861704084</t>
  </si>
  <si>
    <t>2YTLQ861704093</t>
  </si>
  <si>
    <t>TROUSERS,EXTREME CO</t>
  </si>
  <si>
    <t>THE TEHAMA COUNTY DISTRICT ATTORNEY BUREAU OF INVESTIGATIONS WILL ISSUE TROUSERS,EXTREME CO TO INDIVIDUAL INVESTIGATORS FOR WORKING IN INCLEMENT WEATHER CONDITIONS.</t>
  </si>
  <si>
    <t>2YTLQ861704104</t>
  </si>
  <si>
    <t>VEST,FLAME RESISTAN</t>
  </si>
  <si>
    <t>THE TEHAMA COUNTY DISTRICT ATTORNEY BUREAU OF INVESTIGATIONS WILL ISSUE VEST,FLAME RESISTAN TO INDIVIDUAL INVESTIGATORS WITH NOMEX GEAR DURING FIRES.</t>
  </si>
  <si>
    <t>2YTLQ861704103</t>
  </si>
  <si>
    <t>2YTLQ861704102</t>
  </si>
  <si>
    <t>MITTEN SET,EXTREME</t>
  </si>
  <si>
    <t>THE TEHAMA COUNTY DISTRICT ATTORNEY BUREAU OF INVESTIGATIONS WILL ISSUE MITTEN SET,EXTREME TO INDIVIDUAL INVESTIGATORS FOR INCLEMENT WEATHER CONDITIONS.</t>
  </si>
  <si>
    <t>2YTLQ861704099</t>
  </si>
  <si>
    <t>2YTLQ861704101</t>
  </si>
  <si>
    <t>COVER,HELMET,CAMOUF</t>
  </si>
  <si>
    <t>THE TEHAMA COUNTY DISTRICT ATTORNEY BUREAU OF INVESTIGATIONS WILL ISSUE COVER,HELMET,CAMOUF TO SWAT TEAM SNIPERS FOR RURAL OPS.</t>
  </si>
  <si>
    <t>2YTLQ861704100</t>
  </si>
  <si>
    <t>2YTLQ861704089</t>
  </si>
  <si>
    <t>2YTLQ861704095</t>
  </si>
  <si>
    <t>SUSPENDERS,TROUSERS</t>
  </si>
  <si>
    <t>THE TEHAMA COUNTY DISTRICT ATTORNEY BUREAU OF INVESTIGATIONS WILL ISSUE SUSPENDERS,TROUSERS TO SUPPORT ISSUED TROUSERS</t>
  </si>
  <si>
    <t>2YTLQ861704096</t>
  </si>
  <si>
    <t>BAG,CLOTHING</t>
  </si>
  <si>
    <t>THE TEHAMA COUNTY DISTRICT ATTORNEY BUREAU OF INVESTIGATIONS WILL ISSUE BAG,CLOTHING TO INDIVIDUAL INVESTIGATORS TO STORE AND TRANSPORT EQUIPMENT.</t>
  </si>
  <si>
    <t>TEHAMA CSO (2YTLQ7)</t>
  </si>
  <si>
    <t>2YTLQ761350843</t>
  </si>
  <si>
    <t>HOOK,BOAT</t>
  </si>
  <si>
    <t>THE TEHAMA COUNTY SHERIFF'S OFFICE WILL USE HOOK,BOAT IN OUR BOATING UNIT AND SEARCH AND RESCUE UNIT.  TEHAMA COUNTY SHERIFF'S BOATING UNIT'S AREA OF RESPONSIBILITY INCLUDES 85 MILES OF THE SACRAMENTO RIVER AND BLACK BUTTE LAKE</t>
  </si>
  <si>
    <t>2YTLQ761149178</t>
  </si>
  <si>
    <t>INNER TUBE,PNEUMATI</t>
  </si>
  <si>
    <t>THE TEHAMA COUNTY SHERIFF'S OFFICE WILL USE INNER TUBE, PNEUMATIC TO STRENGTHEN AND REPAIR DEPARTMENT LARGE RESPONSE VEHICLE TIRES AND HEAVY DEPARTMENT EQUIPMENT HAULING TRAILER TIRES.</t>
  </si>
  <si>
    <t>2YTLQ761492216</t>
  </si>
  <si>
    <t>DSSHREDD0</t>
  </si>
  <si>
    <t>SHREDDER</t>
  </si>
  <si>
    <t>THE TEHAMA COUNTY SHERIFF'S OFFICE WILL USE SHREDDER AS OFFICE EQUIPMENT FOR DEPUTIES TO DESTROY CONFIDENTIAL INFORMATION AS REQUIRED BY LAW AND DEPARTMENT POLICY.</t>
  </si>
  <si>
    <t>2YTLQ761492217</t>
  </si>
  <si>
    <t>2YTLQ761421550</t>
  </si>
  <si>
    <t>SLING,ENDLESS</t>
  </si>
  <si>
    <t>THE TEHAMA COUNTY SHERIFF'S OFFICE WILL USE SLING, ENDLESS AS TOW STRAPS AND RECOVERY STRAPS FOR DEPARTMENT VEHICLE RECOVERY OPERATIONS.</t>
  </si>
  <si>
    <t>2YTLQ761421543</t>
  </si>
  <si>
    <t>DSFREEZER</t>
  </si>
  <si>
    <t>FREEZER</t>
  </si>
  <si>
    <t>THE TEHAMA COUNTY SHERIFF'S OFFICE WILL USE FREEZER TO HOLD ICE MADE AT THE DEPARTMENT FOR DEPUTY USE AND EMERGENCY SHELTERING RESPONSE USE.  DURING FIRE SEASON, WE GO THROUGH A TON OF ICE EACH DAY.</t>
  </si>
  <si>
    <t>2YTLQ761421549</t>
  </si>
  <si>
    <t>FIREMEN'S BOOT</t>
  </si>
  <si>
    <t>THE TEHAMA COUNTY SHERIFF'S OFFICE WILL USE FIREMEN'S BOOT AS PPE FOR DEPUTIES WHO ARE WORKING IN HAZARDS ENVIRONMENTS SUCH AS HUMAN REMAIN RECOVERY IN A BURNED OUT BUILDING.</t>
  </si>
  <si>
    <t>2YTLQ761351090</t>
  </si>
  <si>
    <t>LIFE PRESERVER,VEST</t>
  </si>
  <si>
    <t>THE TEHAMA COUNTY SHERIFF'S OFFICE WILL USE 	LIFE PRESERVER,VEST IN OUR BOATING AND SEARCH AND RESCUE UNITS TO BE USED DURING BOATING, RESCUE OR RECOVERY MISSIONS.</t>
  </si>
  <si>
    <t>2YTLQ761421443</t>
  </si>
  <si>
    <t>DIVER'S SUIT</t>
  </si>
  <si>
    <t>THE TEHAMA COUNTY SHERIFF'S OFFICE WILL USE DIVERS SUIT AS DEPUTY EQUIPEMNT TO COMPLEMENT THE DRY SUITS USED BY RESCUE DIVERS TO COMPLETE BODY RECOVERY MISSIONS AND SWIFT WATER RESCUES.</t>
  </si>
  <si>
    <t>2YTLQ761421546</t>
  </si>
  <si>
    <t>RESPIRATOR,AIR FILT</t>
  </si>
  <si>
    <t>THE TEHAMA COUNTY SHERIFF'S OFFICE WILL USE RESPIRATOR, AIR FILTERING AS PPE FOR DEPUTY USE WHEN WORKING IN SMOKEY ENVIRONMENTS AND WHILE WORKING WITH DIRTY, DUSTY OR IRRITANT EVIDENCE ITEMS.</t>
  </si>
  <si>
    <t>2YTLQ761633580</t>
  </si>
  <si>
    <t>SHOP EQUIPMENT,UTIL</t>
  </si>
  <si>
    <t>THE TEHAMA COUNTY SHERIFF'S OFFICE WILL USE SHOP EQUIPMENT, UTILITY, NUTS, BOLTS AND FASTENERS AS SUPPLISE FOR DEPUTIES TO MAKE MINOR REPAIRS TO DEPARTMENT EQUIPMENT.</t>
  </si>
  <si>
    <t>2YTLQ761280335</t>
  </si>
  <si>
    <t>THE TEHAMA COUNTY SHERIFF'S OFFICE WILL USE HAND TOOLS, EDGED, NONPOWERED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</si>
  <si>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2YTLQ761280339</t>
  </si>
  <si>
    <t>THE TEHAMA COUNTY SHERIFF'S OFFICE WILL USE HAND TOOLS, NONEDGED, NONPOWERED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</si>
  <si>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2YTLQ761280336</t>
  </si>
  <si>
    <t>2YTLQ761069176</t>
  </si>
  <si>
    <t>SCREWDRIVER SET,OFFSET</t>
  </si>
  <si>
    <t>THE TEHAMA COUNTY SHERIFF'S OFFICE WILL USE SCREWDRIVER SET, OFFSET AS TOOLS TO REPAIR AND MAINTAIN EMERGENCY RESPONSE VEHICLES AND EQUIPMENT.</t>
  </si>
  <si>
    <t>2YTLQ761351445</t>
  </si>
  <si>
    <t>COMBINATION TOOL,HAND</t>
  </si>
  <si>
    <t>THE TEHAMA COUNTY SHERIFF'S OFFICE WILL USE COMBINATION TOOL, HAND AS ISSUED EQUIPMENT FOR EMERGENCY RESPONSE VEHICLES, TO PROVIDE ESCAPE TOOLS FOR DEPUTIES WHO MIGHT GET TRAPPED ON ROADS BEHIND FALLEN TREES OR ROCK SLIDES.</t>
  </si>
  <si>
    <t>2YTLQ761350844</t>
  </si>
  <si>
    <t>MIRROR,INSPECTION</t>
  </si>
  <si>
    <t>THE TEHAMA COUNTY SHERIFF'S OFFICE WILL USE MIRROR,INSPECTION TO ISSUE TO PATROL AND SWAT OFFICERS IN THE FIELD FOR EMERGENCY USE.</t>
  </si>
  <si>
    <t>2YTLQ761350913</t>
  </si>
  <si>
    <t>THE TEHAMA COUNTY SHERIFF'S OFFICE WILL USE COMBINATION TOOL, HAND AS EQUIPMENT IN EMERGENCY RESPONSE VEHICLES TO PROVIDE TOOLS TO ASSIT DEPUTIES TO GET IN OR OUT OF ROAD BLOCK SITUATIONS DURING DISASTER OR EMERGENCY RESPONSE, CUTTING TREES, DIGGING OUT VEHICLES, CLEARING BRUSH FROM ROADWAYS.</t>
  </si>
  <si>
    <t>2YTLQ761280331</t>
  </si>
  <si>
    <t>DSTOOL000</t>
  </si>
  <si>
    <t>HAND TOOLS, POWER DRIVEN</t>
  </si>
  <si>
    <t>THE TEHAMA COUNTY SHERIFF'S OFFICE WILL USE HAND TOOLS, POWER DRIVEN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</si>
  <si>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2YTLQ761280334</t>
  </si>
  <si>
    <t>THE TEHAMA COUNTY SHERIFF'S OFFICE WILL USE 	HAND TOOLS, POWER DRIVEN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</si>
  <si>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2YTLQ761351447</t>
  </si>
  <si>
    <t>DRILL SET,TWIST</t>
  </si>
  <si>
    <t>THE TEHAMA COUNTY SHERIFF'S OFFICE WILL USE DRILL SET, TWIST AS TOOLS FOR DEPUTIES TO MAKE MINOR REPAIRS AND UPGRADES TO EMERGENCY RESPONSE VEHICLES AND FOR REPAIRS AND UPGRADES TO THE DEPARTMENT TRAINING RANGE.</t>
  </si>
  <si>
    <t>2YTLQ760938116</t>
  </si>
  <si>
    <t>DSDRILLBI</t>
  </si>
  <si>
    <t>DRILL BITS, COUNTERBORES, COUNTERSINKS</t>
  </si>
  <si>
    <t xml:space="preserve">THE TEHAMA COUNTY SHERIFF'S OFFICE WILL USE DRILL BITS, COUNTERBORES, COUNTERSINKS AS TOOLS TO FIX AND MAINTAIN PATROL UNITS AT THE SHERIFF'S AUTO SHOP AND PATROL BOATS AT THE BOATING STORAGE FACILITY.  
</t>
  </si>
  <si>
    <t>2YTLQ761351446</t>
  </si>
  <si>
    <t>2YTLQ761280342</t>
  </si>
  <si>
    <t>DIE AND TAP SET,THREAD CUTTING</t>
  </si>
  <si>
    <t>THE TEHAMA COUNTY SHERIFF'S OFFICE WILL USE DIE AND TAP SET,THREAD CUTTING AS TOOLS TO FIX AND MAINTAIN PATROL UNITS AT THE SHERIFF'S AUTO SHOP AND PATROL BOATS AT THE BOATING STORAGE FACILITY.</t>
  </si>
  <si>
    <t>2YTLQ761421561</t>
  </si>
  <si>
    <t>DSTOOLBOX</t>
  </si>
  <si>
    <t>TOOLBOX</t>
  </si>
  <si>
    <t>THE TEHAMA COUNTY SHERIFF'S OFFICE WILL USE TOOLBOX AS STORAGE FOR TOOLS USED TO FIX AND MAINTAIN PATROL UNITS AT THE SHERIFF'S AUTO SHOP AND PATROL BOATS AT THE BOATING STORAGE FACILITY.</t>
  </si>
  <si>
    <t>2YTLQ761421560</t>
  </si>
  <si>
    <t>2YTLQ761421559</t>
  </si>
  <si>
    <t>2YTLQ761421558</t>
  </si>
  <si>
    <t>2YTLQ761421556</t>
  </si>
  <si>
    <t>2YTLQ761421555</t>
  </si>
  <si>
    <t>2YTLQ761421554</t>
  </si>
  <si>
    <t>2YTLQ761421553</t>
  </si>
  <si>
    <t>2YTLQ761422157</t>
  </si>
  <si>
    <t>THE TEHAMA COUNTY SHERIFF'S OFFICE WILL USE TOOLBOX TO STORE DEPARTMENT TOOLS USED TO MAINTAIN EMERGENCY RESPONSE VEHICLES.</t>
  </si>
  <si>
    <t>2YTLQ761422156</t>
  </si>
  <si>
    <t>2YTLQ761421547</t>
  </si>
  <si>
    <t>2YTLQ761422155</t>
  </si>
  <si>
    <t>2YTLQ761422153</t>
  </si>
  <si>
    <t>2YTLQ761422154</t>
  </si>
  <si>
    <t>2YTLQ761422152</t>
  </si>
  <si>
    <t>2YTLQ761280309</t>
  </si>
  <si>
    <t>THE TEHAMA COUNTY SHERIFF'S OFFICE WILL USE SETS, KITS AND OUTFITS OF HAND TOOLS AS TOOLS FOR DEPUTY USE DURING MAINTENANCE PROJECTS AT THE DEPARTMENT RANGE, STORAGE FACILITIES AND SEARCH AND RESCUE TRAINING GROUNDS.</t>
  </si>
  <si>
    <t>2YTLQ761280310</t>
  </si>
  <si>
    <t>2YTLQ761069177</t>
  </si>
  <si>
    <t>THE TEHAMA COUNTY SHERIFF'S OFFICE WILL USE SETS, KITS, AND OUTFITS OF HAND TOOLS AS MAINTENANCE EQUIPMENT FOR DEPARTMENT FACILITIES, EMERGENCY VEHICLES AND EQUIPMENT.</t>
  </si>
  <si>
    <t>2YTLQ761350911</t>
  </si>
  <si>
    <t>TOOL KIT,ELECTRONIC</t>
  </si>
  <si>
    <t>THE TEHAMA COUNTY SHERIFF'S OFFICE WILL USE TOOL KIT, ELECTRONICS AS TOOLS FOR DEPUTIES AND DETECTCIVES TO COLLECT ELECTRONIC EVIDENCE FOR CRIMINAL CASES.</t>
  </si>
  <si>
    <t>2YTLQ761280307</t>
  </si>
  <si>
    <t>2YTLQ761350845</t>
  </si>
  <si>
    <t>THE TEHAMA COUNTY SHERIFF'S OFFICE WILL USE TOOL KIT,ELECTRONIC AS TOOLS TO FIX AND MAINTAIN PATROL UNITS AT THE SHERIFF'S AUTO SHOP AND PATROL BOATS AT THE BOATING STORAGE FACILITY.  THE KIT WILL ALSO BE USED TO FIX, REPAIR AND MAINTAIN SHERIFF'S FACILITIES.</t>
  </si>
  <si>
    <t>2YTLQ761280306</t>
  </si>
  <si>
    <t>2YTLQ761007818</t>
  </si>
  <si>
    <t>TOOL KIT,GENERAL ME</t>
  </si>
  <si>
    <t>THE TEHAMA COUNTY SHERIFF'S OFFICE WILL USE TOOL KIT, GERNAL MECHANICS AS DEPUTY EQUIPMENT TO FIX AND MAINTAIN EMERGENCY RESPONSE VEHICLES.  INCOMPLETE KITS WILL BE COMBINED TO FORM FULL KITS.</t>
  </si>
  <si>
    <t>2YTLQ761280326</t>
  </si>
  <si>
    <t>THE TEHAMA COUNTY SHERIFF'S OFFICE WILL USE SETS, KITS, AND OUTFITS OF HAND TOOLS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</si>
  <si>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2YTLQ761421551</t>
  </si>
  <si>
    <t>THE TEHAMA COUNTY SHERIFF'S OFFICE WILL USE TOOL KIT, PIONEER, ENGINEER'S AS TOOLS FOR DEPUTIES WORKING TO CLEAN AND MAINTAIN DEPARTMENT PROPERTIES AND MAKE UPGRADES TO RANGE FACILITES, MAINTAING A SAFE TRAINING ENVIORMENT FOR DEPUTIES.</t>
  </si>
  <si>
    <t>2YTLQ761492215</t>
  </si>
  <si>
    <t>BINDER,RATCHET</t>
  </si>
  <si>
    <t>THE TEHAMA COUNTY SHERIFF'S OFFICE WILL USE BINDER, RATCHET AS TOOLS AND EQUIPMENT FOR DEPUTY USE WHEN HAULING DEPARTMENT SUPPLIES AND EQUIPMENT FOR DISASTER RESPONSE, TRAINING AND STORAGE.</t>
  </si>
  <si>
    <t>2YTLQ761007823</t>
  </si>
  <si>
    <t>CASTER,SET 4</t>
  </si>
  <si>
    <t>THE TEHAMA COUNTY SHERIFF'S OFFICE WILL USE CASTER, SET 4 AS REPLACEMENT CASTERS FOR DEPARTMENT EQUIPMENT AND STORAGE BOXES, USED TO STORE AND MAINTAIN RESPONSE SUPPLIES.</t>
  </si>
  <si>
    <t>2YTLQ761078638</t>
  </si>
  <si>
    <t>THE TEHAMA COUNTY SHERIFF'S OFFICE WILL USE LADDER SCAFFOLDING IN THE DEPARTMENT EQUIPMENT STORAGE FACILITY AND THE EMERGENCY DISASTER SUPPLY FACILITY TO ALLOW EASIER ACCESS TO SUPPLIES ON UPPER SHELVES.</t>
  </si>
  <si>
    <t>2YTLQ761078639</t>
  </si>
  <si>
    <t>2YTLQ761078641</t>
  </si>
  <si>
    <t>2YTLQ761078643</t>
  </si>
  <si>
    <t>2YTLQ761078646</t>
  </si>
  <si>
    <t>THE TEHAMA COUNTY SHERIFF'S OFFICE WILL USE LADDER, SCAFFOLDING IN THE DEPARTMENT EQUIPMENT STORAGE FACILITY AND EMERGENCY DISASTER STORAGE FACILITY, TO SAFELY ACCESS UPPER SHELVING UNITS.</t>
  </si>
  <si>
    <t>2YTLQ761078647</t>
  </si>
  <si>
    <t>2YTLQ761078648</t>
  </si>
  <si>
    <t>2YTLQ761280317</t>
  </si>
  <si>
    <t>TAPE,INSULATION,ELECTRICAL</t>
  </si>
  <si>
    <t>RO</t>
  </si>
  <si>
    <t>THE TEHAMA COUNTY SHERIFF'S OFFICE WILL USE TAPE, INSULATION, ELECTRICAL AS EQUIPMENT FOR MAKING ELECTRICAL REPAIRS AND CONNECTIONS ON EMERGENCY RESPONSE VEHICLES AND EQUIPMENT  USED BY DEPUTIES.</t>
  </si>
  <si>
    <t>2YTLQ761280576</t>
  </si>
  <si>
    <t>CABLE,POWER,ELECTRI</t>
  </si>
  <si>
    <t>FT</t>
  </si>
  <si>
    <t>THE TEHAMA COUNTY SHERIFF'S OFFICE WILL USE CABLE, POWER, ELECTRICAL TO UPDATE AND ADD TO THE ELECTRICAL SYSTEMS AT THE RANGE, A FACILITY USED BY DEPUTIES FOR TRAINING AND THE SWAT TEAM SHOOT HOUSE.</t>
  </si>
  <si>
    <t>2YTLQ761351450</t>
  </si>
  <si>
    <t>THE TEHAMA COUNTY SHERIFF'S OFFICE WILL USE CABLE, POWER, ELECTRICAL TO UPGRADE AND ADD ONTO THE ELECTRICAL OPERATING SYSTEMS AT THE DEPARTMENT RANGE USED FOR DEPUTY TRAINING.</t>
  </si>
  <si>
    <t>2YTLQ761351448</t>
  </si>
  <si>
    <t>THE TEHAMA COUNTY SHERIFF'S OFFICE WILL USE CABLE, POWER, ELECTRICAL TO UPGRADE AND ADD ONTO THE ELECTICAL OPERATING SYSTEMS AT THE DEPARTMENT RANGE USED FOR DEPUTY TRAINING.</t>
  </si>
  <si>
    <t>2YTLQ760937447</t>
  </si>
  <si>
    <t>DSCABLEEL</t>
  </si>
  <si>
    <t>WIRE AND CABLE, ELECTRICAL, ROLL</t>
  </si>
  <si>
    <t>THE TEHAMA COUNTY SHERIFF'S OFFICE WILL USE WIRE AND CABLE, ELECTRICAL, ROLL TO WIRE UP PATROL CARS AND EMERGENCY RESPONSE VEHICLES WITH EMERGENCY LIGHTS, SIRENS AND FEATURES REQUIRED BY CALIFORNIA FOR EMERGENCY RESPONSE VEHICLES.</t>
  </si>
  <si>
    <t>2YTLQ761562819</t>
  </si>
  <si>
    <t>LIGHT UNIT,PORTABLE</t>
  </si>
  <si>
    <t>THE TEHAMA COUNTY SHERIFF'S OFFICE WILL USE LIGHT UNIT, PORTABLE AS CRIME SCENE LIGHTING AND EMERGENCY LIGHTING DURING DISASTER RESPONSE.</t>
  </si>
  <si>
    <t>2YTLQ761421353</t>
  </si>
  <si>
    <t>BANDAGE,GAUZE</t>
  </si>
  <si>
    <t>THE TEHAMA COUNTY SHERIFF'S OFFICE WILL USE BANDAGE, GAUZE AS EMERGENCY MEDICAL SUPPLIES IN PATROL VEHICLES AND DEPUTY FIRST AID KITS.  ANY EXPIRED ITEMS WILL BE USED FOR DEPUTY TRAINING.</t>
  </si>
  <si>
    <t>2YTLQ761492219</t>
  </si>
  <si>
    <t>THE TEHAMA COUNTY SHERIFF'S OFFICE WILL USE BANDAGE, GAUZE TO REPLACE AND REPLENTISH DEPARTMENT STORES AND REFILL DEPUTY FIRST AID KITS.  ANY EXPIRED GAUZE WILL BE USED FOR DEPUTY TRAINING.</t>
  </si>
  <si>
    <t>2YTLQ761280316</t>
  </si>
  <si>
    <t>DRESSING,BURN,FIRST</t>
  </si>
  <si>
    <t>THE TEHAMA COUNTY SHERIFF'S OFFICE WILL USE DRESSING, BURN, FIRST AID AS DEPUTY EMERGENCY MEDICAL RESPONSE EQUIPMENT.  ANY EXPIRED ITEMS WILL BE USED FOR DEPUTY FIRST AID TRAINING.</t>
  </si>
  <si>
    <t>2YTLQ760998715</t>
  </si>
  <si>
    <t>SUCTION APPARATUS,S</t>
  </si>
  <si>
    <t>THE TEHAMA COUNTY SHERIFF'S OFFICE WILL USE SUCTION APPARATUS, SURGERY AS FIRST AID MEDICAL SUPPLIES FOR DEPUTIES IN THE FIELD CONDUCTING EMERGENCY MEDICAL TREATMENT AWAY FROM REGULARLY AVAILABLE ASSISTANCE, SUCH AS DISASTER RESPONSE OR EXTENDED SAR OPERATIONS.</t>
  </si>
  <si>
    <t>2YTLQ761149179</t>
  </si>
  <si>
    <t>PLUG,EAR</t>
  </si>
  <si>
    <t>THE TEHAMA COUNTY SHERIFF'S OFFICE WILL USE PLUG, EAR AS PPE FOR DEPUTIES AT RANGE TRAINING AND DURING LIVE ACTION SCENARIO BASED TRAINING WHEN DISTRACTION DEVICES ARE IN USE.</t>
  </si>
  <si>
    <t>2YTLQ761219544</t>
  </si>
  <si>
    <t>THE TEHAMA COUNTY SHERIFF'S OFFICE WILL USE PLUG, EAR AS PPE FOR DEPUTIES DURING RANGE TRAINING.</t>
  </si>
  <si>
    <t>2YTLQ761078636</t>
  </si>
  <si>
    <t>THE TEHAMA COUNTY SHERIFF'S OFFICE WILL USE FIRST AID KIT, UNIVERSAL AS EMERGENCY RESPONSE EQUIPMENT TO TREAT INJURIES AND ANY EXPIRED ITEMS WILL BE USED BY DEPUTIES FOR FIRST AID TRAINING.</t>
  </si>
  <si>
    <t>2YTLQ761078637</t>
  </si>
  <si>
    <t>2YTLQ761078644</t>
  </si>
  <si>
    <t>SEA MARKER,FLUORESCEIN</t>
  </si>
  <si>
    <t>THE TEHAMA COUNTY SHERIFF'S OFFICE WILL USE SEA MARKER, FLUORESCENT AS EMERGENCY WATER RESCUE MARKING DYE, FOR DEPUTIES TO MARK AREAS FOR SWIFT WATER AND DIVER RESCUE TEAMS TO WORK DURING EMERGENCY OPERATIONS AND TRAINING.</t>
  </si>
  <si>
    <t>2YTLQ760866626</t>
  </si>
  <si>
    <t>TARGET,SILHOUETTE</t>
  </si>
  <si>
    <t>THE TEHAMA COUNTY SHERIFF'S OFFICE WILL USE TARGET, SILHOUETTE KNOCK DOWN AT THE DEPARTMENT RANGE FOR DEPUTY AND SNIPER TRAINING.</t>
  </si>
  <si>
    <t>2YTLQ761280451</t>
  </si>
  <si>
    <t>DSDSKTPCM</t>
  </si>
  <si>
    <t>DESKTOP COMPUTER</t>
  </si>
  <si>
    <t>THE TEHAMA COUNTY SHERIFF'S OFFICE WILL USE DESKTOP COMPUTER AS OFFICE EQUIPMENT TO REPLACE AGED WORKSTATIONS USED BY DEPUTIES AT THE SHERIFF'S OFIFCE STORAGE FACILLITY, USED TO TRACK INVENTORY, MAKE ORDERS AND MONITOR EMERGENCY RESPONSE VEHICLE MAINTENANCE SCHEDULES.</t>
  </si>
  <si>
    <t>2YTLQ760917809</t>
  </si>
  <si>
    <t>THE TEHAMA COUNTY SHERIFF'S OFFICE WILL USE COT AS DEPARTMENT EQUIPMENT PROVIDED TO DEPUTIES ON EXTENDED MUTUAL AID RESPONSE OR SEARCH AND RESCUE MISSIONS WHERE RETURNING HOME OR TO A HOTEL IS NOT AN OPTION.</t>
  </si>
  <si>
    <t>2YTLQ761280318</t>
  </si>
  <si>
    <t>BLANKET,BED</t>
  </si>
  <si>
    <t>THE TEHAMA COUNTY SHERIFF'S OFFICE WILL USE BLANKET, BED AS DEPUTY SLEEPING EQUIPMENT FOR USE DURING MUTUAL AID RESPONSE AND EXTENDED SEARCH AND RESCUE MISSIONS WHEN REGULAR SLEEPING ARRANGEMENTS ARE NOT AVAILIBLE.</t>
  </si>
  <si>
    <t>2YTLQ761280320</t>
  </si>
  <si>
    <t>2YTLQ761007819</t>
  </si>
  <si>
    <t>CAN,MILITARY</t>
  </si>
  <si>
    <t>THE TEHAMA COUNTY SHERIFF'S OFFICE WILL USE CAN, MILITARY TO CARRY WATER OR FUEL INTO REMOTE AREAS FOR EXTENDED SEARCH AND RESUCE OPERATIONS OR DISASTER RESPONSE.</t>
  </si>
  <si>
    <t>2YTLQ760938001</t>
  </si>
  <si>
    <t>MAT,WRESTLING</t>
  </si>
  <si>
    <t>THE TEHAMA COUNTY SHERIFF'S OFFICE WILL USE MAT, WRESTLING TO ADD TO THE DEPUTY DEFENSIVE TACTICS TRAINING AREA AND REPLACE WORN OUT MATS IN THE FACILITY.</t>
  </si>
  <si>
    <t>2YTLQ761008000</t>
  </si>
  <si>
    <t>2YTLQ761280296</t>
  </si>
  <si>
    <t>TOWEL,MACHINERY WIPING</t>
  </si>
  <si>
    <t>THE TEHAMA COUNTY SHERIFF'S OFFICE WILL USE TOWEL, MACHINERY WIPING AS DEPARTMENT EQUIPMENT USED BY DEPUTIES TO CLEAN PATROL VEHICES, DEPARTMENT EQUIPMENT AND FIREARMS.</t>
  </si>
  <si>
    <t>2YTLQ761280321</t>
  </si>
  <si>
    <t>ROLLER KIT,PAINT</t>
  </si>
  <si>
    <t>THE TEHAMA COUNTY SHERIFF'S OFFICE WILL USE ROLLER KIT, PAINT AS TOOLS FOR DEPUTIES TO PAINT AND REPAIR DEPARTMENT WORK FACILITIES.</t>
  </si>
  <si>
    <t>2YTLQ761219735</t>
  </si>
  <si>
    <t>BAG,PLASTIC</t>
  </si>
  <si>
    <t>THE TEHAMA COUNTY SHERIFF'S OFFICE WILL USE BAG,PLASTIC, AS EMERGENCY SHELTERING SUPPLIES TO BE STORED AT THE EMERGENCY OPERATIONS STORAGE FACILITY FOR DISASTER USE.  WE WILL BE ABLE TO USE THE BAG,PLASTIC TO PUT TOGETHER CARE KITS FOR EMERGENCY SHELTERING.</t>
  </si>
  <si>
    <t>2YTLQ761219538</t>
  </si>
  <si>
    <t>THE TEHAMA COUNTY SHERIFF'S OFFICE WILL USE BAG, PLASTIC 12X12 INCH, FOR DEPUTIES TO SECURE AND STORE EVIDENCE ITEMS.</t>
  </si>
  <si>
    <t>2YTLQ760795906</t>
  </si>
  <si>
    <t>THE TEHAMA COUNTY SHERIFF'S OFFICE WILL USE CONTAINER, FREIGHT, G TO STORE DISASTER RESPONSE SUPPLIES AT SHERIFF'S SHELTERING SITES.</t>
  </si>
  <si>
    <t>2YTLQ760937825</t>
  </si>
  <si>
    <t>TARPAULIN</t>
  </si>
  <si>
    <t>THE TEHAMA COUNTY SHERIFF'S OFFICE WILL USE TARPAULIN TO COVER DEPARTMENT SUPPLIES AND EQUIPMENT FOR WEATHER PROTECTION.</t>
  </si>
  <si>
    <t>2YTLQ760937433</t>
  </si>
  <si>
    <t>ACCESSORY KIT,GHILL</t>
  </si>
  <si>
    <t>THE TEHAMA COUNTY SHERIFF'S OFFICE WILL USE ACCESSORY KIT, GHILLIE AS ISSUED EQUIPMENT FOR SNIPER AND SNIPER OBSERVERS ON THE SWAT TEAM AND FOR RECON ELEMENTS IN ANTI DRUG OPERATION.</t>
  </si>
  <si>
    <t>2YTLQ761078645</t>
  </si>
  <si>
    <t>DSGLOVEWP</t>
  </si>
  <si>
    <t>GLOVES, COLD WEATHER</t>
  </si>
  <si>
    <t>THE TEHAMA COUNTY SHERIFF'S OFFICE WILL USE GLOVES, COLD WEATHER AS ISSUED EQUIPMENT TO DEPUTIES WORKING IN COLD OR FREEZING CONDITIONS AND ENVIRONMENTS AS PPE.</t>
  </si>
  <si>
    <t>2YTLQ761149644</t>
  </si>
  <si>
    <t>BOOTS,COMBAT</t>
  </si>
  <si>
    <t>THE TEHAMA COUNTY SHERIFF'S OFFICE WILL USE BOOTS, COMBAT 6.5 FOR DEPUTY USE DURING DRUG INTERDICTION AND DISASTER RESPONSE WHERE ALTERNATE BOOTS ARE NEEDED.</t>
  </si>
  <si>
    <t>2YTLQ761280324</t>
  </si>
  <si>
    <t>THE TEHAMA COUNTY SHERIFF'S OFFICE WILL USE BOOTS, MEN'S PAIR SIZE 8W AS DEPUTY ISSUED EQUIPMENT FOR DRUG INTERDICTION AND SEARCH AND RESCUE OPERATIONS.</t>
  </si>
  <si>
    <t>2YTLQ760866625</t>
  </si>
  <si>
    <t>THE TEHAMA COUNTY SHERIFF'S OFFICE WILL USE BOOTS, COMBAT SIZE 5N AS ISSUED EQUIPMENT FOR DEPUTY USE DURING REMOTE SEARCH AND RESCUE MISSIONS AND DRUG INTERDICTION OPERATIONS.</t>
  </si>
  <si>
    <t>2YTLQ760866468</t>
  </si>
  <si>
    <t>THE TEHAMA COUNTY SHERIFF'S OFFICE WILL USE BOOTS, COMBAT SIZE 13.5 AS ISSUED EQUIPMENT FOR DEPUTY USE DURING REMOTE SEARCH AND RESCUE MISSIONS AND DRUG INTERDICTION OPERATIONS.</t>
  </si>
  <si>
    <t>2YTLQ760866466</t>
  </si>
  <si>
    <t>THE TEHAMA COUNTY SHERIFF'S OFFICE WILL USE BOOTS, COMBAT SIZE 11.5W AS ISSUED EQUIPMENT FOR DEPUTY USE DURING REMOTE SEARCH AND RESCUE MISSIONS AND DRUG INTERDICTION OPERATIONS.</t>
  </si>
  <si>
    <t>2YTLQ760866465</t>
  </si>
  <si>
    <t>THE TEHAMA COUNTY SHERIFF'S OFFICE WILL USE BOOTS, COMBAT SIZE 8.5XW AS ISSUED EQUIPMENT FOR DEPUTY USE DURING REMOTE SEARCH AND RESCUE MISSIONS AND DRUG INTERDICTION OPERATIONS.</t>
  </si>
  <si>
    <t>2YTLQ760866464</t>
  </si>
  <si>
    <t>THE TEHAMA COUNTY SHERIFF'S OFFICE WILL USE BOOTS, COMBAT SIZE 11.5 AS ISSUED EQUIPMENT FOR DEPUTY USE DURING REMOTE SEARCH AND RESCUE MISSIONS AND DRUG INTERDICTION OPERATIONS.</t>
  </si>
  <si>
    <t>2YTLQ760866477</t>
  </si>
  <si>
    <t>THE TEHAMA COUNTY SHERIFF'S OFFICE WILL USE BOOTS, COMBAT SIZE 11 AS ISSUED EQUIPMENT FOR DEPUTY USE DURING REMOTE SEARCH AND RESCUE MISSIONS AND DRUG INTERDICTION OPERATIONS.</t>
  </si>
  <si>
    <t>2YTLQ760866472</t>
  </si>
  <si>
    <t>THE TEHAMA COUNTY SHERIFF'S OFFICE WILL USE BOOTS, MEN'S PAIR SIZE 8 AS ISSUED EQUIPMENT FOR DEPUTY USE DURING REMOTE SEARCH AND RESCUE MISSIONS AND DRUG INTERDICTION OPERATIONS.</t>
  </si>
  <si>
    <t>2YTLQ760866471</t>
  </si>
  <si>
    <t>THE TEHAMA COUNTY SHERIFF'S OFFICE WILL USE BOOTS, MEN'S PAIR SIZE 9 AS ISSUED EQUIPMENT FOR DEPUTY USE DURING REMOTE SEARCH AND RESCUE MISSIONS AND DRUG INTERDICTION OPERATIONS.</t>
  </si>
  <si>
    <t>2YTLQ760866469</t>
  </si>
  <si>
    <t>DSBOOTS00</t>
  </si>
  <si>
    <t>BOOT, MEN'S,</t>
  </si>
  <si>
    <t>THE TEHAMA COUNTY SHERIFF'S OFFICE WILL USE BOOTS,MEN'S SIZE 16 AS ISSUED EQUIPMENT FOR DEPUTY USE DURING REMOTE SEARCH AND RESCUE MISSIONS AND DRUG INTERDICTION OPERATIONS.</t>
  </si>
  <si>
    <t>2YTLQ760937438</t>
  </si>
  <si>
    <t>THE TEHAMA COUNTY SHERIFF'S OFFICE WILL USE BOOT, MEN'S PAIR, SIZE 14 R AS ISSUED EQUIPMENT FOR DEPUTY USE DURING DISASTER RESPONSE AND ANTI DRUG OPERATIONS.</t>
  </si>
  <si>
    <t>2YTLQ760937437</t>
  </si>
  <si>
    <t>THE TEHAMA COUNTY SHERIFF'S OFFICE WILL USE BOOTS, COMBAT, SIZE 4W AS ISSUED EQUIPMENT FOR DEPUTY USE DURING DISASTER RESPONSE AND ANTI DRUG OPERATIONS.</t>
  </si>
  <si>
    <t>2YTLQ760937436</t>
  </si>
  <si>
    <t>THE TEHAMA COUNTY SHERIFF'S OFFICE WILL USE BOOTS, MEN'S PAIR, SIZE 10 R AS ISSUED EQUIPMENT FOR DEPUTY USE DURING DISASTER RESPONSE AND ANTI DRUG OPERATIONS.</t>
  </si>
  <si>
    <t>2YTLQ760937435</t>
  </si>
  <si>
    <t>THE TEHAMA COUNTY SHERIFF'S OFFICE WILL USE BOOT, MEN'S PAIR SIZE 8 WOMANS AS ISSUED EQUIPMENT FOR DEPUTY USE DURING DISASTER RESPONSE AND ANTI DRUG OPERATIONS.</t>
  </si>
  <si>
    <t>2YTLQ760937434</t>
  </si>
  <si>
    <t>THE TEHAMA COUNTY SHERIFF'S OFFICE WILL USE BOOT, MEN'S SIZE 9W AS ISSUED EQUIPMENT FOR DEPUTY USE DURING DISASTER RESPONSE AND ANTI DRUG OPERATIONS.</t>
  </si>
  <si>
    <t>2YTLQ760866624</t>
  </si>
  <si>
    <t>THE TEHAMA COUNTY SHERIFF'S OFFICE WILL USE BOOTS, MENS SIZE 9W AS ISSUED EQUIPMENT FOR DEPUTY USE DURING REMOTE SEARCH AND RESCUE MISSIONS AND DRUG INTERDICTION OPERATIONS.</t>
  </si>
  <si>
    <t>2YTLQ761280289</t>
  </si>
  <si>
    <t>THE TEHAMA COUNTY SHERIFF'S OFFICE WILL USE ARMY COMBAT BOOT, HOT WEATHER SIZE 10.5 AS ISSUED EQUIPMENT FOR DEPUTIES FOR DRUG INTERDICTION AND SEARCH AND RESCUE OPERATIONS.</t>
  </si>
  <si>
    <t>2YTLQ761280286</t>
  </si>
  <si>
    <t>THE TEHAMA COUNTY SHERIFF'S OFFICE WILL USE ARMY COMBAT BOOT, HOT WEATHER SIZE 10W AS ISSUED EQUIPMENT FOR DEPUTIES FOR DRUG INTERDICTION AND SEARCH AND RESCUE OPERATIONS.</t>
  </si>
  <si>
    <t>2YTLQ761149546</t>
  </si>
  <si>
    <t>SOCKS</t>
  </si>
  <si>
    <t>THE TEHAMA COUNTY SHERIFF'S OFFICE WILL USE SOCKS AS ISSUED EQUIPMENT FOR DEPUTY USE.</t>
  </si>
  <si>
    <t>2YTLQ761149545</t>
  </si>
  <si>
    <t>2YTLQ761412256</t>
  </si>
  <si>
    <t>THE TEHAMA COUNTY SHERIFF'S OFFICE WILL USE SOCKS AS ISSUED EQUIPMENT FOR DEPUTY USE DURING NORMAL OPERATIONS, EXTENDED SAR MISSIONS AND DRUG INTERDICTION OPERATIONS.</t>
  </si>
  <si>
    <t>2YTLQ761007820</t>
  </si>
  <si>
    <t>CLIMBER'S EQUIPMENT</t>
  </si>
  <si>
    <t>THE TEHAMA COUNTY SHERIFF'S OFFICE WILL USE CLIMBER'S EQUIPMENT AS SWAT AND HIGH ANGLE SEARCH AND RESCUE EQUIPMENT FOR TEAM TRAINING AND EMERGENCY, OVER THE EDGE, RESPONSE.</t>
  </si>
  <si>
    <t>2YTLQ760937439</t>
  </si>
  <si>
    <t>BLADDER,HYDRATION S</t>
  </si>
  <si>
    <t>THE TEHAMA COUNTY SHERIFF'S OFFICE WILL USE BLADDER, HYDRATION SYSTEM AS REPLACEMENT BLADDERS FOR DEPUTY EQUIPMENT USED IN THE FIELD FOR SEARCH AND RESCUE OPERATIONS AND ANTI DRUG OPERATIONS, PROVIDING A PORTABLE WATER SOURCE WHILE WORKING.</t>
  </si>
  <si>
    <t>2YTLQ761078629</t>
  </si>
  <si>
    <t>MEDIC SET</t>
  </si>
  <si>
    <t>THE TEHAMA COUNTY SHERIFF'S OFFICE WILL USE MEDIC SET AS EMERGENCY VEHICLE RESPONSE SUPPLIES FOR DEPUTY USE DURING CALLS FOR SERVICE AND MEDICAL EMERGENCIES.</t>
  </si>
  <si>
    <t>2YTLQ761280302</t>
  </si>
  <si>
    <t>RUBBER SHEET,SOLID</t>
  </si>
  <si>
    <t>THE TEHAMA COUNTY SHERIFF'S OFFICE WILL USE RUBBER SHEET, SOLID AS FLOOR COVERING IN THE BOATING STORAGE FACILITY, FOR DEPUTY USE WHEN WORKING ON BOATS AND TRAILERS AS EMERGENCY RESPONSE VEHICLES.</t>
  </si>
  <si>
    <t>2YTLQ760928070</t>
  </si>
  <si>
    <t>RUBBER SHEET,CELLUL</t>
  </si>
  <si>
    <t>THE TEHAMA COUNTY SHERIFF'S OFFICE WILL USE RUBBER SHEET, CELLULAR AS FLOOR PADDING AND WALL PADDING TO BACK TRAINING MATTS USED TO KEEP DEPUTIES SAFE DURING DEFENSIVE TACTICS AND LIVE ACTION TRAINING EXERCISES.</t>
  </si>
  <si>
    <t>2YTLQ761280313</t>
  </si>
  <si>
    <t>PLASTIC SHEET</t>
  </si>
  <si>
    <t>THE TEHAMA COUNTY SHERIFF'S OFFICE WILL USE PLASTIC SHEET AS WATER PROOF BARIERS AND STRUCTURAL COMPONENTS OF THE SHERIFF'S OFFICE SHOOT HOUSE TRAINING SITE AT THE RANGE.</t>
  </si>
  <si>
    <t>CO</t>
  </si>
  <si>
    <t>CUSTER COUNTY SHERIFF OFFICE (2YTC2B)</t>
  </si>
  <si>
    <t>2YTC2B61633017</t>
  </si>
  <si>
    <t>CCSO, WOULD REQUEST THESE LAW ENFORCEMENT ITEMS FOR USE BY OUR OFFICE TO EQUIP OR DEPUTIES FOR DAILY WITH WITH NEW OR BARLEY USED EQUIPMENT.
THANK YOU</t>
  </si>
  <si>
    <t>2YTC2B60937265</t>
  </si>
  <si>
    <t>DSVAN0000</t>
  </si>
  <si>
    <t>VAN</t>
  </si>
  <si>
    <t>CCSO, WOULD REQUEST THIS VEHICLE FOR USE BY OUR OFFICE FOR THE USE OF A PRISONER TRANSPORT VAN, THE VAN WILL NEED A HUGE MAKEOVER BUT I BELIEVE THIS WOULD BE ADVANTAGES FOR OUR OFFICE AS WE CURRENTLY DO NOT HAVE A VEHICLE FOR THIS PURPOSE.
THANK YOU</t>
  </si>
  <si>
    <t>2YTC2B61281178</t>
  </si>
  <si>
    <t>DSPICKUP0</t>
  </si>
  <si>
    <t>PICKUP</t>
  </si>
  <si>
    <t>CCSO, WOULD REQUEST THIS TRUCK FOR OUR OFFICE TO BE USED IN PATROL BY OUR DEPUTIES.
THANK YOU</t>
  </si>
  <si>
    <t>2YTC2B61492070</t>
  </si>
  <si>
    <t>DSTRUCK00</t>
  </si>
  <si>
    <t>TRUCKS AND TRUCK TRACTORS</t>
  </si>
  <si>
    <t>CCSO, WOULD REQUEST THIS TRUCK FOR THE PURPOSE OF USE IN THE DAILY USE IN THE MAINTENANCE OF OUR BUILDINGS AND FACILITIES TO INCLUDE RANGES AND TO ASSIST IN THE BUILDING OF OUR MULTI-LEVEL BUILDINGS. THANK YOU</t>
  </si>
  <si>
    <t>2YTC2B60866629</t>
  </si>
  <si>
    <t>TRAILER,CARGO</t>
  </si>
  <si>
    <t>CCSO, WOULD REQUEST THIS TRAILER FOR THE PURPOSE OF MOVING HEAVY LOADS IN CONJUNCTION WITH OUR MRAP, THIS ITEM WOULD BE USED BY OUR PERSONAL ON A REGULAR BASSES IN AND AROUND OUR COUNTY.
THANKYOU</t>
  </si>
  <si>
    <t>2YTC2B60796047</t>
  </si>
  <si>
    <t>CCSO, WOULD REQUEST THIS TRAILER FOR THE PURPOSE OF MOVING ITEMS THAT HAVE BEEN GIFTED US BY DLA OR THINGS THAT NEED TO BE RELOCATED ON A DAILY BASSES FOR LAW ENFORCEMENT ACTIVITIES.
THANK YOU</t>
  </si>
  <si>
    <t>2YTC2B61492626</t>
  </si>
  <si>
    <t>TANK,WATER,TRLR MTD</t>
  </si>
  <si>
    <t>CCSO, WOULD REQUEST THIS WATER TANK FOR THE PURPOSE OF HAVING A POTABLE WATER TANK TO MOVE WATER INTO AREAS THAT HAVE BEEN AFFECTED BY SEVERE WEATHER OR OTHER REASONS. 
THANK YOU</t>
  </si>
  <si>
    <t>2YTC2B61633020</t>
  </si>
  <si>
    <t>CCSO, WOULD REQUEST THIS TRAILER FOR USE BY OUR OFFICE FOR A COMMAND CENTER, AS THIS TRAILER CAN BE CONVERTED TO A RESPECTABLE MOBILE COMMAND CENTER EASILY. 
THANK YOU</t>
  </si>
  <si>
    <t>2YTC2B61491840</t>
  </si>
  <si>
    <t>TRACTOR,FULL TRACKED,LOW SPEED</t>
  </si>
  <si>
    <t>CCSO, WOULD REQUEST THIS TRACTOR FOR THE EXPRESS USE ON OUR FIREARMS AND DRIVING RANGE COMPLEX, AS ALL OF OUR RANGES AND MOST OF OUR DRIVING TRACKS ARE EARTHEN IN NATURE HAVING HEAVY EQUIPMENT TO REPAIR, MAINTAIN AND CREATE NEW TRACKS IS VERY IMPORTANT TO OUR TRAINING NEEDS.
THANK YOU</t>
  </si>
  <si>
    <t>2YTC2B61351171</t>
  </si>
  <si>
    <t>CCSO, WOULD REQUEST THESE TIRES FOR USE BY OUR MOTOR POOL, TO BE USED FOR THE OFFSET OF WORN AND DAMAGED TIRES ON OUR PATROL VEHICLES.
THANK YOU</t>
  </si>
  <si>
    <t>2YTC2B61351172</t>
  </si>
  <si>
    <t>2YTC2B61351175</t>
  </si>
  <si>
    <t>2YTC2B60937256</t>
  </si>
  <si>
    <t>DSLAWNRID</t>
  </si>
  <si>
    <t>LAWN MOWER, RIDING</t>
  </si>
  <si>
    <t>CCSO, WOULD REQUEST THIS MOWER FOR THE UPKEEP OF OUR RANGES AND OTHER PROPERTIES DURING THE SUMMER MONTHS
THANK YOU</t>
  </si>
  <si>
    <t>2YTC2B61492062</t>
  </si>
  <si>
    <t>CCSO, WOULD REQUEST THIS EARTH MOVER FOR USE ON OUR  RANGES FOR THE BUILDING AND MAINTENANCE OF THESE RANGES WHICH DUE TO OUR HARSH WEATHER CONDITIONS DOES SEVER DAMAGE EACH YEAR.
THANK YOU</t>
  </si>
  <si>
    <t>2YTC2B61491841</t>
  </si>
  <si>
    <t>CRANE,BASIC UNIT,WHEEL MOUNTED</t>
  </si>
  <si>
    <t>CCSO, WOULD REQUEST THIS CRANE FOR THE EXPRESS USE ON OUR FIREARMS AND DRIVING RANGE COMPLEX, AS ALL OF OUR RANGES AND MOST OF OUR DRIVING TRACKS ARE UNDER CONSTRUCTION OR REMODELING HAVING HEAVY EQUIPMENT TO REPAIR, MAINTAIN AND CREATE NEW TRACKS, RANGES OR INFRASTRUCTURES IS VERY IMPORTANT TO OUR TRAINING NEEDS.
THANK YOU</t>
  </si>
  <si>
    <t>2YTC2B61703542</t>
  </si>
  <si>
    <t>CCSO, WOULD REQUEST THIS ITEM TO BE USED WITH OUR NEWLY ACQUIRED EARTH MOVER, THIS ITEM WOULD BE USED TO MAINTAIN OUR RANGES AND DRIVEWAYS. 
THANK YOU</t>
  </si>
  <si>
    <t>2YTC2B60795757</t>
  </si>
  <si>
    <t>NET,DRAFT COVER</t>
  </si>
  <si>
    <t>CCSO, WOULD REQUEST THIS WEBBING FOR THE PURPOSE OF SECURING ITEMS FOR TRANSPORT, OUR OFFICE MOVES A GREAT ,MANY ITEMS EACH DAY FOR THE REASONS OF TRAFFIC CONTROL, FIREARMS AND DRIVER TRAINING. SECURING THESE ITEMS IS A VERY IMPORTANT PART OF OUR DAILY DUTIES.
THANK YOU</t>
  </si>
  <si>
    <t>2YTC2B61633024</t>
  </si>
  <si>
    <t>FORK,PALLET LIFTING</t>
  </si>
  <si>
    <t>CCSO, WOULD REQUEST THIS SET OF FORKS TO BE ADDED TO OUR HEAVY EQUIPMENT TO INCREASE ITS USE.
THANK YOU</t>
  </si>
  <si>
    <t>2YTC2B61703662</t>
  </si>
  <si>
    <t>DSFAN0000</t>
  </si>
  <si>
    <t>FAN</t>
  </si>
  <si>
    <t xml:space="preserve">CCSO, WOULD REQUEST THESE FANS TO USE IN OUR OFFICES, MANY OF OUR OFFICE ARE NOT AIR CONDITIONED, BACK IN THE DAY IT WAS THOUGHT THAT BECAUSE OUR TOWN SETS AT APPROX. 8000FT THAT IT NEVER GETS HOT ENOUGH FOR AIR CONDITIONING. 
THANK YOU
</t>
  </si>
  <si>
    <t>2YTC2B61633022</t>
  </si>
  <si>
    <t>DSFFEQUIP</t>
  </si>
  <si>
    <t>FIRE FIGHTING EQUIPMENT</t>
  </si>
  <si>
    <t>CCSO, WOULD REQUEST THIS FIREFIGHTING EQUIPMENT TO BE USE BY OUR OFFICE TO ASSIST WITH WILD LAND FIRES. AS THE SHERRIF IS THE FIRE MARSHAL, AND OUR OFFICE HAS BEEN APPROVED TO RECEIVE FIREFIGHTING EQUIPMENT BY DLA.
THANK YOU</t>
  </si>
  <si>
    <t>2YTC2B61563026</t>
  </si>
  <si>
    <t>HEATER,SPACE</t>
  </si>
  <si>
    <t>CCSO, WOULD REQUEST THESE HEATERS TO BE USE BY OUR OFFICE FOR THEIR ORIGINAL PURPOSE OF HEATING AREAS THAT HAVE INADEQUATE HEAT DURING THE WINTER MONTHS.
THANK YOU</t>
  </si>
  <si>
    <t>2YTC2B60866630</t>
  </si>
  <si>
    <t>DSWATERPU</t>
  </si>
  <si>
    <t>WATER PURIFICATION EQUIPMENT</t>
  </si>
  <si>
    <t>CCSO, WOULD REQUEST THESE ITEMS AS WE HAVE A FRAGILE AND OVER WORKED PUBLIC WATER SYSTEM, HAVING A BACKUP CAPABILITY FOR MAKING CLEAN WATER WOULD BE A POW3ERFUL TOOL FOR OUR OFFICE.
THANK YOU</t>
  </si>
  <si>
    <t>2YTC2B61562638</t>
  </si>
  <si>
    <t>EVIDENCE COLLECTION KIT</t>
  </si>
  <si>
    <t>CCSO, WOULD REQUEST THESE KITS TO AUGMENT OUR EVIDENCE KITS FOR USE BY OUR DEPUTIES AND DETECTIVES ON A DAILY BASIS. THANK YOU</t>
  </si>
  <si>
    <t>2YTC2B61703544</t>
  </si>
  <si>
    <t>CCSO, WOULD REQUEST THIS TOOL KIT FOR USE BY OUR MAINTENANCE CREW FOR THE UPKEEP OF OUR FACILITIES.
THANK YOU</t>
  </si>
  <si>
    <t>2YTC2B61701844</t>
  </si>
  <si>
    <t>SHELTER,NONEXPANDABLE</t>
  </si>
  <si>
    <t>CCSO, WOULD REQUEST THIS SHELTER FOR USE TO CREATE A MOBIL-  COMMAND VEHICLE FOR OUR SPECIAL OPERATIONS TEAMS TO INCLUDED DIVE TEAM, PRECISION MARKSMAN AND MASS CASUALTIES TEAMS.
THANK YOU</t>
  </si>
  <si>
    <t>2YTC2B61351174</t>
  </si>
  <si>
    <t>CCSO, WOULD REQUEST THIS SHELTER FOR USE BY OUR OFFICE TOBE INSTALLED ON OUR PATROL TRUCKS TO BE USED AS A MOBIL COMMAND CENTER,
THANK YOU</t>
  </si>
  <si>
    <t>2YTC2B61492627</t>
  </si>
  <si>
    <t>GENERATOR SET,DIESE</t>
  </si>
  <si>
    <t>CCSO, WOULD REQUEST THIS GENERATOR FOR THE PURPOSE OF PROVIDING POWER TO AREAS THAT MAY HAVE BEEN AFFECTED BY SEVERE WEATHER OR OTHER REASONS.
THANK YOU</t>
  </si>
  <si>
    <t>2YTC2B61351176</t>
  </si>
  <si>
    <t>DSPRESSU2</t>
  </si>
  <si>
    <t>PRESSURE GAGUE</t>
  </si>
  <si>
    <t>CCSO, WOULD REQUEST THESE GAUGES FOR USE BY OUR MOTOR POOL FOR VEHICLE MAINTENANCE.
THANK YOU</t>
  </si>
  <si>
    <t>2YTC2B61281177</t>
  </si>
  <si>
    <t>DSSWITCH6</t>
  </si>
  <si>
    <t>SWITCH, NETWORK</t>
  </si>
  <si>
    <t>CCSO, WOULD REQUEST THESE SWITCHES FOR OUR IT DEPARTMENT FOR USE IN OUR COMPUTER NETWORK.
THANK YOU</t>
  </si>
  <si>
    <t>2YTC2B61703512</t>
  </si>
  <si>
    <t>DSROUTER3</t>
  </si>
  <si>
    <t>ROUTER, DIGITAL</t>
  </si>
  <si>
    <t>CCSO, WOULD REQUEST THESE ROUTERS FOR THE ORIGINAL  PURPOSE FOR OUR OFFICES IT DEPARTMENT.
THANK YOU</t>
  </si>
  <si>
    <t>2YTC2B61078378</t>
  </si>
  <si>
    <t>DSSAFE000</t>
  </si>
  <si>
    <t>SAFE</t>
  </si>
  <si>
    <t>CCSO, WOULD REQUEST THESE SAFES FOR USE BY OUR PERSONAL AND DEPUTIES FOR THE PURPOSE OF SECURING CONTROLLED ITEMS SUCH AS FOREARM, CASH CONTROL SUBSTANCES.
THANK YOU</t>
  </si>
  <si>
    <t>2YTC2B61633016</t>
  </si>
  <si>
    <t>BATON,EXTENDABLE</t>
  </si>
  <si>
    <t>2YTC2B60937268</t>
  </si>
  <si>
    <t>BELT,MILITARY POLIC</t>
  </si>
  <si>
    <t>CCSO, WOULD REQUEST THESE BELTS TO SUPPLEMENT OUR UNIFORM BELTS FOR BOTH NEW, OLD AND RESERVE DEPUTIES.
THANK YOU</t>
  </si>
  <si>
    <t>2YTC2B60937267</t>
  </si>
  <si>
    <t>2YTC2B60513463</t>
  </si>
  <si>
    <t>DSINDEQU0</t>
  </si>
  <si>
    <t>INDIVIDUAL EQUIPMENT</t>
  </si>
  <si>
    <t>CCSO, WOULD REQUEST THESE TRAINING BATONS FOR OUR OFFICE TO BE USE BY OUR DEPUTIES FOR TRAINING OF IMPACT WEAPONS.
THANK YOU</t>
  </si>
  <si>
    <t>2YTC2B60937272</t>
  </si>
  <si>
    <t>DHS/ICE ERO DENVER (2YTR64)</t>
  </si>
  <si>
    <t>2YTR6461492241</t>
  </si>
  <si>
    <t>JACK,HYDRAULIC,TRIPOD</t>
  </si>
  <si>
    <t>VCO AT DENVER IS IN CHARGE OF MAINTAINING ALL ROLLING STOCK ON THE PROPERTY. ITEM WILL BE UTILIZED TO ASSIST IN TIRE AND SPARE REPAIRS AT THE DENVER FIELD OFFICE.</t>
  </si>
  <si>
    <t>2YTR6461492227</t>
  </si>
  <si>
    <t xml:space="preserve">THIS EQUIPMENT WILL BE UTILIZED BY THE ERO DENVER AOR FOR THE TRANSPORTATION OF REQUISITIONED ITEMS FROM DLA. THE TRAILER WILL ALSO BE UTILIZED AS A LOGISTICAL TRAINING AID FOR THE AGENCY. LARGE TRAINING ITEMS WILL BE TRANSPORTED BETWEEN OFFICES SUCH AS FLOOR MATS FOR QUARTERLY DEFENSIVE TACTICS. 
</t>
  </si>
  <si>
    <t>2YTR6461351327</t>
  </si>
  <si>
    <t xml:space="preserve">ITEM TO BE UTILIZED BY THE DEPARTMENT OF HOMELAND SECURITY TRAINING OPERATIONS FOR THE DENVER, AOR. ITEM WILL BE USED BY TACTICS AND FIREARMS INSTRUCTORS TO BUILD TRAINING OBSTACLES AND BARRIERS FOR MANDATORY QUARTERLY TRAINING. 
</t>
  </si>
  <si>
    <t>2YTR6461422248</t>
  </si>
  <si>
    <t>TOOL KIT,SMALL ARMS</t>
  </si>
  <si>
    <t>ITEM TO BE UTILIZED BY THE FIELD MAINTENANCE ARMORERS IN THE DENVER, AOR FOR THE DEPARTMENT OF HOMELAND SECURITY.</t>
  </si>
  <si>
    <t>2YTR6461422250</t>
  </si>
  <si>
    <t xml:space="preserve">ITEM TO BE UTILIZED BY THE DEPARTMENT OF HOMELAND SECURITY TRAINING OPERATIONS FOR THE DENVER, AOR. ITEM WILL BE USED TO ASSIST OFFICERS IN THE TRAINING ENVIRONMENT TO ENSURE SAFE AND EFFECTIVE DRILLS. 
</t>
  </si>
  <si>
    <t>2YTR6461492242</t>
  </si>
  <si>
    <t>2YTR6461350856</t>
  </si>
  <si>
    <t xml:space="preserve">EQUIPMENT WILL BE USED IN THE DENVER AOR FOR THE USE OF TRAINING SRT OFFICERS TO MEET WITH PHYSICAL STANDARDS OF THE AGENCY. MAINTAINING A HIGH LEVEL OF AEROBIC AND ANAEROBIC FITNESS POSITIONS OFFICERS TO BE ABLE TO PROTECT AND SERVE THEIR COMMUNITIES. ANYONE IN THE FIELD OF PUBLIC SAFETY OR LAW ENFORCEMENT SHOULD HAVE THE ABILITY TO PERFORM A SUSTAINED LEVEL OF ACTIVITY FOR 20 MINUTES OR MORE. 
</t>
  </si>
  <si>
    <t>2YTR6461421586</t>
  </si>
  <si>
    <t>2YTR6461219475</t>
  </si>
  <si>
    <t>CHEST,AMMUNITION</t>
  </si>
  <si>
    <t xml:space="preserve">OFFICERS IN THE DENVER, COLORADO AOR ARE REQUIRED TO COMPLETE QUARTERLY FIREARMS TRAINING. THIS TRAINING IS COMPLETED ACROSS THE STATE AND PROPER PORTABLE AMMUNITION STORAGE AND TRANSPORTATION IS VITAL FOR OPERATIONS. AMMO CANS WILL BE UTILIZED BY THE FIREARMS INSTRUCTORS TO LOAD, STORE, AND TRANSPORT ASSIGNED AMMUNITION FOR TRAINING TO THE DESIGNATED TRAINING LOCATIONS. 
</t>
  </si>
  <si>
    <t>2YTR6461492236</t>
  </si>
  <si>
    <t xml:space="preserve">ITEM TO BE UTILIZED BY THE DEPARTMENT OF HOMELAND SECURITY TRAINING OPERATIONS FOR THE DENVER, AOR. ITEM WILL BE USED BY TACTICS AND FIREARMS INSTRUCTORS TO STORE AND TRANSPORT EQUIPMENT TO AND FROM TRAINING LOCATIONS. 
</t>
  </si>
  <si>
    <t>2YTR6461492234</t>
  </si>
  <si>
    <t>ELBOW,PADS</t>
  </si>
  <si>
    <t>2YTR6461219476</t>
  </si>
  <si>
    <t>PAD,KNEE</t>
  </si>
  <si>
    <t>TO BE ISSUED TO OFFICERS FOR FIELD TRAINING USAGE DURING FIREARMS DRILLS.</t>
  </si>
  <si>
    <t>2YTR6461492233</t>
  </si>
  <si>
    <t>MAT,SLEEPING,SELF-I</t>
  </si>
  <si>
    <t>2YTR6461422247</t>
  </si>
  <si>
    <t>MEDIC SET (8 EXT MOD PKT)</t>
  </si>
  <si>
    <t>GREELEY POLICE DEPT (2YTES7)</t>
  </si>
  <si>
    <t>2YTES760796638</t>
  </si>
  <si>
    <t>OUR SWAT TEAM WOULD LIKE TO PLACE THIS CONNEX AT THE FIRE ARMS AND EXPLOSIVE BREACHING RANGE TO STORE EQUIPMENT FOR TRAINING. THEY NEED A CONTAINER THAT CAN BE SECURED AND KEEP ITEMS OUT OF THE WEATHER TO PREVENT DAMAGE AND ROTTING. WE HAVE A SEMI TRUCK AND TRAILER TO PICK UP THIS CONNEX IF WE ARE APPROVED.</t>
  </si>
  <si>
    <t>LOCHBUIE POLICE DEPT (2YTGVE)</t>
  </si>
  <si>
    <t>2YTGVE61007831</t>
  </si>
  <si>
    <t>SIGHT,REFLEX</t>
  </si>
  <si>
    <t>LOCHBUIE PD IS SMALL WITH LIMITED FUNDS, SO EVERY TOOL MATTERS. A HIGH-QUALITY OPTICS WOULD IMPROVE ACCURACY IN CRITICAL INCIDENTS LIKE ACTIVE SHOOTERS OR HOSTAGE SITUATIONS, WHILE ALSO ENHANCING SAFETY AND PRECISION ON REGULAR PATROL. THIS ENSURES OFFICERS CAN RESPOND EFFECTIVELY TO THREATS, PROTECTING BOTH THE COMMUNITY AND THEMSELVES</t>
  </si>
  <si>
    <t>2YTGVE60937098</t>
  </si>
  <si>
    <t>DSGENERA1</t>
  </si>
  <si>
    <t>GENERATORS AND GENERATOR SETS, ELECTRICA</t>
  </si>
  <si>
    <t>LOCHBUIE PD IS A SMALL AGENCY WITH A LIMITED BUDGET, SO EVERY LITTLE BIT HELPS. A GENERATOR WOULD BE A TREMENDOUS HELP TO OUR DEPARTMENT. WE WOULD USE IT TO SUPPLY POWER TO A NUMBER OF THINGS WHILE OUT ON LONG CALLS AND ON REMOTE TRAININGS.</t>
  </si>
  <si>
    <t>2YTGVE60795823</t>
  </si>
  <si>
    <t>COMPUTER SET,DIGITAL</t>
  </si>
  <si>
    <t>LOCHBUIE PD IS A SMALL AGENCY WITH A LIMITED BUDGET, SO EVERY TOOL MATTERS. THESE LAPTOPS WOULD BE A HUGE ASSET TO US ALLOWING US TO REPLACE OUR CURRENT OLD AND OUT DATED LAPTOPS. THESE LAPTOPS WILL BE USED DAILY FOR REPORT WRITING AND OTHER LAW ENFORCEMENT PURPOSES.</t>
  </si>
  <si>
    <t>2YTGVE61078671</t>
  </si>
  <si>
    <t>LOCHBUIE PD IS A SMALL AGENCY WITH A LIMITED BUDGET, SO EVERY TOOL MATTERS. THESE SAFES WOULD BE A CRITICAL ASSET, ALLOWING US TO SECURELY STORE FIREARMS, EQUIPMENT, AND SENSITIVE ITEMS. THEY WILL IMPROVE ACCOUNTABILITY, ENHANCE OFFICER SAFETY, AND ENSURE COMPLIANCE WITH STORAGE REQUIREMENTS WHILE PROTECTING DEPARTMENT RESOURCES.</t>
  </si>
  <si>
    <t>CT</t>
  </si>
  <si>
    <t>PROSPECT POLICE DEPARTMENT (2YTJYC)</t>
  </si>
  <si>
    <t>2YTJYC61350989</t>
  </si>
  <si>
    <t>FOR THE PROSPECT POLICE DEPARTMENT TO ISSUE TO OFFICERS TO MOUNT SLINGS TO THEIR PATROL RIFLES.</t>
  </si>
  <si>
    <t>2YTJYC61351058</t>
  </si>
  <si>
    <t>FOR THE PROSPECT POLICE DEPARTMENT TO USE ON THE SCHOOL CAMPUS FOR THE SCHOOL RESOURCE OFFICER TO GET AROUND OUTSIDE QUICKER THAN ON FOOT.</t>
  </si>
  <si>
    <t>2YTJYC61280234</t>
  </si>
  <si>
    <t>LITTER,FOLDING,RIGI</t>
  </si>
  <si>
    <t>FOR THE PROSPECT POLICE DEPARTMENT TO USE IN EMERGENCIES TO TRANSPORT PATIENTS.</t>
  </si>
  <si>
    <t>2YTJYC61350692</t>
  </si>
  <si>
    <t>DSTRAINAI</t>
  </si>
  <si>
    <t>TRAINING AIDS</t>
  </si>
  <si>
    <t>FOR THE PROSPECT POLICE DEPARTMENT TO USE TO TRAIN OFFICERS ON INFANT CPR.</t>
  </si>
  <si>
    <t>2YTJYC61351059</t>
  </si>
  <si>
    <t>DSTABLET1</t>
  </si>
  <si>
    <t>TABLET COMPUTER</t>
  </si>
  <si>
    <t>FOR THE PROSPECT POLICE DEPARTMENT TO ISSUE TO OFFICERS FOR COMMUNICATION AND CASE MANAGEMENT.</t>
  </si>
  <si>
    <t>2YTJYC61351074</t>
  </si>
  <si>
    <t>IPAD</t>
  </si>
  <si>
    <t>FOR THE PROSPECT POLICE DEPARTMENT TO ISSUE OFFICERS FOR COMMUNICATION AS WELL AS CASE MANAGEMENT AND RESEARCH.</t>
  </si>
  <si>
    <t>2YTJYC61421328</t>
  </si>
  <si>
    <t>DSTENTARP</t>
  </si>
  <si>
    <t>TENTS AND TARPAULINS</t>
  </si>
  <si>
    <t>FOR THE PROSPECT POLICE DEPARTMENT TO USE FOR SPECIAL OCCASIONS AND COMMUNITY EVENTS.</t>
  </si>
  <si>
    <t>2YTJYC61350854</t>
  </si>
  <si>
    <t>DSSPCLOTA</t>
  </si>
  <si>
    <t>CLOTHING, SPECIAL PURPOSE, DEMIL A</t>
  </si>
  <si>
    <t>FOR THE PROSPECT POLICE DEPARTMENT TO ISSUE TO OFFICERS TO WEAR FOR TRAINING OR SPECIAL ASSIGNMENTS.</t>
  </si>
  <si>
    <t>2YTJYC61351076</t>
  </si>
  <si>
    <t>DSLOADBVS</t>
  </si>
  <si>
    <t>LOAD BEARING VESTS</t>
  </si>
  <si>
    <t>FOR THE PROSPECT POLICE DEPARTMENT TO ISSUE TO OFFICERS TO CARRY TACTICAL EQUIPMENT.</t>
  </si>
  <si>
    <t>2YTJYC61351075</t>
  </si>
  <si>
    <t>DSPOUCH00</t>
  </si>
  <si>
    <t>INDIVIDUAL POUCH</t>
  </si>
  <si>
    <t>FOR THE PROSPECT POLICE DEPARTMENT TO ISSUE TO OFFICERS TO MOUNT ON MOLLE VESTS TO CARRY EQUIPMENT.</t>
  </si>
  <si>
    <t>2YTJYC61351179</t>
  </si>
  <si>
    <t>FOR THE PROSPECT POLICE DEPARTMENT TO ISSUE TO OFFICERS TO MOUNT ON THEIR PLATE CARRIERS TO CARRY HYDRATION BLADDERS.</t>
  </si>
  <si>
    <t>DC</t>
  </si>
  <si>
    <t>DHS/CBP WASHINGTON DC (2YTRGK)</t>
  </si>
  <si>
    <t>2YTRGK61219655</t>
  </si>
  <si>
    <t>BRUSH,CLEANING,SMAL</t>
  </si>
  <si>
    <t>FOR US CUSTOMS AND BORDER PROTECTION FEDERAL LAW ENFORCEMENT OFFICERS TO UTILIZE DURING LAW ENFORCEMENT OPERATIONS, EMERGENCIES, CIVIL DISTURBANCE RESPONSE, ACTIVE SHOOTER RESPONSE, AND DISASTER RELIEF MISSIONS.</t>
  </si>
  <si>
    <t>2YTRGK61149654</t>
  </si>
  <si>
    <t>2YTRGK60867251</t>
  </si>
  <si>
    <t>RANGE FINDER,LASER</t>
  </si>
  <si>
    <t>2YTRGK60867250</t>
  </si>
  <si>
    <t>RANGE FINDER-TARGET DESIGNATOR,LASER</t>
  </si>
  <si>
    <t>2YTRGK61492691</t>
  </si>
  <si>
    <t>NRP,UPS,2KVA A018</t>
  </si>
  <si>
    <t>FOR USE OF THE CBP OFFICE INFORMATION TECHNOLOGY IT SPECIALISTS SUPPORTING FEDERAL LAW ENFORCEMENT OPERATIONS BIOMETRICS OPERATIONS SUCH AS ENTRY INTO LAND, SEA AND AIRPORTS.</t>
  </si>
  <si>
    <t>2YTRGK61492690</t>
  </si>
  <si>
    <t>2YTRGK60937315</t>
  </si>
  <si>
    <t>COVER,FITTED,VEHICU</t>
  </si>
  <si>
    <t>AY</t>
  </si>
  <si>
    <t>2YTRGK61351413</t>
  </si>
  <si>
    <t>2YTRGK61149653</t>
  </si>
  <si>
    <t>DSCREEPER</t>
  </si>
  <si>
    <t>CREEPER</t>
  </si>
  <si>
    <t>2YTRGK61200568</t>
  </si>
  <si>
    <t>TOOL KIT,REFRIGERATION EQUIPMENT</t>
  </si>
  <si>
    <t>2YTRGK61219871</t>
  </si>
  <si>
    <t>2YTRGK61149886</t>
  </si>
  <si>
    <t>FOR OUR FEDERAL OFFICER TO RECHARGE BATTERIES ON DEPLOYMENTS</t>
  </si>
  <si>
    <t>2YTRGK61210566</t>
  </si>
  <si>
    <t>FOR CBP FEDERAL AGENTS AND OFFICERS NIGHT TIME SHOOTING RANGE OPERATIONS</t>
  </si>
  <si>
    <t>2YTRGK60998678</t>
  </si>
  <si>
    <t>DSCASE000</t>
  </si>
  <si>
    <t>LAB INSTRUMENT CASE</t>
  </si>
  <si>
    <t>2YTRGK61351088</t>
  </si>
  <si>
    <t>2YTRGK61350819</t>
  </si>
  <si>
    <t>BUMPER PLATE,WEIGHT</t>
  </si>
  <si>
    <t>2YTRGK61350821</t>
  </si>
  <si>
    <t>2YTRGK61350820</t>
  </si>
  <si>
    <t>2YTRGK61350822</t>
  </si>
  <si>
    <t>2YTRGK60937325</t>
  </si>
  <si>
    <t>2YTRGK60937323</t>
  </si>
  <si>
    <t>INSECT NET PROTECTO</t>
  </si>
  <si>
    <t>2YTRGK60937324</t>
  </si>
  <si>
    <t>2YTRGK61149230</t>
  </si>
  <si>
    <t>2YTRGK61149864</t>
  </si>
  <si>
    <t>2YTRGK61280456</t>
  </si>
  <si>
    <t>TENT, FRAME TYPE EXPANDABLE, GREEN 16X16</t>
  </si>
  <si>
    <t>2YTRGK61149868</t>
  </si>
  <si>
    <t>2YTRGK61149272</t>
  </si>
  <si>
    <t>2YTRGK60020117</t>
  </si>
  <si>
    <t>LINER,WET WEATHER P</t>
  </si>
  <si>
    <t>FOR OUR TDY FEDERAL AGENTS AND OFFICERS TRAVELING TO SUPPORT HOMELAND SECURITY OPERATIONS FOR USE IN REMOTE SAFE AREAS TO PROVIDE REST AND COMFORT OF THE CBP LE PERSONAL</t>
  </si>
  <si>
    <t>2YTRGK60937306</t>
  </si>
  <si>
    <t>PARKA,COLD WEATHER</t>
  </si>
  <si>
    <t>2YTRGK60998695</t>
  </si>
  <si>
    <t>PARKA,CAMOUFLAGE</t>
  </si>
  <si>
    <t>2YTRGK61008006</t>
  </si>
  <si>
    <t>JACKET,PHYSICAL FIT</t>
  </si>
  <si>
    <t>FOR US CUSTOMS AND BORDER PROTECTION FEDERAL LAW ENFORCEMENT OFFICERS AT THE NATIONAL TARGETING CENTER TO CONDUCT ACTIVE SHOOTER TRAINING AND SIMUNITIONS FORCE ON FORCE SCENARIO-BASED TRAINING.</t>
  </si>
  <si>
    <t>2YTRGK61219646</t>
  </si>
  <si>
    <t>2YTRGK61219573</t>
  </si>
  <si>
    <t>BAG,FLYER'S HELMET</t>
  </si>
  <si>
    <t>2YTRGK61149271</t>
  </si>
  <si>
    <t>COVERALLS,MECHANICS</t>
  </si>
  <si>
    <t>2YTRGK60937336</t>
  </si>
  <si>
    <t>2YTRGK60937332</t>
  </si>
  <si>
    <t>2YTRGK60937320</t>
  </si>
  <si>
    <t>INSECT NET,HEAD</t>
  </si>
  <si>
    <t>2YTRGK60937319</t>
  </si>
  <si>
    <t>2YTRGK60937318</t>
  </si>
  <si>
    <t>OVERALLS,COLD WEATH</t>
  </si>
  <si>
    <t>2YTRGK60937317</t>
  </si>
  <si>
    <t>2YTRGK60937308</t>
  </si>
  <si>
    <t>2YTRGK60937316</t>
  </si>
  <si>
    <t>SHIRT,COLD WEATHER</t>
  </si>
  <si>
    <t>2YTRGK60937312</t>
  </si>
  <si>
    <t>BIVY COVER</t>
  </si>
  <si>
    <t>2YTRGK60937321</t>
  </si>
  <si>
    <t>2YTRGK60937322</t>
  </si>
  <si>
    <t>2YTRGK60937327</t>
  </si>
  <si>
    <t>STUFF SACK,COMPRESS</t>
  </si>
  <si>
    <t>2YTRGK60937328</t>
  </si>
  <si>
    <t>2YTRGK60937329</t>
  </si>
  <si>
    <t>2YTRGK60937330</t>
  </si>
  <si>
    <t>2YTRGK60937338</t>
  </si>
  <si>
    <t>2YTRGK60937339</t>
  </si>
  <si>
    <t>BAG DEPLOYMENT</t>
  </si>
  <si>
    <t>2YTRGK61149273</t>
  </si>
  <si>
    <t>2YTRGK61149274</t>
  </si>
  <si>
    <t>2YTRGK61149276</t>
  </si>
  <si>
    <t>COVER,BIVY</t>
  </si>
  <si>
    <t>2YTRGK61219647</t>
  </si>
  <si>
    <t>2YTRGK61219648</t>
  </si>
  <si>
    <t>2YTRGK61219649</t>
  </si>
  <si>
    <t>2YTRGK61219650</t>
  </si>
  <si>
    <t>2YTRGK61219651</t>
  </si>
  <si>
    <t>2YTRGK61219656</t>
  </si>
  <si>
    <t>2YTRGK61219657</t>
  </si>
  <si>
    <t>2YTRGK61219658</t>
  </si>
  <si>
    <t>BAG,EXTREME COLD WE</t>
  </si>
  <si>
    <t>2YTRGK60998679</t>
  </si>
  <si>
    <t>BAG,INDIVIDUAL EQUI</t>
  </si>
  <si>
    <t>2YTRGK60998680</t>
  </si>
  <si>
    <t>SUSTAINMENT POUCH</t>
  </si>
  <si>
    <t>2YTRGK60867460</t>
  </si>
  <si>
    <t>PACK,PATROL,MOLLE</t>
  </si>
  <si>
    <t>2YTRGK60867461</t>
  </si>
  <si>
    <t>2YTRGK60867462</t>
  </si>
  <si>
    <t>2YTRGK60867464</t>
  </si>
  <si>
    <t>2YTRGK60857470</t>
  </si>
  <si>
    <t>SHOULDER STRAP,FRAM</t>
  </si>
  <si>
    <t>2YTRGK60857472</t>
  </si>
  <si>
    <t>BELT,WAIST</t>
  </si>
  <si>
    <t>2YTRGK60867477</t>
  </si>
  <si>
    <t>2YTRGK60867478</t>
  </si>
  <si>
    <t>BELT, INDIVIDUAL EQUIPMENT</t>
  </si>
  <si>
    <t>2YTRGK60937309</t>
  </si>
  <si>
    <t>2YTRGK60937310</t>
  </si>
  <si>
    <t>2YTRGK60937311</t>
  </si>
  <si>
    <t>USDT/TIGTA WASHINGTON DC (2YTSXU)</t>
  </si>
  <si>
    <t>2YTSXU60866724</t>
  </si>
  <si>
    <t>THESE BOOTS WILL BE ISSUED TO AN AGENT WHO DEPLOYS WITH FEMA AS PART OF OUR ESF 13 TEAM</t>
  </si>
  <si>
    <t>2YTSXU60866725</t>
  </si>
  <si>
    <t>THESE BOOTS WILL BE ISSUED TO AN AGENT WHO IS A MEMBER OF OUR ESF 13 TEAM AND WHO DEPLOYS WITH FEMA TO DISASTER AREAS.</t>
  </si>
  <si>
    <t>2YTSXU60866726</t>
  </si>
  <si>
    <t>THIS BOOT WILL BE ISSUED TO AN AGENT WHO DEPLOYS WITH FEMA AS PART OF OUR ESF 13 TEAM</t>
  </si>
  <si>
    <t>DE</t>
  </si>
  <si>
    <t>FENWICK ISLAND POLICE DEPT (2YTD1X)</t>
  </si>
  <si>
    <t>2YTD1X61491827</t>
  </si>
  <si>
    <t>USED BY LAW ENFORCEMENT OFFICERS TO SHRED PERSONAL INFORMATION AND REPORTS OF DEFENDANTS AND VICTIMS.  THIS WILL ENSURE NO CLASSIFIED OR PERSONAL INFORMATION IS INADVERTENTLY ACCESSED OR READILY AVAILABLE.</t>
  </si>
  <si>
    <t>2YTD1X61281113</t>
  </si>
  <si>
    <t>DSGOGGLES</t>
  </si>
  <si>
    <t>SAFETY GOGGLES</t>
  </si>
  <si>
    <t>USED BY LAW ENFORCEMENT OFFICERS TO PROTECT THEIR EYES FROM DIRT AND SAND DURING HIGH WIND EMERGENCIES.  REQUESTING 16 TO PROVIDE TWO PAIR FOR EACH OFFICER.</t>
  </si>
  <si>
    <t>2YTD1X61351092</t>
  </si>
  <si>
    <t>WASHER,PRESSURE,POR</t>
  </si>
  <si>
    <t>USED BY LAW ENFORCEMENT OFFICERS TO CLEAN THEIR PATROL VEHICLES AS WELL AS PERSONAL EQUIPMENT DIRTIED DURING THE PERFORMANCE OF THEIR DUTIES.  BOTH ARE CONDITION H, HOPING TO USE ONE FOR PARTS TO GET OTHER OPERATIONAL.</t>
  </si>
  <si>
    <t>2YTD1X61149840</t>
  </si>
  <si>
    <t>USED BY LAW ENFORCEMENT OFFICERS TO PERFORM MINOR MAINTENANCE OF THEIR PATROL VEHICLES.  THESE WILL SUPPLY THE POLICE DEPARTMENT TO SERVICE 8 PATROL VEHICLES AND THE POLICE DEPARTMENT.</t>
  </si>
  <si>
    <t>2YTD1X61149889</t>
  </si>
  <si>
    <t>POWER SUPPLY,UNINTERRUPTIBLE</t>
  </si>
  <si>
    <t>USED BY LAW ENFORCEMENT OFFICERS TO ENSURE NEVER LOSING POWER TO THEIR WORKSTATIONS AND PRINTER DURING EXTREME WEATHER AND POWER OUTAGES.  1 POWER SUPPLY FOR EACH INDIVIDUAL OFFICER'S STATION AND EACH INDIVIDUAL PRINTER IN THE POLICE DEPARTMENT</t>
  </si>
  <si>
    <t>2YTD1X61421826</t>
  </si>
  <si>
    <t>DSPRINT05</t>
  </si>
  <si>
    <t>PRINTER</t>
  </si>
  <si>
    <t>USED BY LAW ENFORCEMENT OFFICERS TO REPLACE OLD, OUTDATED PRINTER IN THE POLICE DEPARTMENT TO INCLUDE THE EVIDENCE ROOM, PATROL ROOM PRINTERS AND PRISONER ROOM PRINTERS.</t>
  </si>
  <si>
    <t>2YTD1X61351108</t>
  </si>
  <si>
    <t>DSLEGCURL</t>
  </si>
  <si>
    <t>LEG CURL</t>
  </si>
  <si>
    <t>USED BY LAW ENFORCEMENT OFFICERS TO MAINTAIN THEIR PHYSICAL FITNESS TO HELP THEM PERFORM THEIR DUTIES AND MAINTAIN THEIR HEALTH.</t>
  </si>
  <si>
    <t>2YTD1X61421526</t>
  </si>
  <si>
    <t>USED BY LAW ENFORCEMENT OFFICERS DURING EMERGENCY SITUATIONS AS A COMMAND CENTER ON THE BEACH AND IN TOWN LIMITS.  ALSO USED AS A RALLY POINT OR POINT OF ACCESS DURING THESE EMERGENCY SITUATIONS</t>
  </si>
  <si>
    <t>STATE POLICE (2YTC6T)</t>
  </si>
  <si>
    <t>2YTC6T61492804</t>
  </si>
  <si>
    <t>TRUCK,LIFT,FORK</t>
  </si>
  <si>
    <t>THE DELAWARE STATE POLICE WILL UTILIZE THIS EQUIPMENT AT THE NEW SPECIAL OPERATIONS AND WMD WAREHOUSE FACILITY .</t>
  </si>
  <si>
    <t>FL</t>
  </si>
  <si>
    <t>EDGEWATER PD (2YTDND)</t>
  </si>
  <si>
    <t>2YTDND61492222</t>
  </si>
  <si>
    <t>THE EDGEWATER POLICE DEPARTMENT NEEDS THE REQUESTED TELEHANDLER TO EXPAND OPERATIONAL CAPABILITY IN RANGE MAINTENANCE, RESCUE, STORM RESPONSE, AND SWAT OPERATIONS. ITS LIFTING, LOADING, AND OFF-ROAD CAPABILITY WOULD ALLOW STAFF TO MOVE HEAVY MATERIALS, CLEAR DEBRIS, SUPPORT DISASTER RECOVERY, AND SAFELY POSITION EQUIPMENT IN DIFFICULT ENVIRONMENTS. DUE TO THE HIGH COST, THIS EQUIPMENT IS TYPICALLY BEYOND OUR REACH WITHOUT DEDICATED FUNDING.</t>
  </si>
  <si>
    <t>FISH AND WILDLIFE LAW ENF (2YTD3M)</t>
  </si>
  <si>
    <t>2YTD3M61351126</t>
  </si>
  <si>
    <t>PLATFORM LIFT</t>
  </si>
  <si>
    <t>TO BE USED BY FISH AND WILDLIFE LAW ENFORCEMENT TO CONDUCT SURVEILLANCE EQUIPMENT MAINTENANCE THROUGHOUT THE STATE.</t>
  </si>
  <si>
    <t>2YTD3M61351070</t>
  </si>
  <si>
    <t>TO BE USED BY FISH AND WILDLIFE LAW ENFORCEMENT TO CONDUCT MAINTENANCE ON SURVEILLANCE SYSTEMS THROUGHOUT THE STATE OF FLORIDA.</t>
  </si>
  <si>
    <t>LAKE COUNTY SHERIFF'S OFFICE (2YTGE4)</t>
  </si>
  <si>
    <t>2YTGE461562816</t>
  </si>
  <si>
    <t>DSCABLES0</t>
  </si>
  <si>
    <t>NETWORK CABLE IN BOXES</t>
  </si>
  <si>
    <t>TO ENHANCE THE AGENCY, LAKE COUNTY SHERIFF'S OFFICE, IN ITS LAW ENFORCEMENT RESPONSE IN INFORMATION TECHNOLOGY SYSTEMS. THIS ASSET WOULD ALSO BE USED FOR AN UPCOMING INFRASTRUCTURE SECURITY REFIT.</t>
  </si>
  <si>
    <t>2YTGE461562818</t>
  </si>
  <si>
    <t>POLK COUNTY SHERIFF OFFICE (2YTJS0)</t>
  </si>
  <si>
    <t>2YTJS060937988</t>
  </si>
  <si>
    <t>TOWBAR,AIRCRAFT</t>
  </si>
  <si>
    <t>THE POLK COUNTY SHERIFF'S OFFICE WILL USE THE REQUESTED PROPERTY TO MOVE AND POSITION AIRCRAFT DURING DISASTER-RELATED EMERGENCIES, SUCH AS HURRICANES AND WILDFIRES.</t>
  </si>
  <si>
    <t>2YTJS060433465</t>
  </si>
  <si>
    <t>SEMITRAILER,STAKE</t>
  </si>
  <si>
    <t>THE POLK COUNTY SHERIFF'S OFFICE WILL USE THE REQUESTED PROPERTY FOR ACTIVE SHOOTER AND ANTI-TERRORISM PREPAREDNESS AND PROTECTION DURING SAFETY AND SECURITY OPERATIONS AT LARGE-SCALE PUBLIC EVENTS.</t>
  </si>
  <si>
    <t>2YTJS061007993</t>
  </si>
  <si>
    <t>DSCHOCK00</t>
  </si>
  <si>
    <t>VEHICLE CHOCK</t>
  </si>
  <si>
    <t>THE POLK COUNTY SHERIFF'S OFFICE WILL USE THE REQUESTED PROPERTY TO SECURE VEHICLES AND TRAILERS AT STAGING AREAS DURING DISASTER-RELATED EMERGENCIES, SUCH AS HURRICANES AND WILDFIRES, AND SEARCH AND RESCUE OPERATIONS.</t>
  </si>
  <si>
    <t>2YTJS061219570</t>
  </si>
  <si>
    <t>THE POLK COUNTY SHERIFF'S OFFICE WILL USE THE REQUESTED PROPERTY DURING SEARCH AND RESCUE OPERATIONS RELATED TO NATURAL DISASTERS, SUCH AS FLOODS AND HURRICANES.</t>
  </si>
  <si>
    <t>2YTJS060866824</t>
  </si>
  <si>
    <t>DSRVTRCMP</t>
  </si>
  <si>
    <t>RECREATIONAL CAMPER, TRUCK TRAILER</t>
  </si>
  <si>
    <t>THE POLK COUNTY SHERIFF'S OFFICE WILL USE THE REQUESTED PROPERTY DURING UNDERWATER SEARCH, RESCUE AND RECOVERY OPERATIONS AND DURING DISASTER-RELATED EMERGENCIES, SUCH AS HURRICANES.</t>
  </si>
  <si>
    <t>2YTJS060937989</t>
  </si>
  <si>
    <t>BOX,SHIPPING</t>
  </si>
  <si>
    <t>THE POLK COUNTY SHERIFF'S OFFICE WILL USE THE REQUESTED PROPERTY TO STORE EQUIPMENT, MATERIALS AND SUPPLIES USED DURING DISASTER RELATED EMERGENCIES AND SEARCH AND RESCUE OPERATIONS.</t>
  </si>
  <si>
    <t>2YTJS061129567</t>
  </si>
  <si>
    <t>SHIPPING AND STORAGE CONTAINER,ENGINE</t>
  </si>
  <si>
    <t>SUMTER CSO (2YTLLK)</t>
  </si>
  <si>
    <t>2YTLLK60937355</t>
  </si>
  <si>
    <t>SOCKET,SOCKET WRENCH</t>
  </si>
  <si>
    <t>THE SUMTER COUNTY SHERIFF REQUESTS THIS TOOL TO BE USED BY LAW ENFORCEMENT TO MAINTAIN MISSION ESSENTIAL EQUIPMENT.</t>
  </si>
  <si>
    <t>2YTLLK60937354</t>
  </si>
  <si>
    <t>2YTLLK60937353</t>
  </si>
  <si>
    <t>INSTALLATION TOOL,B</t>
  </si>
  <si>
    <t>2YTLLK60937350</t>
  </si>
  <si>
    <t>SEARCHLIGHT</t>
  </si>
  <si>
    <t>THE SUMTER COUNTY SHERIFF REQUESTS THIS ITEM TO BE USED BY LAW ENFORCEMENT IN SEARCH AND RESCUE MISSIONS.</t>
  </si>
  <si>
    <t>2YTLLK60795993</t>
  </si>
  <si>
    <t>SINK UNIT,SCRUB,FIE</t>
  </si>
  <si>
    <t>THE SUMTER COUNTY SHERIFF REQUESTS THIS ITEM TO BE USED BY LAW ENFORCEMENT FOR SANITATION IN NATURAL DISASTER INCIDENTS.</t>
  </si>
  <si>
    <t>2YTLLK60795992</t>
  </si>
  <si>
    <t>2YTLLK60866649</t>
  </si>
  <si>
    <t>DSTABLE02</t>
  </si>
  <si>
    <t>TABLE, OFFICE</t>
  </si>
  <si>
    <t>THE SUMTER COUNTY SHERIFF REQUESTS THIS ITEM TO BE USED BY LAW ENFORCEMENT TO MAINTAIN EQUIPMENT.</t>
  </si>
  <si>
    <t>2YTLLK60795995</t>
  </si>
  <si>
    <t>THE SUMTER COUNTY SHERIFF REQUESTS THIS ITEM TO BE USED BY LAW ENFORCEMENT TO HOLD THEIR PERSONAL PROTECTIVE EQUIPMENT.</t>
  </si>
  <si>
    <t>VOLUSIA SHERIFF OFFICE (2YTM30)</t>
  </si>
  <si>
    <t>2YTM3061149849</t>
  </si>
  <si>
    <t>ILLUMINATOR,INFRARE</t>
  </si>
  <si>
    <t>THESE LASERS WILL BE USED AS A SECONDARY SIGHTING SYSTEM FOR VSO SWAT</t>
  </si>
  <si>
    <t>2YTM3061149850</t>
  </si>
  <si>
    <t>2YTM3061149851</t>
  </si>
  <si>
    <t>2YTM3061149852</t>
  </si>
  <si>
    <t>2YTM3061149853</t>
  </si>
  <si>
    <t>2YTM3061149854</t>
  </si>
  <si>
    <t>2YTM3061149855</t>
  </si>
  <si>
    <t>2YTM3061149856</t>
  </si>
  <si>
    <t>2YTM3061149857</t>
  </si>
  <si>
    <t>2YTM3061149858</t>
  </si>
  <si>
    <t>2YTM3061149859</t>
  </si>
  <si>
    <t>2YTM3061149942</t>
  </si>
  <si>
    <t>ILLUMINATOR,INTEGRATED,SMALL ARMS</t>
  </si>
  <si>
    <t>2YTM3061149848</t>
  </si>
  <si>
    <t>2YTM3061149847</t>
  </si>
  <si>
    <t>2YTM3061149846</t>
  </si>
  <si>
    <t>2YTM3060937491</t>
  </si>
  <si>
    <t>THESE LASERS WILL BE USED AS A SECONDARY SIGHTING SYSTEM FOR VSO SWAT.</t>
  </si>
  <si>
    <t>2YTM3060938066</t>
  </si>
  <si>
    <t>2YTM3060937504</t>
  </si>
  <si>
    <t>GA</t>
  </si>
  <si>
    <t>ATKINSON CSO (2YTAP4)</t>
  </si>
  <si>
    <t>2YTAP461633228</t>
  </si>
  <si>
    <t>GENERATOR SET,DIESEL ENGINE</t>
  </si>
  <si>
    <t>THIS WOULD BE USED BY LAW ENFORCEMENT TO RUN REMOTE ELECTRIC AND SCENE LIGHTING NEEDS IN SUPPORT OF INVESTIGATIVE REQUIREMENTS.</t>
  </si>
  <si>
    <t>2YTAP461633229</t>
  </si>
  <si>
    <t>THIS WILL BE USED BY LAW ENFORCEMENT TO SUPPLY ELECTRICITY NEEDS IN REMOTE LOCATIONS IN SUPPORT OF INVESTIGATIVE REQUIREMENTS.</t>
  </si>
  <si>
    <t>BERRIEN COUNTY SHERIFF DEPT (2YTA6K)</t>
  </si>
  <si>
    <t>2YTA6K61219409</t>
  </si>
  <si>
    <t>THIS WILL BE USED BY THE SHERIFF'S TO MAINTAIN THE SHERIFF'S OFFICE BUILDING EXTERIOR LIGHTING, PAINT AND CAMERA EQUIPMENT. THIS WILL TAKE THE PLACE OF THE OLD BUCKET TRUCK THAT WAS REMOVED FROM SERVICE DO TO SAFETY CONCERNS.</t>
  </si>
  <si>
    <t>2YTA6K61007541</t>
  </si>
  <si>
    <t>WILL BE USED BY THE SHERIFF'S OFFICE TO MAINTAIN THE FIRING RANGE AND STORM DISASTER RESPONSE.</t>
  </si>
  <si>
    <t>2YTA6K60654650</t>
  </si>
  <si>
    <t>WILL BE USED BY THE SHERIFFS OFFICE TO MAINTAIN SHERIFFS OFFICE GROUNDS AND FIRING RANGE.</t>
  </si>
  <si>
    <t>2YTA6K60866754</t>
  </si>
  <si>
    <t>WILL BE USED AS A SMALLER LIFT TO LOAD AND UNLOAD EMERGENCY EQUIPMENT AND PROPERTY.</t>
  </si>
  <si>
    <t>2YTA6K61008092</t>
  </si>
  <si>
    <t>STOWAGE BOX,CHAIN H</t>
  </si>
  <si>
    <t>WILL BE USED BY THE SHERIFF'S OFFICE FOR STORAGE OF EQUIPMENT.</t>
  </si>
  <si>
    <t>2YTA6K60655033</t>
  </si>
  <si>
    <t>RESCUE AND SALVAGING KIT,HYDRAULIC</t>
  </si>
  <si>
    <t>THIS WILL BE USED BY THE SHERIFF'S OFFICE EMERGENCY RESPONSE TEAM FOR TACTICAL OPERATIONS TO GAIN ENTRY TO HARDENED ACCESS POINTS OR BUILDINGS DURING SEARCH WARRANT OPERATIONS.</t>
  </si>
  <si>
    <t>2YTA6K61008090</t>
  </si>
  <si>
    <t>THESE WILL BE USED FOR STORAGE OF SHERIFF'S OFFICE EQUIPMENT.</t>
  </si>
  <si>
    <t>2YTA6K60847341</t>
  </si>
  <si>
    <t>WILL BE USED BY THE SHERIFF'S OFFICE AS STORAGE AND SHELTER FOR SHERIFF'S OFFICE EQUIPMENT.</t>
  </si>
  <si>
    <t>2YTA6K60847343</t>
  </si>
  <si>
    <t>WILL BE USED BY THE SHERIFF'S OFFICE FOR STORAGE AND SHELTER FOR SHERIFF'S OFFICE EQUIPMENT.</t>
  </si>
  <si>
    <t>CLAXTON PD (2YTCGM)</t>
  </si>
  <si>
    <t>2YTCGM61007945</t>
  </si>
  <si>
    <t>UNMANNED AIRCRAFT SYSTEM</t>
  </si>
  <si>
    <t>THIS ITEM IS BEING REQUESTED BY THE CLAXTON POLICE DEPARTMENT TO BE USED BY OFFICERS FOR LAW ENFORCEMENT PURPOSES. THE RESQUESTED UNMANNED AIRCRAFT SYSTEM WILL BE UTILIZED BY OFFICERS FOR SEARCH AND RESCUE PURPOSES AND OVER WATCH FOR OFFICERS SAFETY.</t>
  </si>
  <si>
    <t>2YTCGM60937230</t>
  </si>
  <si>
    <t>THIS ITEM IS BEING REQUESTED BY THE CLAXTON POLICE DEPARTMENT TO BE USE BY OFFICERS FOR LAW ENFORCEMENT PURPOSES. THE REQUESTED MOTORIZED CART WILL BE UTILIZED BY OFFICERS FOR HIGH POPULATED EVENTS WHERE VEHICLES MAY BE A CONCERNS OR SAFETY FOR THE PUBLIC WITH PATROLLING THE AREA. THE MOTORIZED CART WILL ALLOW OFFICERS TO PATROL AND RESPOND IN EFFICIENT AND SAFE MANNER.</t>
  </si>
  <si>
    <t>2YTCGM61008142</t>
  </si>
  <si>
    <t>COMPUTER SYSTEM,DIGITAL</t>
  </si>
  <si>
    <t>THIS ITEM IS BEING REQUESTED BY THE CLAXTON POLICE DEPARTMENT TO BE USED BY THE OFFICERS FOR LAW ENFORCEMENT PURPOSES. THE REQUESTED COMPUTERS WILL BE UTILIZED BY OFFICERS ON DUTY TASK AND FOR TRAINING NEEDS .</t>
  </si>
  <si>
    <t>COFFEE COUNTY SHERIFF OFFICE (2YTCMM)</t>
  </si>
  <si>
    <t>2YTCMM61280443</t>
  </si>
  <si>
    <t>DEPUTIES AT THE COFFEE COUNTY SHERIFF'S OFFICE WILL USE THE CARGO TRUCK DURING AND AFTER NATURAL DISASTERS TO TRANSPORT SUPPLIES, EQUIPMENT AND PEOPLE TO SAFETY. WITH THE TRUCK DEPUTIES WILL BE ABLE TO TRAVERSE ROUGH TERRAIN AND TRAVEL DOWN FLOODED ROADS IN EMERGENCY SITUATIONS.</t>
  </si>
  <si>
    <t>FORSYTH COUNTY SHERIFF OFFICE (2YTD7D)</t>
  </si>
  <si>
    <t>2YTD7D60906686</t>
  </si>
  <si>
    <t>TRAINER,DEFIBRILLAT</t>
  </si>
  <si>
    <t>ITEMS WILL BE USED BY THE FORSYTH CO. SHERIFF'S OFFICE FOR LAW ENFORCEMENT PURPOSES ONLY. ITEMS WILL BE USED TO AID IN TRAINING OF CPR TO OFFICERS IN THE FIELD DURING RESPONSE TO MEDICAL EMERGENCIES.</t>
  </si>
  <si>
    <t>GRADY COUNTY SHERIFFS OFFICE (2YTEPE)</t>
  </si>
  <si>
    <t>2YTEPE61149516</t>
  </si>
  <si>
    <t>GRADY COUNTY SHERIFF'S OFFICE WILL USE THE VEHICLE FOR THE DRONE UNIT TO SUPPORT LAW ENFORCEMENT OPERATIONS INCLUDING AERIAL SURVEILLANCE SEARCH AND RESCUE AND CRIME SCENE DOCUMENTATION. IT WILL TRANSPORT DRONE EQUIPMENT AND PERSONNEL TO SCENES AND REMOTE AREAS. THIS IMPROVES RESPONSE CAPABILITY EFFICIENCY AND OFFICER SAFETY DURING INVESTIGATIONS AND CRITICAL INCIDENTS.</t>
  </si>
  <si>
    <t>2YTEPE61007987</t>
  </si>
  <si>
    <t>ALL TERRAIN VEHICLE WHEELED</t>
  </si>
  <si>
    <t>GRADY COUNTY SHERIFF'S OFFICE WILL UTILIZE UTILITY VEHICLE OFF ROAD FOR SEARCH AND RESCUE AND STORM RESPONSE OPERATIONS IN RURAL AND DIFFICULT TERRAIN. VEHICLE ALLOWS ACCESS TO AREAS NOT REACHABLE BY STANDARD PATROL VEHICLES AND SUPPORTS RAPID RESPONSE, TRANSPORT OF PERSONNEL, EQUIPMENT, AND INJURED PERSONS. THIS EQUIPMENT IMPROVES OPERATIONAL EFFECTIVENESS AND SAFETY DURING EMERGENCIES AND NATURAL DISASTERS.</t>
  </si>
  <si>
    <t>HAHIRA PD (2YTEZF)</t>
  </si>
  <si>
    <t>2YTEZF61350846</t>
  </si>
  <si>
    <t>SPIKE STRIP,TIRE DE</t>
  </si>
  <si>
    <t>TO BE ISSUED TO POLICE OFFICERS FOR CARRY IN THEIR VEHICLE AND USED TO STOP OR DISABLE FLEEING VEHICLES.</t>
  </si>
  <si>
    <t>2YTEZF61491758</t>
  </si>
  <si>
    <t>TRAINING AID,RIFLE</t>
  </si>
  <si>
    <t>TO BE USED DURING THE TRAINING OF LAW ENFORCEMENT OFFICERS TO CREATE A REALISTIC BUT SAFE ENVIRONMENT.</t>
  </si>
  <si>
    <t>HART COUNTY SHERIFF DEPT (2YTE6D)</t>
  </si>
  <si>
    <t>2YTE6D61219835</t>
  </si>
  <si>
    <t>DSSCOOTER</t>
  </si>
  <si>
    <t>SCOOTER</t>
  </si>
  <si>
    <t>FOR USE BY LAW ENFORCEMENT AGENCY TO PATROL SCHOOL CAMPUSES WHERE CURRENT DEPUTIES ARE ASSIGNED TO LAW ENFORCEMENT DUTIES. ALSO USED FOR QUICK ACCESS TO AREAS OF THESE CAMPUSES THAT ARE NOT ACCESSIBLE BY VEHICLE.</t>
  </si>
  <si>
    <t>2YTE6D61219834</t>
  </si>
  <si>
    <t>2YTE6D61280172</t>
  </si>
  <si>
    <t>WHEEL AND TIRE ASSY</t>
  </si>
  <si>
    <t>FOR USE BY LAW ENFORCEMENT AGENCY WITH CURRENT EQUIPMENT THAT HAS BEEN ACQUIRED THROUGH THIS PROGRAM.</t>
  </si>
  <si>
    <t>2YTE6D61280173</t>
  </si>
  <si>
    <t>WHEEL,PNEUMATIC TIRE</t>
  </si>
  <si>
    <t>MIDVILLE POLICE DEPT (2YTHQD)</t>
  </si>
  <si>
    <t>2YTHQD61633058</t>
  </si>
  <si>
    <t>TO PROVIDE AN UNDERCOVER VEHICLE FOR THE MIDVILLE POLICE DEPARTMENT. THIS VEHICLE, ONCE FIXED, CAN BE USED FOR COVERT OPERATIONS AND ASSIST IN CERTAIN DISASTERS.</t>
  </si>
  <si>
    <t>2YTHQD61210264</t>
  </si>
  <si>
    <t>TO PROVIDE A BIG TRUCK TO PULL OUR GENERATORS AND CARRY BIGGER ITEMS FOR THE MIDVILLE POLICE DEPARTMENT. THIS VEHICLE CAN ALSO BE ASSET DURING CERTAIN DISASTERS.</t>
  </si>
  <si>
    <t>2YTHQD61633057</t>
  </si>
  <si>
    <t>TO PROVIDE THE MIDVILLE POLICE DEPARTMENT WITH A WAY TO CLEAR TREES FROM ROADWAYS AND LIFTING ITEMS. THIS TRACTOR CAN ASSIST THE PD DURING CERTAIN DISASTERS WITHOUT WAITING ON PUBLIC WORKS OR STATE DEPARTMENT.</t>
  </si>
  <si>
    <t>2YTHQD61773843</t>
  </si>
  <si>
    <t>THIS TRAILER COULD ASSIST THE MIDVILLE POLICE DEPARTMENT FOR HAULING OUR OFF-ROAD VEHICLES AND OUR NEWLY ACQUIRED SKID STEER. THIS TRAILER COULD ALSO BE USED FOR CERTAIN DISASTERS.</t>
  </si>
  <si>
    <t>2YTHQD61007997</t>
  </si>
  <si>
    <t>TO PROVIDE POLICE OFFICERS FOR THE MIDVILLE POLICE DEPARTMENT WITH SHORT-TERM TRANSPORTATION DURING SPECIAL EVENTS AND CERTAIN DISASTERS.</t>
  </si>
  <si>
    <t>2YTHQD61007999</t>
  </si>
  <si>
    <t>2YTHQD61007996</t>
  </si>
  <si>
    <t>2YTHQD61563054</t>
  </si>
  <si>
    <t>WHEEL,PNEUMATIC TIR</t>
  </si>
  <si>
    <t>TO PROVIDE TIRES FOR THE MIDVILLE POLICE DEPARTMENT'S CARGO TRUCK. THE TRUCK IS A 6X6 BUT 4 IS A START. THIS WILL BE ABLE TO KEEP THE TRUCK IN-SERVICE FOR CERTAIN DISASTERS.</t>
  </si>
  <si>
    <t>2YTHQD61703595</t>
  </si>
  <si>
    <t>SWEEPER,ROTARY,VEHI</t>
  </si>
  <si>
    <t>TO PROVIDE A MOBILE VACUUMED MACHINE TO THE MIDVILLE POLICE DEPARTMENT. THIS VEHICLE COULD BE REUSED FOR CERTAIN DISASTERS. EMERGENCY VACUUM TRUCK COULD PROVIDE CRITICAL RESPONSE CAPABILITIES FOR FLOODWATER REMOVAL, HAZARDOUS WASTE CLEANUP, DEBRIS SUCTION, POST-STORM DEBRIS AND INFRASTRUCTURE CLEARING.</t>
  </si>
  <si>
    <t>NASHVILLE POLICE DEPT (2YT1BK)</t>
  </si>
  <si>
    <t>2YT1BK61351326</t>
  </si>
  <si>
    <t>DSFORKLIF</t>
  </si>
  <si>
    <t>FORKLIFT</t>
  </si>
  <si>
    <t>REQUESTED FORKLIFT WILL BE UTILIZED BY THE DEPARTMENT DURING NATURAL DISASTERS, EMERGENCY RESPONSE OPERATIONS, AND SPECIAL EVENTS. THE EQUIPMENT WILL ASSIST WITH LOADING, UNLOADING, TRANSPORTING, AND STAGING SUPPLIES, BARRICADES, GENERATORS, PALLETS, AND EMERGENCY EQUIPMENT. THE FORKLIFT WILL IMPROVE OPERATIONAL EFFICIENCY, RESPONSE CAPABILITIES, AND PUBLIC SAFETY DURING EMERGENCY SITUATIONS AND LARGE-SCALE COMMUNITY EVENTS.</t>
  </si>
  <si>
    <t>2YT1BK60866620</t>
  </si>
  <si>
    <t>WE ARE REQUESTING A SECURE STORAGE CONTAINER FOR THE POLICE DEPARTMENT TO SAFELY STORE EVIDENCE. THIS WILL HELP KEEP ITEMS ORGANIZED, PROTECTED, AND EASY TO ACCESS WHEN NEEDED.</t>
  </si>
  <si>
    <t>ODUM PD (2YTTAP)</t>
  </si>
  <si>
    <t>2YTTAP60937221</t>
  </si>
  <si>
    <t>SCISSOR LIFT,HYDRAU</t>
  </si>
  <si>
    <t>THE ODUM POLICE DEPARTMENT IS IN NEED  OF A SCISSOR LIFT FOR DIFFERENT THINGS SUCH AS THE PLACEMENT OF SECURITY CAMERAS AROUND THE CITY AND TO CHANGE SECURITY LIGHTS</t>
  </si>
  <si>
    <t>2YTTAP60867231</t>
  </si>
  <si>
    <t>THE ODUM POLICE DEPARTMENT IS IN NEED FOR A FIRST AID KIT TO RESPOND TO EMERGECNIES</t>
  </si>
  <si>
    <t>OGLETHORPE COUNTY SHERIFF OFFICE (2YT1YR)</t>
  </si>
  <si>
    <t>2YT1YR60937351</t>
  </si>
  <si>
    <t>AUTOMOBILE,SEDAN</t>
  </si>
  <si>
    <t>VEHICLE WOULD BE USED BY NARCOTICS INVESTIGATOR TO CONDUCT SURVEILLANCE AND UNDERCOVER ENFORCEMENT OPERATIONS</t>
  </si>
  <si>
    <t>POOLER POLICE DEPT (2YTJTD)</t>
  </si>
  <si>
    <t>2YTJTD61703518</t>
  </si>
  <si>
    <t>THIS FORKLIFT WILL BE UTILIZED BY LAW ENFORCEMENT OFFICERS OF THE POOLER POLICE DEPARTMENT TO LOAD EMERGENCY SUPPLIES DURING NATURAL DISASTERS.</t>
  </si>
  <si>
    <t>2YTJTD61633208</t>
  </si>
  <si>
    <t>DSCART005</t>
  </si>
  <si>
    <t>CART, STORAGE</t>
  </si>
  <si>
    <t>THESE STORAGE CARTS WILL BE USED BY LAW ENFORCEMENT OFFICER OF THE POOLER POLICE DEPARTMENT TO STORE LAW ENFORCEMENT SUPPLIES IN A SAFE AREA</t>
  </si>
  <si>
    <t>RICHMOND HILL POLICE DEPT (2YTJ8C)</t>
  </si>
  <si>
    <t>2YTJ8C61421716</t>
  </si>
  <si>
    <t>THE ACQUISITION OF THIS VEHICLE FOR THE RICHMOND HILL POLICE DEPARTMENT WOULD ENHANCE EMERGENCY RESPONSE AND COORDINATION. SERVING AS A MOBILE COMMAND CENTER, IT WOULD SUPPORT OPERATIONS DURING DISASTERS AND CRITICAL INCIDENTS WHEN INFRASTRUCTURE IS COMPROMISED. IT WOULD ALSO ASSIST BRYAN COUNTY, STRENGTHENING REGIONAL COLLABORATION, IMPROVING RESPONSE EFFICIENCY, AND ENSURING CONTINUITY OF OPERATIONS AND PUBLIC SAFETY.</t>
  </si>
  <si>
    <t>SCREVEN COUNTY SHERIFFS OFFICE (2YTKVK)</t>
  </si>
  <si>
    <t>2YTKVK60725494</t>
  </si>
  <si>
    <t>DSBOAT000</t>
  </si>
  <si>
    <t>SMALL CRAFT BOAT</t>
  </si>
  <si>
    <t>THIS ITEM IS BEING REQUESTED BY THE SCREVEN COUNTY SHERIFFS OFFICE TO BE USED BY DEPUTIES FOR LAW ENFORCEMENT PURPOSES. THE BOAT WILL BE USED BY DEPUTIES TO PATROL AND SEARCH AND RESCUE IN MARINE ENVIRONMENTS.</t>
  </si>
  <si>
    <t>2YTKVK60724934</t>
  </si>
  <si>
    <t>THIS ITEM IS BEING REQUESTED BY THE SCREVEN COUNTY SHERIFFS OFFICE TO BE USED BY DEPUTIES FOR LAW ENFORCEMENT PURPOSES. THE VEHICLE WILL BE USED BY DEPUTIES FOR UNDERCOVER PATROL.</t>
  </si>
  <si>
    <t>2YTKVK61219838</t>
  </si>
  <si>
    <t>THIS ITEM IS BEING REQUESTED BY THE SCREVEN COUNTY SHERIFFS OFFICE TO BE USED BY DEPUTIES FOR LAW ENFORCEMENT PURPOSES. THE TRUCK WILL BE USED BY DEPUTIES TO TRANSPORT SUPPLIES IN PERFORMANCE OF THEIR LAW ENFORCEMENT DUTIES.</t>
  </si>
  <si>
    <t>2YTKVK61421685</t>
  </si>
  <si>
    <t>THIS ITEM IS BEING REQUESTED BY THE SCREVEN COUNTY SHERIFFS OFFICE TO BE USED BY DEPUTIES FOR LAW ENFORCEMENT PURPOSES. THE VEHICLE WILL BE USED BY DEPUTIES TO ESTABLISH COMMAND CENTERS IN REMOTE AREAS.</t>
  </si>
  <si>
    <t>2YTKVK60725521</t>
  </si>
  <si>
    <t>THIS ITEM IS BEING REQUESTED BY THE SCREVEN COUNTY SHERIFFS OFFICE TO BE USED BY DEPUTIES FOR LAW ENFORCEMENT PURPOSES. THE TRUCK WILL BE USED BY DEPUTIES TO TRANSPORT PERSONNEL IN REMOTE OFF-ROAD AREAS.</t>
  </si>
  <si>
    <t>2YTKVK61149037</t>
  </si>
  <si>
    <t>THIS ITEM IS BEING REQUESTED BY THE SCREVEN COUNTY SHERIFFS OFFICE TO BE USED BY DEPUTIES FOR LAW ENFORCEMENT PURPOSES. THE SCOOTER WILL BE USED BY DEPUTIES TO TRANSPORT SUPPLIES AT JAIL AND TRAINING FACILITY.</t>
  </si>
  <si>
    <t>2YTKVK61149033</t>
  </si>
  <si>
    <t>THIS ITEM IS BEING REQUESTED BY THE SCREVEN COUNTY SHERIFFS OFFICE TO BE USED BY DEPUTIES FOR LAW ENFORCEMENT PURPOSES. THE SCOOTER WILL BE USED BY DEPUTIES TO TRANSPORT SUPPLIES AT THE JAIL AND RANGE, AS WELL  TRANSPORTATION AT EVENTS.</t>
  </si>
  <si>
    <t>2YTKVK61149035</t>
  </si>
  <si>
    <t>THIS ITEM IS BEING REQUESTED BY THE SCREVEN COUNTY SHERIFFS OFFICE TO BE USED BY DEPUTIES FOR LAW ENFORCEMENT PURPOSES. THE EQUIPMENT WILL BE USED BY DEPUTIES TO TRANSPORT SUPPLIES ENCLOSED AT SHERIFFS OFFICE.</t>
  </si>
  <si>
    <t>2YTKVK60937763</t>
  </si>
  <si>
    <t>THIS ITEM IS BEING REQUESTED BY THE SCREVEN COUNTY SHERIFFS OFFICE TO BE USED BY DEPUTIES FOR LAW ENFORCEMENT PURPOSES. THE TOOL KITS WILL BE USED BY DEPUTIES TO SERVICE LAW ENFORCEMENT VEHICLES AND EQUIPMENT.</t>
  </si>
  <si>
    <t>2YTKVK61351394</t>
  </si>
  <si>
    <t>THIS ITEM IS BEING REQUESTED BY THE SCREVEN COUNTY SHERIFFS OFFICE TO BE USED BY DEPUTIES FOR LAW ENFORCEMENT PURPOSES. THE GENERATOR WILL BE USED BY DEPUTIES TO PROVIDE EMERGENCY POWER FOR LAW ENFORCEMENT DURING EMERGENCIES.</t>
  </si>
  <si>
    <t>2YTKVK61351392</t>
  </si>
  <si>
    <t>2YTKVK61351393</t>
  </si>
  <si>
    <t>2YTKVK61007762</t>
  </si>
  <si>
    <t>THIS ITEM IS BEING REQUESTED BY THE SCREVEN COUNTY SHERIFFS OFFICE TO BE USED BY DEPUTIES FOR LAW ENFORCEMENT PURPOSES. THE CASE WILL BE USED BY DEPUTIES TO TRANSPORT FIREARMS IN A SECURE AND PROTECTIVE MANNER.</t>
  </si>
  <si>
    <t>2YTKVK60795662</t>
  </si>
  <si>
    <t>SHIRT FLYERS MENS CWU-96/P</t>
  </si>
  <si>
    <t>THIS ITEM IS BEING REQUESTED BY THE SCREVEN COUNTY SHERIFFS OFFICE TO BE USED BY DEPUTIES FOR LAW ENFORCEMENT PURPOSES. THE SHIRT WILL BE USED BY DEPUTIES TO PROVIDE COLD WEATHER PROTECTION WHILE ON DUTY.</t>
  </si>
  <si>
    <t>2YTKVK60795661</t>
  </si>
  <si>
    <t>THIS ITEM IS BEING REQUESTED BY THE SCREVEN COUNTY SHERIFFS OFFICE TO BE USED BY DEPUTIES FOR LAW ENFORCEMENT PURPOSES. THE PACK WILL BE USED BY DEPUTIES TO CARRY NEEDED SUPPLIES WHILE ON DUTY.</t>
  </si>
  <si>
    <t>2YTKVK60795657</t>
  </si>
  <si>
    <t>SURVIVAL KIT,INDIVI</t>
  </si>
  <si>
    <t>THIS ITEM IS BEING REQUESTED BY THE SCREVEN COUNTY SHERIFFS OFFICE TO BE USED BY DEPUTIES FOR LAW ENFORCEMENT PURPOSES. THE MACHETE WILL BE USED BY DEPUTIES TO CUT ACCESS IN WOODED AREAS AS NEEDED DURING THEIR DUTIES.</t>
  </si>
  <si>
    <t>SPALDING COUNTY SHERIFF DEPT (2YTLBT)</t>
  </si>
  <si>
    <t>2YTLBT61491941</t>
  </si>
  <si>
    <t>THE SPALDING COUNTY SHERIFFS OFFICE IS REQUESTING FUNDING FOR THE ACQUISITION OF A ROUGH TERRAIN FORKLIFT TO ENHANCE EMERGENCY RESPONSE DISASTER RECOVERY PUBLIC SAFETY OPERATIONS OFFICER TRAINING AND CRITICAL INCIDENT MANAGEMENT THROUGHOUT SPALDING COUNTY. THE REQUESTED EQUIPMENT WILL PROVIDE THE AGENCY WITH THE CAPABILITY TO SAFELY MOVE LIFT TRANSPORT AND POSITION HEAVY MATERIALS AND EMERGENCY ASSETS IN ENVIRONMENTS INACCESSIBLE TO CONVENTIONAL VEHICLES OR STANDARD WAREHOUSE FORKLIFTS</t>
  </si>
  <si>
    <t>2YTLBT60795812</t>
  </si>
  <si>
    <t>SPALDING COUNTY SHERIFFS OFFICE IS REQUESTING A MOBILE GENERATOR TO SUPPORT TRAINING OPERATIONS AND EMERGENCY RESCUE MISSIONS THROUGHOUT THE COUNTY RELIABLE PORTABLE POWER IS ESSENTIAL FOR PUBLIC SAFETY OPERATIONS ESPECIALLY WHEN RESPONDING TO INCIDENTS IN REMOTE AREAS DISASTER SCENES OR LOCATIONS WHERE NORMAL ELECTRICAL SERVICE IS UNAVAILABLE</t>
  </si>
  <si>
    <t>UNION CSO (2YTL5R)</t>
  </si>
  <si>
    <t>2YTL5R61219505</t>
  </si>
  <si>
    <t>SLING,3 POINT COMBA</t>
  </si>
  <si>
    <t>THESE UNITS WILL ASSIST DEPUTIES WITH THE UNION COUNTY SHERIFFS OFFICE CARRY AND MOUNT THEIR PATROL RIFLES SAFER AND MORE EFFICIENT.</t>
  </si>
  <si>
    <t>WEBSTER CSO (2YTNEX)</t>
  </si>
  <si>
    <t>2YTNEX61078505</t>
  </si>
  <si>
    <t>TO BE USED BY SHERIFFS DEPUTIES FOR SEARCH AND RESCUE AND ALL OTHER APPLICABLE SITUATIONS DURING THE COURSE OF LAW ENFORCEMENT</t>
  </si>
  <si>
    <t>WILLACOOCHEE PD (2YTNPQ)</t>
  </si>
  <si>
    <t>2YTNPQ60866730</t>
  </si>
  <si>
    <t>WILLACOOCHEE POLICE DEPARTMENT IS IN NEED OF A FORK -LIFT  THAT WILL ABLE TO LIFT SOME  OF THE  CONTAINERS THAT WE UTILIZE TO STORE EQUIPMENT</t>
  </si>
  <si>
    <t>2YTNPQ60937930</t>
  </si>
  <si>
    <t>THE WILLACOOCHEE POLICE DEPARTMENT REQUIRES TOOL KITS FOR ITS OFFICERS TO FACILITATE THE MAINTENANCE OF THE PATROL VEHICLES ASSIGNED TO THEM. THESE TOOLS CAN ALSO SERVE TO BENEFIT THE COMMUNITY IN VARIOUS CAPACITIES.</t>
  </si>
  <si>
    <t>IA</t>
  </si>
  <si>
    <t>CEDAR RAPIDS PD (2YTB4X)</t>
  </si>
  <si>
    <t>2YTB4X6114JG01</t>
  </si>
  <si>
    <t>EMMET COUNTY SHERIFF OFFICE (2YTDSS)</t>
  </si>
  <si>
    <t>2YTDSS61219783</t>
  </si>
  <si>
    <t>THE LA 5 PEQ PROVIDES LAW ENFORCEMENT WITH INFRARED AIMING AND ILLUMINATION FOR USE WITH NIGHT VISION, ENABLING ACCURATE TARGET IDENTIFICATION AND ENGAGEMENT IN LOW-LIGHT CONDITIONS. IT ENHANCES OFFICER SAFETY BY REDUCING RELIANCE ON VISIBLE LIGHT, LIMITING EXPOSURE TO THREATS. THIS CAPABILITY IMPROVES SITUATIONAL AWARENESS, DECREASES RISK TO BYSTANDERS, AND SUPPORTS EFFECTIVE OPERATIONS DURING NIGHTTIME SEARCHES, RURAL PATROLS, AND HIGH-RISK INCIDENTS.</t>
  </si>
  <si>
    <t>MONONA CSO (2YTHWR)</t>
  </si>
  <si>
    <t>2YTHWR61351698</t>
  </si>
  <si>
    <t>HEADSET-MICROPHONE</t>
  </si>
  <si>
    <t>THE UP-ARMORED HUMVEE IS EXTREMELY LOUD INSIDE DUE TO ENGINE NOISE, ROAD VIBRATION, AND ARMOR COMPONENTS, MAKING NORMAL COMMUNICATION DIFFICULT DURING OPERATIONS. CREW HEADSETS ARE NECESSARY TO ENSURE CLEAR COMMUNICATION BETWEEN DEPUTIES, IMPROVE COORDINATION AND OFFICER SAFETY, REDUCE MISUNDERSTANDINGS DURING HIGH-STRESS INCIDENTS, AND ALLOW PERSONNEL TO HEAR RADIO TRAFFIC WHILE OPERATING IN HAZARDOUS ENVIRONMENTS.</t>
  </si>
  <si>
    <t>ID</t>
  </si>
  <si>
    <t>BONNER COUNTY SHERIFF OFFICE (2YTBDC)</t>
  </si>
  <si>
    <t>2YTBDC61007876</t>
  </si>
  <si>
    <t>TRUCK,AMBULANCE</t>
  </si>
  <si>
    <t>THIS VEHICLE WILL BE USED BY THE BONNER COUNTY SHERIFF'S OFFICE AS A SUPPORT VEHICLE IN TACTICAL OPERATIONS</t>
  </si>
  <si>
    <t>2YTBDC61149211</t>
  </si>
  <si>
    <t>THIS TOOL BOX WILL BE USED BY SHERIFF'S OFFICE FLEET MECHANICS FOR THE MAINTENANCE AND REPAIR OF FLEET VEHICLES</t>
  </si>
  <si>
    <t>COEUR D' ALENE POLICE DEPT (2YTCMH)</t>
  </si>
  <si>
    <t>2YTCMH61491835</t>
  </si>
  <si>
    <t>THIS WOULD BE USED FOR VEHICLE MAINTENANCE AT OUR POLICE DEPARTMENT.</t>
  </si>
  <si>
    <t>2YTCMH61492768</t>
  </si>
  <si>
    <t>THESE TOOLS WOULD BE USED IN OUR MOBILE COMMAND POST FOR CRIME SCENE INVESTIGATIONS AND WOULD REPLACE THE ONES WE LOST IN OUR BUILDING FIRE.</t>
  </si>
  <si>
    <t>JEROME COUNTY SHERIFF'S OFFICE (2YTFY4)</t>
  </si>
  <si>
    <t>2YTFY460937158</t>
  </si>
  <si>
    <t>THE JEROME COUNTY SHERIFF'S OFFICE WOULD LIKE THIS VEHICLE TO USE IN THE ENFORCEMENT OF DRUG AND HUMAN TRAFFICKING INVESTIGATION IN OUR JURISDICTION.</t>
  </si>
  <si>
    <t>KOOTENAI CSO (2YTGAF)</t>
  </si>
  <si>
    <t>2YTGAF60863528</t>
  </si>
  <si>
    <t>PACKBOT 510 WITH FASTAC REMOTELY CONTROL</t>
  </si>
  <si>
    <t>THIS ROBOT WOULD BE USED BY THE SHERIFF'S OFFICE ROBOTICS TEAM, WHO WORK WITH THE SWAT TEAM AND ASSISTS IN TACTICAL OPERATIONS.  CURRENT ROBOTS ARE OLD AND BECOMING OBSOLETE.</t>
  </si>
  <si>
    <t>2YTGAF60654971</t>
  </si>
  <si>
    <t>PROPELLER,MARINE</t>
  </si>
  <si>
    <t>THESE PROPELLERS WOULD BE USED ON SHERIFF'S OFFICE VESSELS FOR LAW ENFORCEMENT PURPOSES.</t>
  </si>
  <si>
    <t>2YTGAF61007665</t>
  </si>
  <si>
    <t>THIS TRUCK WOULD BE USED BY SHERIFFS OFFICE MAINTENANCE PERSONNEL TO MAINTAIN SHERIFF'S OFFICE EQUIPMENT AND FACILITIES.</t>
  </si>
  <si>
    <t>2YTGAF61007664</t>
  </si>
  <si>
    <t>THIS TRUCK WOULD BE USED BY SHERIFFS OFFICE PERSONNEL FOR WORK ON BUILDINGS AND STRUCTURES USED FOR LAW ENFORCEMENT PURPOSES.</t>
  </si>
  <si>
    <t>2YTGAF60866260</t>
  </si>
  <si>
    <t>KIT SERVICE 10KW</t>
  </si>
  <si>
    <t>THIS KIT WOULD BE USED TO SERVICE ONE OF THE GENERATORS FOR THE SHERIFF'S OFFICE, WHICH WE HAVE ALREADY RECEIVED.</t>
  </si>
  <si>
    <t>2YTGAF60725274</t>
  </si>
  <si>
    <t>DSPLACTR1</t>
  </si>
  <si>
    <t>PLASMA CUTTER AND ACCESSORIES</t>
  </si>
  <si>
    <t>THIS PLASMA CUTTER WOULD BE USED BY SHERIFF'S OFFICE MAINTENANCE PERSONNEL FOR WORK ON LAW ENFORCEMENT FACILITIES.</t>
  </si>
  <si>
    <t>2YTGAF60724966</t>
  </si>
  <si>
    <t>SHOP EQUIPMENT,WELDING</t>
  </si>
  <si>
    <t>THIS WELDING TRAILER WOULD BE USED FOR MAINTENANCE ON LAW ENFORCEMENT PROPERTIES AND BUILDINGS AT VARIOUS LOCATIONS BELONGING TO THE SHERIFF'S OFFICE</t>
  </si>
  <si>
    <t>2YTGAF60866122</t>
  </si>
  <si>
    <t>THIS FORKLIFT WOULD BE USED BY SHERIFF'S OFFICE MAINTENANCE PERSONNEL AT THE SHERIFF'S SOUTH CAMPUS TO LOAD AND UNLOAD LAW ENFORCEMENT MAINTENANCE AND SUPPORT SUPPLIES.</t>
  </si>
  <si>
    <t>2YTGAF60583681</t>
  </si>
  <si>
    <t>SCOPE,NIGHT-POCKET</t>
  </si>
  <si>
    <t>THIS SCOPE WOULD BE USED BY SHERIFF'S OFFICE SWAT TEAM MEMBERS IN TACTICAL ENVIRONMENTS.</t>
  </si>
  <si>
    <t>2YTGAF60583679</t>
  </si>
  <si>
    <t>2YTGAF60583676</t>
  </si>
  <si>
    <t>2YTGAF60583671</t>
  </si>
  <si>
    <t>2YTGAF60583669</t>
  </si>
  <si>
    <t>2YTGAF60724970</t>
  </si>
  <si>
    <t>OHMMETER</t>
  </si>
  <si>
    <t>THIS OHMMETER WOULD BE USED BY SHERIFF'S OFFICE MAINTENANCE FOR WORK ON LAW ENFORCEMENT FACILITIES.</t>
  </si>
  <si>
    <t>2YTGAF60724969</t>
  </si>
  <si>
    <t>2YTGAF61219439</t>
  </si>
  <si>
    <t>MEAT SLICING MACHIN</t>
  </si>
  <si>
    <t>THIS SLICER WOULD BE USED BY THE SHERIFF'S OFFICE SEARCH AND RESCUE UNIT, WHICH PROVIDES FOOD DURING EXTENDED LAW ENFORCEMENT MISSIONS.</t>
  </si>
  <si>
    <t>2YTGAF60584263</t>
  </si>
  <si>
    <t>DSVIDGMAC</t>
  </si>
  <si>
    <t>VIDEOGAMES AND ACCESSORIES</t>
  </si>
  <si>
    <t>THIS TACTICAL VIDEO SYSTEM WOULD BE USED BY LAW ENFORCEMENT TO TRAIN FOR EMERGENCY VEHICLE OPERATIONS IN HIGH-SPEED SCENARIOS.  IT WOULD ALSO BE USED FOR PR AT LAW ENFORCEMENT EVENTS.</t>
  </si>
  <si>
    <t>TWIN FALLS COUNTY SHERIFF'S OFFICE (2YTPTR)</t>
  </si>
  <si>
    <t>2YTPTR61421596</t>
  </si>
  <si>
    <t>SHERIFF'S OFFICE NEEDS THIS TO LOAD AND UNLOAD LAW ENFORCEMENT EQUIPMENT AND SUPPLIES.</t>
  </si>
  <si>
    <t>IL</t>
  </si>
  <si>
    <t>CHAMPAIGN POLICE DEPT (2YTB67)</t>
  </si>
  <si>
    <t>2YTB6761219970</t>
  </si>
  <si>
    <t>I AM REQUESTING THESE ITEMS FOR OFFICIAL LEA PURPOSES ON BEHALF OF THE CHAMPAIGN POLICE DEPARTMENT. I AM REQUESTING THESE ITEMS SO THEY CAN BE UTILIZED WITH LESO AWARD RIFLES PRIOR TO BEING ISSUED TO OFFICERS OF THE DEPARTMENT. THESE ITEMS WOULD BE UTILIZED DURING HIGH RISK NARCOTICS TRAFFICKING BASED WARRANT SEVICES.</t>
  </si>
  <si>
    <t>DELAVAN POLICE DEPT (2YTC8P)</t>
  </si>
  <si>
    <t>2YTC8P60866392</t>
  </si>
  <si>
    <t>THE DELAVAN POLICE DEPARTMENT REQUESTS A CARGO TRAILER FOR USE BY DELAVAN POLICE OFFICERS TO SUPPORT EMERGENCY RESPONSE OPERATIONS. THE TRAILER WILL BE USED TO HAUL AND STAGE CRITICAL EQUIPMENT AND TRANSPORT THE DEPARTMENT UTV FOR SEARCH AND RESCUE OPERATIONS, DISASTER RESPONSE, AND SPECIAL EVENTS. THIS RESOURCE WILL IMPROVE RAPID DEPLOYMENT, LOGISTICS CAPABILITY, AND OPERATIONAL READINESS DURING INCIDENTS REQUIRING COORDINATED RESPONSE.</t>
  </si>
  <si>
    <t>2YTC8P60866390</t>
  </si>
  <si>
    <t>2YTC8P61078367</t>
  </si>
  <si>
    <t>DELAVAN POLICE DEPARTMENT REQUEST FOR USE BY DELAVAN POLICE OFFICERS. THE DIRT MATERIAL SCREEN WILL BE USED TO PROCESS SOIL FOR RANGE EXPANSION, CREATING SAFE BACKSTOPS AND MAINTAINING PROPER BERM COMPOSITION. THIS SUPPORTS OFFICER FIREARMS TRAINING, IMPROVES RANGE SAFETY, AND REDUCES LONG-TERM MAINTENANCE COSTS. EQUIPMENT WILL BE USED FOR LAW ENFORCEMENT TRAINING FACILITY OPERATIONS.</t>
  </si>
  <si>
    <t>2YTC8P61078925</t>
  </si>
  <si>
    <t>NETWORK MANAGEMENT SYSTEM</t>
  </si>
  <si>
    <t>DELAVAN POLICE DEPARTMENT REQUEST FOR USE BY DELAVAN POLICE OFFICERS. AS A SMALL AGENCY, THIS EQUIPMENT SERVES AS A CRITICAL FORCE MULTIPLIER BY EXTENDING MONITORING AND RESPONSE CAPABILITIES BEYOND AVAILABLE STAFFING. IT SUPPORTS PROACTIVE POLICING, IMPROVES SAFETY, AND ENHANCES OPERATIONAL EFFECTIVENESS.</t>
  </si>
  <si>
    <t>2YTC8P61008368</t>
  </si>
  <si>
    <t>DSCAMERA1</t>
  </si>
  <si>
    <t>CAMERA, MOTION PICTURE</t>
  </si>
  <si>
    <t>DELAVAN POLICE DEPARTMENT REQUEST FOR USE BY DELAVAN POLICE OFFICERS. THIS IP CAMERA WILL MONITOR THE TRAINING RANGE AND SURROUNDING FACILITY, PROVIDING REAL TIME SITUATIONAL AWARENESS AND RECORDED FOOTAGE FOR SAFETY, OVERSIGHT, AND TRAINING OPERATIONS.</t>
  </si>
  <si>
    <t>2YTC8P60866388</t>
  </si>
  <si>
    <t>DSWORKST0</t>
  </si>
  <si>
    <t>COMPUTER WORKSTATION</t>
  </si>
  <si>
    <t>DELAVAN POLICE OFFICERS AT DELAVAN POLICE DEPARTMENT WOULD RELY ON THESE PC'S FOR A RANGE OF CRITICAL FUNCTIONS, INCLUDING CONDUCTING THOROUGH INVESTIGATIONS, MANAGING EMERGENCY RESPONSE PLANNING, AND ENGAGING IN ONGOING TRAINING. THESE PC'S PROVIDE OFFICERS WITH ACCESS TO ESSENTIAL TOOLS, SOFTWARE, AND RESOURCES, ENABLING THEM TO ANALYZE DATA, DEVELOP RESPONSE STRATEGIES, AND IMPROVE READINESS FOR VARIOUS SCENARIOS, ENSURING PUBLIC SAFETY AND OPERATIONAL EFFECTIVENESS.</t>
  </si>
  <si>
    <t>2YTC8P61008369</t>
  </si>
  <si>
    <t>DSLAPTOP2</t>
  </si>
  <si>
    <t>LAPTOP COMPUTER</t>
  </si>
  <si>
    <t>DELAVAN POLICE OFFICERS AT DELAVAN POLICE DEPARTMENT WOULD RELY ON THESE LAPTOPS FOR A RANGE OF CRITICAL FUNCTIONS, INCLUDING CONDUCTING THOROUGH INVESTIGATIONS, MANAGING EMERGENCY RESPONSE PLANNING, AND ENGAGING IN ONGOING TRAINING. THESE DEVICES PROVIDE OFFICERS WITH ACCESS TO ESSENTIAL TOOLS, SOFTWARE, AND RESOURCES, ENABLING THEM TO ANALYZE DATA, DEVELOP RESPONSE STRATEGIES, AND IMPROVE READINESS FOR VARIOUS SCENARIOS.</t>
  </si>
  <si>
    <t>2YTC8P60726021</t>
  </si>
  <si>
    <t>THE DELAVAN POLICE DEPARTMENT REQUESTS SURPLUS EQUIPMENT CASES FOR USE BY DELAVAN POLICE OFFICERS TO SECURELY STORE, ORGANIZE, AND TRANSPORT CRITICAL LAW ENFORCEMENT EQUIPMENT INCLUDING CAMERAS, EVIDENCE COLLECTION TOOLS, RADIOS, AND EMERGENCY RESPONSE GEAR. THESE CASES WILL PROTECT SENSITIVE EQUIPMENT, IMPROVE READINESS DURING INCIDENTS, AND SUPPORT SAFE TRANSPORT OF OPERATIONAL TOOLS USED IN DAILY PATROL AND EMERGENCY RESPONSE OPERATIONS. CONDITION IS KNOW AND UNDERSTOOD TO BE H</t>
  </si>
  <si>
    <t>KANE COUNTY SHERIFF OFFICE (2YTF3G)</t>
  </si>
  <si>
    <t>2YTF3G61421304</t>
  </si>
  <si>
    <t>CART, MOTORIZED TO BE USED TO SERVICE HARD TO REACH AREAS IN THE KANE COUNT SHERIFFS OFFICE FACILITIES WHERE NARROW SERVICE CORRIDORS LIMIT ACCESS.</t>
  </si>
  <si>
    <t>2YTF3G61219798</t>
  </si>
  <si>
    <t>REFRIGERATOR NEEDED FOR THE KANE COUNTY SHERIFFS OFFICE K9 TEAM FOR THE STORAGE OF CADAVER PARTS USED FOR SEARCH AND RESCUE TRAINING.  MULTIPLE UNITS NEEDED FOR STORAGE OF PARTS IN MULTIPLE LOCATIONS AND SEVERAL AS SPARE IN THE EVENT OF EQUIPMENT FAILURE.</t>
  </si>
  <si>
    <t>2YTF3G61219632</t>
  </si>
  <si>
    <t>DSPRESSUR</t>
  </si>
  <si>
    <t>PRESSURE WASHER</t>
  </si>
  <si>
    <t>PRESSURE WASHER REQUESTED TO SERVICE THE KANE COUNTY SHERIFFS OFFICE VEHICLES, SO THAT WE MAY WASH VEHICLES WHILE INSIDE OUR HEATED SALLY PORT.</t>
  </si>
  <si>
    <t>2YTF3G61562915</t>
  </si>
  <si>
    <t>NO ITEM NAME AVAILABLE</t>
  </si>
  <si>
    <t>TOOL BOXES NEEDED FOR THE KANE COUNTY SHERIFFS OFFICE FLEET SERVICES, MAINTENANCE, EVIDENCE DIVISION AND HAZARDOUS RESPONSE TEAM FOR TOOL STORAGE MATERIAL STORAGE.</t>
  </si>
  <si>
    <t>2YTF3G61562916</t>
  </si>
  <si>
    <t>ULTRASONIC UNIT,DIAGNOSTIC,HUMAN</t>
  </si>
  <si>
    <t>ULTRASOUND EQUIPMENT NEEDED TO OUTFIT THE KANE COUNTY SHERIFFS OFFICE NEW TEMS VEHICLE WE ARE RECEIVING IN JULY 2026.  THIS EQUIPMENT WILL BE UTILIZED FOR EMERGENCY MEDICAL RESPONSES DURING TACTICAL OPERATIONS.</t>
  </si>
  <si>
    <t>2YTF3G61219714</t>
  </si>
  <si>
    <t>VORTEX MIXER,LABORA</t>
  </si>
  <si>
    <t>VORTEX MIXERS NEEDED FOR THE NEW KANE COUNTY SHERIFFS OFFICE FORENSICS LAB.  THESE ARE NEEDED FOR BOTH CHEMICAL AND BIOLOGIC TESTING.</t>
  </si>
  <si>
    <t>2YTF3G61421306</t>
  </si>
  <si>
    <t>MOBILITY CASTER SET</t>
  </si>
  <si>
    <t>CASTER SET NEEDED TO MAKE MOVEMENT OF OUR SHIPPING CONTAINERS EASIER.  THE KANE COUNTY SHERIFFS OFFICE HAS MULTIPLE CONTAINERS USED FOR EQUIPMENT AND EVIDENCE STORAGE.</t>
  </si>
  <si>
    <t>2YTF3G61563124</t>
  </si>
  <si>
    <t>DSREFRCON</t>
  </si>
  <si>
    <t>REFRIGERATION CONTAINER</t>
  </si>
  <si>
    <t>REFRIGERATION CONTAINER NEEDED FOR TEMPORARY REFRIGERATION FOR THE KANE COUNTY SHERIFFS OFFICE KITCHEN WHICH RECENTLY HAD A WALK IN COOLER FAILURE.  WE ARE RENTING A REFRIGERATION TRUCK UNTIL NEW EQUIPMENT CAN BE SOURCED AND INSTALLED.  THIS CONTAINER WILL ALSO ACT AS A COOLING UNIT DURING SUMMER FESTIVALS AND LARGER SCALE WEATHER RELATED INCIDENTS.</t>
  </si>
  <si>
    <t>ORLAND HILLS POLICE DEPARTMENT (2YT15Y)</t>
  </si>
  <si>
    <t>2YT15Y60937742</t>
  </si>
  <si>
    <t>DETECTOR,LIGHT INTE</t>
  </si>
  <si>
    <t>THIS EQUIPMENT CAN BE USED TO AID OUR OFFICERS IN LOW-LIGHT, NIGHT OPERATIONS</t>
  </si>
  <si>
    <t>VILLAGE OF DOWNS POLICE DEPARTMENT (2YTRLY)</t>
  </si>
  <si>
    <t>2YTRLY60866717</t>
  </si>
  <si>
    <t>BINOCULAR</t>
  </si>
  <si>
    <t>OUR DEPARTMENT SPEND MANY HOURS ON A PERIMETER CAPACITY AND COULD USE THIS ITEM TO ENHANCE SAFETY OF THE OFFICERS AND THE ABILITY TO SEE MAGNIFIED OBJECTS FROM A SAFE DISTANCE.</t>
  </si>
  <si>
    <t>2YTRLY61078519</t>
  </si>
  <si>
    <t>OUR VILLAGE EXPERIENCES THREE MAJOR STORM TYPE SYSTEMS YEARLY. EACH OF THESE SYSTEMS BRINGS EXTREMES THAT BRING, SUB FREEZING TEMPERATURES FOR LONG DURATIONS, TORNADOES AND FLOODING AND AS SUCH, WE ARE TASKED TO PROVIDE WARMING SHELTERS AND RELIEF TO THOSE IN OUR AFFECTED AREA. WE ARE IMPROVING OUR SUPPLIES TO USE IN CASE OF THESE EMERGENCIES AND THESE LINERS ARE IDEAL FOR TEMPORARY WARMTH AND PROTECTION.</t>
  </si>
  <si>
    <t>IN</t>
  </si>
  <si>
    <t>EATON POLICE DEPT (2YTDL9)</t>
  </si>
  <si>
    <t>2YTDL961079059</t>
  </si>
  <si>
    <t>ROBOT,EOD</t>
  </si>
  <si>
    <t>THIS ITEM IS BEING REQUESTED BY THE EATON POLICE DEPARTMENT TO BE USED BY OFFICERS FOR LAW ENFORCEMENT PURPOSES. THE REQUESTED ROBOTS WILL BE UTILIZED BY OFFICERS FOR TRAINING NEEDS, SEARCH AND RESCUE OPERATIONS, AND THE PROTECTION OF LIFE.</t>
  </si>
  <si>
    <t>2YTDL961079057</t>
  </si>
  <si>
    <t>ROBOT,EOD,KIT</t>
  </si>
  <si>
    <t>THIS ITEM IS BEING REQUESTED BY THE EATON POLICE DEPARTMENT TO BE USED BY OFFICERS FOR LAW ENFORCEMENT PURPOSES. THE REQUESTED KIT WILL BE UTILIZED BY OFFICERS FOR TRAINING NEEDS, SEARCH AND RESCUE OPERATIONS, AND THE PROTECTION OF LIFE.</t>
  </si>
  <si>
    <t>2YTDL961078532</t>
  </si>
  <si>
    <t xml:space="preserve">THIS ITEM IS BEING REQUESTED BY THE EATON POLICE DEPARTMENT TO BE USED BY OFFICERS FOR LAW ENFORCEMENT PURPOSES. THE REQUESTED UNMANNED AIRCRAFT SYSTEMS WILL BE UTILIZED BY OFFICERS FOR TRAINING NEEDS, SEARCH AND RESCUE IN AUSTERE CONDITIONS, AND THE PROTECTION OF LIFE.
</t>
  </si>
  <si>
    <t>2YTDL961079058</t>
  </si>
  <si>
    <t>UNMANNED VEHICLE,GR</t>
  </si>
  <si>
    <t>THIS ITEM IS BEING REQUESTED BY THE EATON POLICE DEPARTMENT TO BE USED BY OFFICERS FOR LAW ENFORCEMENT PURPOSES. THE REQUESTED VEHICLE WILL BE UTILIZED BY OFFICERS FOR TRAINING NEEDS, SEARCH AND RESCUE OPERATIONS, AND THE PROTECTION OF LIFE.</t>
  </si>
  <si>
    <t>2YTDL961008314</t>
  </si>
  <si>
    <t>THERMAL IMAGING SYSTEM</t>
  </si>
  <si>
    <t xml:space="preserve">THIS ITEM IS BEING REQUESTED BY THE EATON POLICE DEPARTMENT TO BE USED BY OFFICERS FOR LAW ENFORCEMENT PURPOSES. THE REQUESTED IMAGING SYSTEM WILL BE UTILIZED BY OFFICERS FOR TRAINING NEEDS, SEARCH AND RESCUE, AND THE PROTECTION OF LIFE. LEA HAS CONFIRMED SITE HAS BEEN CONTACTED AND ACCEPT CONDITION OF PROPERTY.
</t>
  </si>
  <si>
    <t>2YTDL960937175</t>
  </si>
  <si>
    <t>THIS ITEM IS BEING REQUESTED BY THE EATON POLICE DEPARTMENT TO BE USED BY LAW ENFORCEMENT AND LIFE SAVING PURPOSES. THE REQUESTED HEADSETS WILL BE USED FOR TRAINING, LIFE SAVING, SEARCH AND RESCUE, AND LAW ENFORCEMENT.</t>
  </si>
  <si>
    <t>2YTDL961078652</t>
  </si>
  <si>
    <t>THIS ITEM IS BEING REQUESTED BY THE EATON POLICE DEPARTMENT TO BE USED BY OFFICERS FOR LAW ENFORCEMENT PURPOSES. THE REQUESTED GENERATOR WILL BE UTILIZED BY OFFICERS FOR TRAINING NEEDS, SEARCH AND RESCUE, AND THE PROTECTION OF LIFE.</t>
  </si>
  <si>
    <t>2YTDL961078653</t>
  </si>
  <si>
    <t>2YTDL960937174</t>
  </si>
  <si>
    <t>THIS ITEM IS BEING REQUESTED BY THE EATON POLICE DEPARTMENT TO BE USED BY LAW ENFORCEMENT AND LIFE SAVING PURPOSES. THE REQUESTED SUPPLIES WILL BE USED FOR TRAINING, LIFE SAVING, SEARCH AND RESCUE, AND LAW ENFORCEMENT.</t>
  </si>
  <si>
    <t>2YTDL960867128</t>
  </si>
  <si>
    <t>THIS ITEM IS BEING REQUESTED BY THE EATON POLICE DEPARTMENT TO BE USED BY LAW ENFORCEMENT AND LIFE SAVING PURPOSES. THE REQUESTED KITS WILL BE USED FOR TRAINING, LIFE SAVING, SEARCH AND RESCUE, AND LAW ENFORCEMENT.</t>
  </si>
  <si>
    <t>2YTDL960584499</t>
  </si>
  <si>
    <t>THIS ITEM IS BEING REQUESTED BY THE EATON POLICE DEPARTMENT TO BE USED BY OFFICERS FOR LAW ENFORCEMENT PURPOSES. THE REQUESTED CANS WILL BE UTILIZED BY OFFICERS FOR TRAINING NEEDS AND THE PROTECTION OF LIFE.</t>
  </si>
  <si>
    <t>2YTDL961007774</t>
  </si>
  <si>
    <t>THIS ITEM IS BEING REQUESTED BY THE EATON POLICE DEPARTMENT TO BE USED BY OFFICERS FOR LAW ENFORCEMENT PURPOSES. THIS CASE WILL BE USED TO PROTECT LIFE SAVING AND SEARCH AND RESCUE EQUIPMENT.</t>
  </si>
  <si>
    <t>2YTDL961149060</t>
  </si>
  <si>
    <t>THIS ITEM IS BEING REQUESTED BY THE EATON POLICE DEPARTMENT TO BE USED BY OFFICERS FOR LAW ENFORCEMENT PURPOSES. THE REQUESTED CASES WILL BE UTILIZED BY OFFICERS FOR TRAINING NEEDS, SEARCH AND RESCUE OPERATIONS, AND THE PROTECTION OF LIFE.</t>
  </si>
  <si>
    <t>2YTDL961078515</t>
  </si>
  <si>
    <t>THIS ITEM IS BEING REQUESTED BY THE EATON POLICE DEPARTMENT TO BE USED BY OFFICERS FOR LAW ENFORCEMENT PURPOSES. THE REQUESTED JACKET WILL BE UTILIZED BY OFFICERS FOR TRAINING NEEDS, SEARCH AND RESCUE IN AUSTERE CONDITIONS, AND THE PROTECTION OF LIFE.</t>
  </si>
  <si>
    <t>2YTDL961078522</t>
  </si>
  <si>
    <t>PARKA,EXTREME COLD</t>
  </si>
  <si>
    <t>2YTDL961078524</t>
  </si>
  <si>
    <t xml:space="preserve">THIS ITEM IS BEING REQUESTED BY THE EATON POLICE DEPARTMENT TO BE USED BY OFFICERS FOR LAW ENFORCEMENT PURPOSES. THE REQUESTED JACKETS WILL BE UTILIZED BY OFFICERS FOR TRAINING NEEDS, SEARCH AND RESCUE IN AUSTERE CONDITIONS, AND THE PROTECTION OF LIFE.
</t>
  </si>
  <si>
    <t>2YTDL961078526</t>
  </si>
  <si>
    <t xml:space="preserve">THIS ITEM IS BEING REQUESTED BY THE EATON POLICE DEPARTMENT TO BE USED BY OFFICERS FOR LAW ENFORCEMENT PURPOSES. THE REQUESTED JACKET WILL BE UTILIZED BY OFFICERS FOR TRAINING NEEDS, SEARCH AND RESCUE IN AUSTERE CONDITIONS, AND THE PROTECTION OF LIFE.
</t>
  </si>
  <si>
    <t>2YTDL960937121</t>
  </si>
  <si>
    <t>LINER,EXTREME COLD</t>
  </si>
  <si>
    <t>THIS ITEM IS BEING REQUESTED BY THE EATON POLICE DEPARTMENT TO BE USED BY LAW ENFORCEMENT AND LIFE SAVING PURPOSES. THE REQUESTED LINER WILL BE USED FOR TRAINING, LIFE SAVING, SEARCH AND RESCUE, AND LAW ENFORCEMENT.</t>
  </si>
  <si>
    <t>2YTDL960937122</t>
  </si>
  <si>
    <t>2YTDL960937123</t>
  </si>
  <si>
    <t>2YTDL960937125</t>
  </si>
  <si>
    <t>DRAWERS,COLD WEATHE</t>
  </si>
  <si>
    <t>THIS ITEM IS BEING REQUESTED BY THE EATON POLICE DEPARTMENT TO BE USED BY LAW ENFORCEMENT AND LIFE SAVING PURPOSES. THE REQUESTED DRAWERS WILL BE USED FOR TRAINING, LIFE SAVING, SEARCH AND RESCUE, AND LAW ENFORCEMENT.</t>
  </si>
  <si>
    <t>2YTDL960867127</t>
  </si>
  <si>
    <t>LINER,COLD WEATHER</t>
  </si>
  <si>
    <t>2YTDL961078518</t>
  </si>
  <si>
    <t>2YTDL961078514</t>
  </si>
  <si>
    <t>2YTDL961078513</t>
  </si>
  <si>
    <t>2YTDL961078545</t>
  </si>
  <si>
    <t>TRUNK,LOCKER</t>
  </si>
  <si>
    <t>THIS ITEM IS BEING REQUESTED BY THE EATON POLICE DEPARTMENT TO BE USED BY OFFICERS FOR LAW ENFORCEMENT PURPOSES. THE REQUESTED LOCKER WILL BE UTILIZED BY OFFICERS FOR TRAINING NEEDS, SEARCH AND RESCUE IN AUSTERE CONDITIONS, PROTECTION OF EQUIPMENT, AND THE PROTECTION OF LIFE.</t>
  </si>
  <si>
    <t>2YTDL961078527</t>
  </si>
  <si>
    <t>DSLUGGAGE</t>
  </si>
  <si>
    <t>LUGGAGE</t>
  </si>
  <si>
    <t>THIS ITEM IS BEING REQUESTED BY THE EATON POLICE DEPARTMENT TO BE USED BY OFFICERS FOR LAW ENFORCEMENT PURPOSES. THE REQUESTED LUGGAGE WILL BE UTILIZED BY OFFICERS FOR OFFICIAL TRIPS FOR TRAINING AND DISASTER REFLIEF TO PROTECT DUTY GEAR.</t>
  </si>
  <si>
    <t>2YTDL960937118</t>
  </si>
  <si>
    <t>CARRIER,HYDRATION</t>
  </si>
  <si>
    <t>THIS ITEM IS BEING REQUESTED BY THE EATON POLICE DEPARTMENT TO BE USED BY LAW ENFORCEMENT AND LIFE SAVING PURPOSES. THE REQUESTED CARRIERS WILL BE USED FOR TRAINING, LIFE SAVING, SEARCH AND RESCUE, AND LAW ENFORCEMENT.</t>
  </si>
  <si>
    <t>2YTDL961078544</t>
  </si>
  <si>
    <t>RIFLEMAN SET (W/TAP)</t>
  </si>
  <si>
    <t>THIS ITEM IS BEING REQUESTED BY THE EATON POLICE DEPARTMENT TO BE USED BY OFFICERS FOR LAW ENFORCEMENT PURPOSES. THE REQUESTED SET WILL BE UTILIZED BY OFFICERS FOR TRAINING NEEDS, SEARCH AND RESCUE IN AUSTERE CONDITIONS, AND THE PROTECTION OF LIFE.</t>
  </si>
  <si>
    <t>2YTDL961078543</t>
  </si>
  <si>
    <t>RUCKSACK MEDIUM (OCP) SET</t>
  </si>
  <si>
    <t>THIS ITEM IS BEING REQUESTED BY THE EATON POLICE DEPARTMENT TO BE USED BY OFFICERS FOR LAW ENFORCEMENT PURPOSES. THE REQUESTED RUCKSACKS WILL BE UTILIZED BY OFFICERS FOR TRAINING NEEDS, SEARCH AND RESCUE IN AUSTERE CONDITIONS, PROTECTION OF EQUIPMENT, FIRST AID, AND THE PROTECTION OF LIFE.</t>
  </si>
  <si>
    <t>2YTDL961078531</t>
  </si>
  <si>
    <t>VEST,NON-BALLISTIC PROTECTIVE,ARMOR-CARR</t>
  </si>
  <si>
    <t xml:space="preserve">THIS ITEM IS BEING REQUESTED BY THE EATON POLICE DEPARTMENT TO BE USED BY OFFICERS FOR LAW ENFORCEMENT PURPOSES. THE REQUESTED VEST WILL BE UTILIZED BY OFFICERS FOR TRAINING NEEDS, LAW ENFORCEMENT OPERATIONS, AND THE PROTECTION OF LIFE.
</t>
  </si>
  <si>
    <t>2YTDL961078528</t>
  </si>
  <si>
    <t xml:space="preserve">THIS ITEM IS BEING REQUESTED BY THE EATON POLICE DEPARTMENT TO BE USED BY OFFICERS FOR LAW ENFORCEMENT PURPOSES. THE REQUESTED POUCH WILL BE UTILIZED BY OFFICERS FOR TRAINING NEEDS, SEARCH AND RESCUE IN AUSTERE CONDITIONS, AND THE PROTECTION OF LIFE.
</t>
  </si>
  <si>
    <t>2YTDL961078785</t>
  </si>
  <si>
    <t>DSBAG0002</t>
  </si>
  <si>
    <t>INDIVIDUAL BAG</t>
  </si>
  <si>
    <t>THIS ITEM IS BEING REQUESTED BY THE EATON POLICE DEPARTMENT TO BE USED BY OFFICERS FOR LAW ENFORCEMENT PURPOSES. THE REQUESTED BAG WILL BE UTILIZED BY OFFICERS FOR TRAINING NEEDS, SEARCH AND RESCUE OPERATIONS, AND THE PROTECTION OF LIFE.</t>
  </si>
  <si>
    <t>2YTDL961078784</t>
  </si>
  <si>
    <t>2YTDL961078783</t>
  </si>
  <si>
    <t>2YTDL961078786</t>
  </si>
  <si>
    <t>2YTDL961078787</t>
  </si>
  <si>
    <t>EVANSVILLE POLICE DEPTMENT (2YTDV4)</t>
  </si>
  <si>
    <t>2YTDV461280538</t>
  </si>
  <si>
    <t>PUBLIC ADDRESS SET</t>
  </si>
  <si>
    <t>THE EVANSVILLE POLICE DEPARTMENT WOULD USE THIS PUBLIC ADDRESS SYSTEM AT OUR LARGE FESTIVALS FOR PUBLIC SAFETY MESSAGES AND FOR MOBILE FIELD FORCE TEAMS TO GIVE DISPERSAL ORDERS.  OUR TACTICAL SWAT TEAM WOULD ALSO USE FOR BARRICADED GUNMAN CALLS.</t>
  </si>
  <si>
    <t>2YTDV461492645</t>
  </si>
  <si>
    <t>IMAGE INTENSIFIER,NIGHT VISION</t>
  </si>
  <si>
    <t>THE EVANSVILLE POLICE DEPARTMENT WOULD LIKE TO REQUEST THESE FOR OUR NEWLY FORMED JOINT RIVER PATROL.  WE WILL PERFORM NIGHT RESCUE OPERATIONS IN COOPERATION WITH OUR COUNTY SHERIFF'S OFFICE.  THE RIVER PATROL DOES NOT HAVE NIGHT VISION AT THIS TIME.</t>
  </si>
  <si>
    <t>2YTDV461351376</t>
  </si>
  <si>
    <t>DSADPCMPN</t>
  </si>
  <si>
    <t>ADP COMPONENTS</t>
  </si>
  <si>
    <t>THE EVANSVILLE POLICE DEPARTMENT WOULD LIKE TO USE THESE FOR WEB MEETINGS.  WE REGULARLY HAVE WEB MEETINGS RELATED TO HOMELAND AND PORT SECURITY WITH THE COAST GUARD.</t>
  </si>
  <si>
    <t>2YTDV461351416</t>
  </si>
  <si>
    <t>SHOES,MEN'S</t>
  </si>
  <si>
    <t>THE EVANSVILLE POLICE DEPARTMENT WOULD LIKE TO REQUEST THESE SO THAT THEY CAN BE ISSUED TO NEW OFFICERS TO WEAR WITH CLASS A UNIFORM.</t>
  </si>
  <si>
    <t>2YTDV461351419</t>
  </si>
  <si>
    <t>PACK,RUCKSACK</t>
  </si>
  <si>
    <t>THE EVANSVILLE POLICE DEPARTMENT REQUESTS THESE ITEMS TO STORE GEAR FOR OUR RIVER PATROL UNIT.  WE WERE RECIPIENTS OF A 2025 HOMELAND SECURITY GRANT AND PURCHASED A BOAT.</t>
  </si>
  <si>
    <t>LAKEVILLE POLICE DEPT (2YTGG7)</t>
  </si>
  <si>
    <t>2YTGG761280370</t>
  </si>
  <si>
    <t>HEADLIGHT</t>
  </si>
  <si>
    <t>TO BE UTILIZED BY THE LAKEVILLE POLICE DEPARTMENT WITH THE DEPARTMENT HUMMER DURING NIGHTTIME OPERATIONS AND RESCUES.</t>
  </si>
  <si>
    <t>2YTGG761280387</t>
  </si>
  <si>
    <t>TO BE UTILIZED BY THE LAKEVILLE POLICE DEPARTMENT AND ISSUED TO OFFICERS FOR THE PURPOSE OF HANDSFREE LIGHT DURING CRIMINAL INVESTIGATIONS AND SEARCH AND RESCUE OPERATIONS DURING LOW LIGHT OR NIGHTTIME OPERATIONS.</t>
  </si>
  <si>
    <t>2YTGG761210392</t>
  </si>
  <si>
    <t>LIGHT,MARKER,DISTRE</t>
  </si>
  <si>
    <t>TO BE UTILIZED BY THE LAKEVILLE POLICE DEPARTMENT AND ISSUED TO OFFICERS TO WEAR ON THE POLICE UNIFORM TO MARK THE LOCATION OF THE OFFICER DURING EMERGENCY SITUATIONS AND SEARCH AND RESCUE OPERATIONS.</t>
  </si>
  <si>
    <t>2YTGG761280391</t>
  </si>
  <si>
    <t>MOD,ASSAULT,PACK,KH</t>
  </si>
  <si>
    <t>TO BE UTILIZED BY THE LAKEVILLE POLICE DEPARTMENT AND ISSUED TO INDIVIDUAL OFFICERS TO CARRY FIRST AID EQUIPMENT AND TOURNIQUET ON THEIR MOLLE VEST.</t>
  </si>
  <si>
    <t>2YTGG761280381</t>
  </si>
  <si>
    <t>TO BE UTILIZED BY THE LAKEVILLE POLICE DEPARTMENT AND ISSUED TO OFFICERS TO CARRY EQUIPMENT AROUND THEIR WAIST SECURELY DURING CRIMINAL INVESTIGATIONS.</t>
  </si>
  <si>
    <t>2YTGG761280386</t>
  </si>
  <si>
    <t>TO BE UTILIZED BY THE LAKEVILLE POLICE DEPARTMENT TO SECURELY CARRY FIRST AID EQUIPMENT IN THE POLICE PATROL VEHICLE.</t>
  </si>
  <si>
    <t>RANDOLPH COUNTY SHERIFF DEPT (2YTJ2X)</t>
  </si>
  <si>
    <t>2YTJ2X61008023</t>
  </si>
  <si>
    <t>DSOPTSIGH</t>
  </si>
  <si>
    <t>OPTICAL SIGHTING AND RANGING EQUIPMENT</t>
  </si>
  <si>
    <t>I ACCEPT THE CONDITION CODE G, THE RANDOLPH COUNTY SHERIFF'S OFFICE WILL USE THIS ITEM TO PLACE ON OUR ADDITIONAL SNIPER RIFLE TO AID IN ACCURACY, SURVEILLANCE, AND PID</t>
  </si>
  <si>
    <t>2YTJ2X61007576</t>
  </si>
  <si>
    <t>I ACCEPT THE CONDITION CODE, THE RANDOLPH COUNTY SHERIFF'S OFFICE WILL USE THIS ITEM TO PLACE ON PATROL RIFLES.</t>
  </si>
  <si>
    <t>2YTJ2X61078777</t>
  </si>
  <si>
    <t>I ACCEPT CONDITION CODE F, THE RANDOLPH COUNTY SHERIFF'S DEPARTMENT WILL USE THIS ITEM AS WE ARE TRYING TO EQUIP ANOTHER SNIPER ON OUR TACTICAL TEAM. THIS WILL AID THE SNIPER IN RANGING TARGETS.</t>
  </si>
  <si>
    <t>2YTJ2X61280398</t>
  </si>
  <si>
    <t>DSIMINTEN</t>
  </si>
  <si>
    <t>IMAGE INTENSIFIER</t>
  </si>
  <si>
    <t>I ACCEPT THE CONDITION CODE, THE RANDOLPH COUNTY SHERIFF'S OFFICE WILL USE THIS ITEM FOR SWAT OPERATIONS AND SEARCH AND RESCUE OPERATIONS.</t>
  </si>
  <si>
    <t>2YTJ2X61280402</t>
  </si>
  <si>
    <t>VIEWING SET,INFRARE</t>
  </si>
  <si>
    <t>I ACCEPT THE CONDITION CODE. THE RANDOLPH COUNTY SHERIFF'S DEPARTMENT WILL USE THIS ITEM FOR NIGHT OPERATION.</t>
  </si>
  <si>
    <t>2YTJ2X61280403</t>
  </si>
  <si>
    <t>I ACCEPT THE CONDITION CODE, THE RANDOLPH COUNTY SHERIFF'S DEPARTMENT WILL USE THIS ITEM FOR NIGHT OPERATIONS AND SEARCH AND RESCUE OPERATIONS.</t>
  </si>
  <si>
    <t>2YTJ2X61078336</t>
  </si>
  <si>
    <t>VIEWER,NIGHT VISION</t>
  </si>
  <si>
    <t>I ACCEPT CONDITION CODE F. THE RANDOLPH COUNTY SHERIFFS DEPARTMENT WILL USE THIS ITEM FOR NIGHT OPERATIONS.</t>
  </si>
  <si>
    <t>2YTJ2X61562548</t>
  </si>
  <si>
    <t>I ACCEPT THE CONDITION CODE H. THE RANDOLPH COUNTY SHERIFF'S OFFICE WILL USE THIS ITEM FOR NIGHT SWAT OPERATIONS AND SEARCH AND RESCUE OPERATIONS.</t>
  </si>
  <si>
    <t>2YTJ2X61562794</t>
  </si>
  <si>
    <t>I ACCEPT THE CONDITION CODE THE RANDOLPH COUNTY SHERIFF'S OFFICE WILL USE THIS ITEM FOR NIGHT SWAT OPERATIONS AND SEARCH AND RESCUE OPERATIONS.</t>
  </si>
  <si>
    <t>2YTJ2X61562795</t>
  </si>
  <si>
    <t>2YTJ2X61562546</t>
  </si>
  <si>
    <t>2YTJ2X61562793</t>
  </si>
  <si>
    <t>2YTJ2X61562792</t>
  </si>
  <si>
    <t>2YTJ2X61562791</t>
  </si>
  <si>
    <t>2YTJ2X61562790</t>
  </si>
  <si>
    <t>2YTJ2X61562789</t>
  </si>
  <si>
    <t>2YTJ2X61008024</t>
  </si>
  <si>
    <t>I ACCEPT THE CONDITION CODE H, THE RANDOLPH COUNTY SHERIFF'S OFFICE WILL USE THIS ITEM TO PUT ON OUR SNIPER RIFLE FOR NIGHT OBSERVATIONS AND PID</t>
  </si>
  <si>
    <t>2YTJ2X61350992</t>
  </si>
  <si>
    <t>I ACCEPT THE CONDITION CODE, THE RANDOLPH COUNTY SHERIFF'S OFFICE WILL USE THIS ITEM FOR NIGHT SEARCH AND RESCUE OPERATIONS ALONG WITH NIGHT SWAT OPERATIONS</t>
  </si>
  <si>
    <t>2YTJ2X61350993</t>
  </si>
  <si>
    <t>2YTJ2X61078716</t>
  </si>
  <si>
    <t>I ACCEPT THE CONDITION CODE H, THE RANDOLPH COUNTY SHERIFF'S SWAT TEAM WILL USE THIS ITEM TO ISSUE TO OPERATORS TO SAFELY PERFORM NIGHT OPERATIONS.</t>
  </si>
  <si>
    <t>2YTJ2X61421331</t>
  </si>
  <si>
    <t>MASK,FACE,NIGHT VIS</t>
  </si>
  <si>
    <t>I ACCEPT THE CONDITION CODE F, THE RANDOLPH COUNTY SHERIFF'S OFFICE WILL USE THIS ITEM FOR NIGHT SEARCH AND RESCUE OPERATIONS AND NIGHT SWAT OPERATIONS.</t>
  </si>
  <si>
    <t>2YTJ2X61562757</t>
  </si>
  <si>
    <t>2YTJ2X61562758</t>
  </si>
  <si>
    <t>2YTJ2X61562759</t>
  </si>
  <si>
    <t>2YTJ2X61562760</t>
  </si>
  <si>
    <t>2YTJ2X61562761</t>
  </si>
  <si>
    <t>2YTJ2X61562762</t>
  </si>
  <si>
    <t>2YTJ2X61562763</t>
  </si>
  <si>
    <t>2YTJ2X61562764</t>
  </si>
  <si>
    <t>2YTJ2X61562765</t>
  </si>
  <si>
    <t>2YTJ2X61562767</t>
  </si>
  <si>
    <t>2YTJ2X61562769</t>
  </si>
  <si>
    <t>2YTJ2X61562770</t>
  </si>
  <si>
    <t>2YTJ2X61562772</t>
  </si>
  <si>
    <t>2YTJ2X61562773</t>
  </si>
  <si>
    <t>2YTJ2X61562774</t>
  </si>
  <si>
    <t>2YTJ2X61562775</t>
  </si>
  <si>
    <t>2YTJ2X61562777</t>
  </si>
  <si>
    <t>2YTJ2X61562778</t>
  </si>
  <si>
    <t>2YTJ2X61562779</t>
  </si>
  <si>
    <t>2YTJ2X61562780</t>
  </si>
  <si>
    <t>2YTJ2X61562781</t>
  </si>
  <si>
    <t>2YTJ2X61562783</t>
  </si>
  <si>
    <t>2YTJ2X61562785</t>
  </si>
  <si>
    <t>2YTJ2X61562786</t>
  </si>
  <si>
    <t>2YTJ2X61562787</t>
  </si>
  <si>
    <t>2YTJ2X61562788</t>
  </si>
  <si>
    <t>2YTJ2X60795915</t>
  </si>
  <si>
    <t>DSBICYCEE</t>
  </si>
  <si>
    <t>BICYCLE, EXERCISE</t>
  </si>
  <si>
    <t>I ACCEPT THE CONDITION CODE H, THE RCSD WILL USE THIS EXERCISE BIKE TO HELP BUILD OUR GYM TO IMPROVE OFFICER FITNESS</t>
  </si>
  <si>
    <t>2YTJ2X60937305</t>
  </si>
  <si>
    <t>DSRECGYME</t>
  </si>
  <si>
    <t>RECREATIONAL AND GYMNASTIC EQUIPMENT</t>
  </si>
  <si>
    <t>I ACCEPT CONDITION CODE H, THE RANDOLPH COUNTY SHERIFF'S OFFICE WILL USE THIS ITEM FOR OUR GYM TO AID IN OFFICER FITNESS AND WELLBEING</t>
  </si>
  <si>
    <t>2YTJ2X61007585</t>
  </si>
  <si>
    <t>I ACCEPT THE CONDITION CODE H THE RANDOLPH COUNTY SHERIFF'S OFFICE WILL USE THIS ITEM TO PLACE IN OUR GYM TO AID IN OFFICER FITNESS AND WELLBEING</t>
  </si>
  <si>
    <t>2YTJ2X60937302</t>
  </si>
  <si>
    <t>I ACCEPT CONDITION CODE H, THE RANDOLPH COUNTY SHERIFF'S OFFICE WILL USE THESE CASES FOR SECURE PROPERTY STORAGE AND TRANSPORTATION</t>
  </si>
  <si>
    <t>2YTJ2X61008337</t>
  </si>
  <si>
    <t>DSPELCNMD</t>
  </si>
  <si>
    <t>CASE, PELICAN, MED, 100 TO 500 SQ IN</t>
  </si>
  <si>
    <t>I ACCEPT THE CONDITION CODE H, THE RANDOLPH COUNTY SHERIFF'S DEPARTMENT WILL USE THESE ITEMS FOR SECURE GEAR STORAGE</t>
  </si>
  <si>
    <t>2YTJ2X60795914</t>
  </si>
  <si>
    <t>SHIRT,COMBAT</t>
  </si>
  <si>
    <t>I ACCEPT THE CONDITION CODE, THE RCSD SWAT TEAM WILL USE THESE COMBAT SHIRTS FOR UNIFORM TOPS ON OPERATIONS.</t>
  </si>
  <si>
    <t>KY</t>
  </si>
  <si>
    <t>FORT THOMAS POLICE DEPT (2YTD8U)</t>
  </si>
  <si>
    <t>2YTD8U61008735</t>
  </si>
  <si>
    <t>WE HAVE BEEN TRYING TO UPDATE THE ITEMS IN OUR CRUISER TRUNKS. THESE TENTS WILL GO TOWARDS UPDATING THE TRUCKS AND HAVE MANY GREAT USES. OFFICERS WILL EACH BE ISSUED TO KEEP IN THEIR CRUISERS SO THAT THEY CAN BE USED TO HELP THE COMMUNITY TO SET UP AS A MOBILE PRIVACY AREA TO BE DEPLOYED FROM CRUISERS WHILE ROADSIDE, TO ASSIST THE HOMELESS, TO BE USED ON LARGE SCALE SCENES FOR FAMILY AS PRIVACY, DURING MARKSMAN TRAINING DAYS AS SHADE COVER AREAS, AND FOR SNIPER HIDES</t>
  </si>
  <si>
    <t>2YTD8U61219465</t>
  </si>
  <si>
    <t>WE HAVE BEEN TRYING TO UPDATE THE ITEMS IN OUR CRUISER TRUNKS. THESE TENTS WILL GO TOWARDS UPDATING THE TRUCKS AND HAVE MANY GREAT USES. OFFICERS WILL EACH BE ISSUED TO KEEP IN THEIR CRUISERS SO THAT THEY CAN BE USED TO HELP THE COMMUNITY TO SET UP AS A MOBILE PRIVACY AREA TO BE DEPLOYED FROM CRUISERS WHILE ROADSIDE, TO BE USED ON LARGE SCALE SCENES FOR FAMILY AS PRIVACY, DURING MARKSMAN TRAINING DAYS AS SHADE COVER AREAS, AND FOR PORTABLE SNIPER HIDES.</t>
  </si>
  <si>
    <t>2YTD8U61078726</t>
  </si>
  <si>
    <t>JACKET,WET WEATHER</t>
  </si>
  <si>
    <t>WILL BE ISSUED TO SWAT OFFICERS WHO NEED INCLEMENT WEATHER BUT INCLEMENT WEATHER GEAR HAS NOT BEEN PROVIDED WITH IT. OTHER SPECIALTY UNITS SUCH AS ACCIDENT RECONSTRUCTION AND RANGE OFFICERS WILL BE ISSUED THESE JACKETS ONCE SWAT OFFICERS HAVE BEEN OUTFITTED SO THAT WHILE ON CALL OUTS THEY HAVE WEATHER PROTECTION. THESE COATS WILL BE USED BY POLICE OFFICERS ON SPECIALTY UNITS EXPOSED TO INCLEMENT WEATHER.</t>
  </si>
  <si>
    <t>2YTD8U61078727</t>
  </si>
  <si>
    <t>2YTD8U61078728</t>
  </si>
  <si>
    <t xml:space="preserve">THIS WEATHER AND RAIN-RESISTANT INSULATED PARKA WILL BE ISSUED TO SWAT OFFICERS AND DESIGNATED MARKSMEN TO BE USED WHILE ON PATROL AND DURING CALL-OUTS. THEY ARE THIN ENOUGH TO MAINTAIN WARMTH AND ALSO REPEL INCLEMENT WEATHER, BUT CAN BE WORN UNDER A VEST. INCLEMENT WEATHER GEAR IS EXTREMELY IMPORTANT FOR THESE ROLES, BUT HAS NOT BEEN PROVIDED DUE TO COST. 
</t>
  </si>
  <si>
    <t>2YTD8U61078729</t>
  </si>
  <si>
    <t>2YTD8U61078730</t>
  </si>
  <si>
    <t>2YTD8U61219464</t>
  </si>
  <si>
    <t>HAT,SUN</t>
  </si>
  <si>
    <t xml:space="preserve">THIS HAT WILL BE ISSUED TO SWAT OFFICERS TO WEAR WHILE AT THE RANGE DURING TRAINING EXERCISES. THIS HAT IS ESPECIALLY HELPFUL DURING THE SUMMER MONTHS WHEN BEING IN THE HOT SUN FOR LONG HOURS CAN BE DANGEROUS. THIS HAT WILL PROVIDE SHADE AND COOL TEMPERATURES. 
</t>
  </si>
  <si>
    <t>2YTD8U61219467</t>
  </si>
  <si>
    <t>2YTD8U61219468</t>
  </si>
  <si>
    <t>2YTD8U61219469</t>
  </si>
  <si>
    <t>2YTD8U61219470</t>
  </si>
  <si>
    <t xml:space="preserve">WILL BE ISSUED TO SWAT OFFICERS WHO NEED INCLEMENT WEATHER BUT INCLEMENT WEATHER GEAR HAS NOT BEEN PROVIDED WITH IT. OTHER SPECIALTY UNITS SUCH AS ACCIDENT RECONSTRUCTION AND RANGE OFFICERS WILL BE ISSUED THESE JACKETS ONCE SWAT OFFICERS HAVE BEEN OUTFITTED SO THAT WHILE ON CALL OUTS THEY HAVE WEATHER PROTECTION. THESE COATS WILL BE USED BY POLICE OFFICERS ON SPECIALTY UNITS EXPOSED TO INCLEMENT WEATHER. 
</t>
  </si>
  <si>
    <t>2YTD8U61219471</t>
  </si>
  <si>
    <t>2YTD8U61219473</t>
  </si>
  <si>
    <t>2YTD8U61148919</t>
  </si>
  <si>
    <t>2YTD8U61219477</t>
  </si>
  <si>
    <t xml:space="preserve">SWAT OFFICERS WILL BE ISSUED THESE PANTS FOR USE WHILE ON DUTY PERFORMING SWAT DUTIES. SWAT OPERATED IN INCLEMENT WEATHER, OFTEN FOR LONG PERIODS OF TIME. THESE PANTS WILL HELP PROVIDE PROTECTION FROM THE ELEMENTS THAT HAVE NOT BEEN PROVIDED DUE TO COST. 
</t>
  </si>
  <si>
    <t>MAGOFFIN CSO (2YTG6K)</t>
  </si>
  <si>
    <t>2YTG6K61562893</t>
  </si>
  <si>
    <t>CHASSIS,TRUCK</t>
  </si>
  <si>
    <t>THIS TRUCK WOULD BE USED TO PERFORM MAINTENANCE ON OUR THREE MILITARY HUMVEES. THE BOOM ATTACHED TO THE UTILITY BED WOULD EASE IN CHANGING OF TIRES AND OTHER HEAVY ITEMS . WE WOULD ALSO PARTNER WITH OUR COUNTY ROAD DEPARTMENT AND LOCAL FIRE DEPARTMENTS AND ALLOW THEM TO USE THE UTILITY TRUCK WHEN NEEDED.</t>
  </si>
  <si>
    <t>MEADE COUNTY SHERIFF DEPT (2YTPTW)</t>
  </si>
  <si>
    <t>2YTPTW61219553</t>
  </si>
  <si>
    <t xml:space="preserve">THE MEADE CO. SHERIFF'S OFFICE WOULD LIKE TO ACQUIRE THIS VEHICLE FOR OUR DEPUTIES AND DETECTIVES USE DURING NARCOTICS OPERATIONS IN TERRAIN THAT IS NOT ABLE TO BE REACHED BY STREET VEHICLES AS WELL AS FOR USE IN THE ATTEMPTED APPREHENSION OF  FUGITIVES IN WOODED AND ROUGH TERRAIN AREAS. ALSO FOR USE IN SEARCH AND RESCUE AND SEARCH AND RECOVERY OPERATIONS.
</t>
  </si>
  <si>
    <t>OLDHAM COUNTY POLICE DEPT (2YT120)</t>
  </si>
  <si>
    <t>2YT12061421669</t>
  </si>
  <si>
    <t>IMAGE INTENSIFIER N</t>
  </si>
  <si>
    <t>THIS NIGHT VISION WILL BE USED BY THE OLDHAM COUNTY POLICE DEPT'S TACTICAL TEAM AT TIMES WHERE THERE IS LOW OR NO LIGHT AVAILABLE. THIS DEVICE WILL ALLOW OUR OFFICERS TO HAVE A TACTICAL ADVANTAGE IN HIGH RISK SITUATIONS WHERE THEY NEED TO POSITIVELY IDENTIFY POTENTIAL THREATS IN LOW VISIBILITY. DLA DS COLUMBUS HAS PROVIDED IMAGES OF THE CURRENT CONDITION AND THE DEVICE CONDITION APPEARS ACCEPTABLE TO THE RECEIVING AGENCY.</t>
  </si>
  <si>
    <t>2YT12061280242</t>
  </si>
  <si>
    <t>THIS EQUIPMENT WILL BE UTILIZED BY THE OLDHAM COUNTY POLICE DEPT TO OUTFIT OUR NEW FITNESS FACILITY. THIS EQUIPMENT WILL ALLOW OUR OFFICERS TO IMPROVE AND MAINTAIN THEIR HEALTH WHICH WILL ALLOW THEM TO PROVIDE A BETTER SERVICE TO OUR COMMUNITY.</t>
  </si>
  <si>
    <t>MD</t>
  </si>
  <si>
    <t>STATE POLICE (2YTPC4)</t>
  </si>
  <si>
    <t>2YTPC460866368</t>
  </si>
  <si>
    <t>CAMOUFLAGE NET SYSTEM,RADAR SCATTERING</t>
  </si>
  <si>
    <t>THESE CAMOUFLAGE NETS WILL ASSIST THE MARYLAND STATE POLICE WITH THE ABILITY TO SET UP SHADE STRUCTURES DURING EXTENDED SEARCH AND RESCUE OPERATIONS. THE MD STATE POLICE ARE THE PRIMARY SEARCH AND RESCUE UNIT FOR THE STATE AND DURING HOT WEATHER, OPERATIONS CAN BE EXTENDED IN DURATION. THE SHADE PROVIDED BY THE NETS WILL ALLOW RESCUERS PLACES TO COOL DOWN. WE WILL ACCEPT THE NETS IN THEIR CURRENT CONDITION. WE WILL PAY FOR SHIPPING OR WE WILL TRAVEL TO DLADS SUSQUEHANNA AND PICK UP IN PERSON.</t>
  </si>
  <si>
    <t>MI</t>
  </si>
  <si>
    <t>ALPENA COUNTY SHERIFFS OFFICE (2YTAG3)</t>
  </si>
  <si>
    <t>2YTAG361219292</t>
  </si>
  <si>
    <t>ALPENA COUNTY SHERIFFS DEPARTMENT-  THIS TRAILER WOULD BE USED TO HAUL EQUIPMENT, MOVE FORK LIFTS, OR TRACTORS FOR NORMAL OPERATIONS AND EMERGENCY SITUATION.   THIS TRAILER HAS HEAVIER AXLES THAT WHAT WE CURRENTLY HAVE.</t>
  </si>
  <si>
    <t>2YTAG360866356</t>
  </si>
  <si>
    <t>ALPENA COUNTY SHERIFFS DEPARTMENT  THIS TRAILER WOULD BE USED TO MOVE SUPPLIES FOR DAILY OPERATIONS AND EMERGENCY SITUATIONS.</t>
  </si>
  <si>
    <t>2YTAG360866358</t>
  </si>
  <si>
    <t>ALPENA COUNTY SHERIFFS DEPARTMENT  THIS TRAILER WOULD BE USED TO TRANSPORT SUPPLIES FOR DAILY OPERATIONS AND EMERGENCY SITUATIONS</t>
  </si>
  <si>
    <t>2YTAG361078251</t>
  </si>
  <si>
    <t>ALPENA COUNTY SHERIFFS DEPARTMENT - THIS TRACTOR WOULD BE USED FOR SNOW REMOVAL, CLEARING SIDEWALKS, PARKING LOTS AS WELL AS MOVING TRAILERS.   LAST COUPLE YEARS WE HAVE BEEN HIT HARD WITH SNOW AND ICE STORMS.  DIFFICULTY KEEPING UP WITH THE WEATHER</t>
  </si>
  <si>
    <t>2YTAG361553284</t>
  </si>
  <si>
    <t>DSCOMPRE1</t>
  </si>
  <si>
    <t>COMPRESSOR, AIR</t>
  </si>
  <si>
    <t>ALPENA COUNTY SHERIFFS DEPARTMENT - THIS ITEM WOULD BE USED TO FOR BUILDING MAINTENANCE AS WELL AS OPERATING AIR TOOLS FOR VEHICLE MAINTENANCE.</t>
  </si>
  <si>
    <t>2YTAG360937985</t>
  </si>
  <si>
    <t>PUMP UNIT,CENTRIFUGAL</t>
  </si>
  <si>
    <t>ALPENA COUNTY SHERIFFS DEPARTMENT - THIS PUMP WOULD BE USED TO ASSIST WITH CLEARING ROADS THAT SUSTAIN FLOODING AND ARE IMPASSIBLE</t>
  </si>
  <si>
    <t>2YTAG360937986</t>
  </si>
  <si>
    <t>ALPENA COUNTY SHERIFFS DEPARTMENT THIS PUMP WOULD BE USED TO ASSIST WITH CLEARING ROADS THAT SUSTAIN FLOODING AND ARE IMPASSIBLE</t>
  </si>
  <si>
    <t>DEARBORN POLICE DEPT (2YTC62)</t>
  </si>
  <si>
    <t>2YTC6261210542</t>
  </si>
  <si>
    <t>USE FOR DEARBORN POLICE DEPARTMENT BOMB SQUAD IN RESPONSE TO HAZARDOUS DEVICES SWAT BARRICADE SUPPORT REQUESTING MULTIPLE FOR CONTINUITY OF OPERATIONS AND TO SUPPORT MULTIPLE MISSIONS SIMULTANEOUS</t>
  </si>
  <si>
    <t>2YTC6261490541</t>
  </si>
  <si>
    <t>GRAND RAPIDS POLICE DEPT (2YTEQK)</t>
  </si>
  <si>
    <t>2YTEQK61702840</t>
  </si>
  <si>
    <t>FOR ON DUTY SWORN OFFICER USE ONLY. EQUIPMENT WILL BE USED TO ENHANCE OFFICER SAFETY THOUGH INCREASED ACCURACY WITH OTHER DEPARTMENT ISSUED EQUIPMENT. THE HOLDING FACILITY FOR THE EQUIPMENT HAS BEEN CONTACTED TO VERIFY CONDITIONS.</t>
  </si>
  <si>
    <t>GROSSE POINTE FARMS PUBLIC SAFETY (2YTEWV)</t>
  </si>
  <si>
    <t>2YTEWV60654564</t>
  </si>
  <si>
    <t>INDIVIDUAL FIRST AID KITS ARE REQUESTED TO ALLOW OFFICERS TO IMMEDIATELY TREAT LIFE-THREATENING INJURIES TO OFFICERS OR CIVILIANS DURING EMERGENCIES. THIS EQUIPMENT SUPPORTS RAPID MEDICAL INTERVENTION PRIOR TO EMS ARRIVAL AND IMPROVES SURVIVAL OUTCOMES.</t>
  </si>
  <si>
    <t>HAMBURG TOWNSHIP POLICE DEPT (2YTE1C)</t>
  </si>
  <si>
    <t>2YTE1C61562651</t>
  </si>
  <si>
    <t>TRUCK,REFUSE COLLECTION</t>
  </si>
  <si>
    <t>TO BE USED BY HTPD EMPLOYED PERSONNEL ASSIGNED TO THE STATE POLICE DRUG TEAM LAWNET FOR SURVEILLANCE AND EVIDENCE COLLECTION. TRASH PULLS ARE A MAJOR TOOL USED IN OBTAINING EVIDENCE AND IS BECOMING INCREASINGLY DIFFICULT TO CONDUCT IN URBAN AREAS. THIS WOULD BE A VITAL TOOL FOR UNDERCOVER OFC'S TO COLLECT EVIDENCE AND MAINTAIN ITS EVIDENTIARY VALUE.</t>
  </si>
  <si>
    <t>HURON CLINTON METRO AUTH POLICE (2YTRAL)</t>
  </si>
  <si>
    <t>2YTRAL60867026</t>
  </si>
  <si>
    <t>SLING,RESCUE,HELICO</t>
  </si>
  <si>
    <t>THE RESCUE SLING WILL BE USED TO SUPPLEMENT OUR EXISTING SEARCH AND RESCUE GEAR AND ROPES FOR OUR OFFICERS ASSIGNED TO THE REGIONAL SEARCH AND RESCUE TEAM.</t>
  </si>
  <si>
    <t>2YTRAL61078770</t>
  </si>
  <si>
    <t>THE METROPARKS POLICE DEPARTMENT REQUEST THE ACQUISITION OF MILITARY SURPLUS ENTRENCHING TOOLS TO EQUIP EACH PATROL VEHICLE AND THE AGENCYS SEARCH AND RESCUE TRAILER.</t>
  </si>
  <si>
    <t>2YTRAL61078294</t>
  </si>
  <si>
    <t>GAITERS</t>
  </si>
  <si>
    <t>METROPARKS OFFICERS ASSIGNED TO THE MULTI-AGENCY SEARCH AND RESCUE TEAM WOULD UTILIZE GAITERS TO PROVIDE ADDED PROTECTION WHILE OPERATING IN ROUGH TERRAIN. THIS INCLUDES PROTECTING THE LOWER LEGS FROM HAZARDS ENCOUNTERED WHILE RIDING ATVS, OPERATING POWER TOOLS, AND MOVING ON FOOT THROUGH DENSE UNDERBRUSH.</t>
  </si>
  <si>
    <t>LANSING POLICE DEPARTMENT (2YTPER)</t>
  </si>
  <si>
    <t>2YTPER61078293</t>
  </si>
  <si>
    <t>RAIL COVER,6 RIB</t>
  </si>
  <si>
    <t>FOR USE BY LANSING POLICE DEPARTMENT ON ISSUED FIREARMS. CONTACT HAS BEEN MADE TO VERIFY CONDITION</t>
  </si>
  <si>
    <t>2YTPER61078292</t>
  </si>
  <si>
    <t>RAIL COVER,11 RIB</t>
  </si>
  <si>
    <t>2YTPER61078290</t>
  </si>
  <si>
    <t>GRIP,RIFLE</t>
  </si>
  <si>
    <t>2YTPER61217476</t>
  </si>
  <si>
    <t>EYEPIECE ASSEMBLY,OPTICAL INSTRUMENT</t>
  </si>
  <si>
    <t>FOR USE BY ON DUTY OFFICERS OF THE LANSING POLICE DEPARTMENT TO IMPROVE FIREARM ACCURACY. CONTACT HAS BEEN MADE WITH LOCATION TO VERIFY PROPERTY CONDITION.</t>
  </si>
  <si>
    <t>2YTPER61008435</t>
  </si>
  <si>
    <t>2YTPER61078551</t>
  </si>
  <si>
    <t>FOR USE BY ON DUTY OFFICERS OF THE LANSING POLICE DEPARTMENT TO PROTECT AGAINST INCLEMENT WEATHER. CONTACT HAS BEEN MADE WITH LOCATION TO VERIFY PROPERTY CONDITION.</t>
  </si>
  <si>
    <t>2YTPER61078548</t>
  </si>
  <si>
    <t>2YTPER61008555</t>
  </si>
  <si>
    <t>TROUSERS,WET WEATHE</t>
  </si>
  <si>
    <t>2YTPER61008552</t>
  </si>
  <si>
    <t>2YTPER61008557</t>
  </si>
  <si>
    <t>2YTPER61149733</t>
  </si>
  <si>
    <t>FOR USE BY ON DUTY OFFICERS OF THE LANSING POLICE DEPARTMENT TO PROTECT FROM INCLEMENT WEATHER.</t>
  </si>
  <si>
    <t>2YTPER61149732</t>
  </si>
  <si>
    <t>2YTPER61149734</t>
  </si>
  <si>
    <t>FOR USE BY ON DUTY OFFICERS OF THE LANSING POLICE DEPARTMENT FOR PROTECTION FROM INCLEMENT WEATHER.</t>
  </si>
  <si>
    <t>MASON COUNTY SHERIFF DEPT (2YTHD9)</t>
  </si>
  <si>
    <t>2YTHD961351599</t>
  </si>
  <si>
    <t>IF ACQUIRED, THE MASON COUNTY SHERIFF'S OFFICE WOULD UTILIZE THIS EQUIPMENT FOR THE MASON COUNTY SWAT TEAM TO USE DURING CRITICAL INCIDENTS. THE EQUIPMENT WAS VERIFIED WITH DLA DS COLUMBUS.</t>
  </si>
  <si>
    <t>2YTHD961491986</t>
  </si>
  <si>
    <t>IF ACQUIRED, THE MASON COUNTY SHERIFF'S OFFICE WILL USE THIS TO MAINTAIN OUR SHOOTING RANGE AND OUR STORAGE BUILDING. THE ITEM WAS VERIFIED WITH DLA DS RILEY.</t>
  </si>
  <si>
    <t>2YTHD961351604</t>
  </si>
  <si>
    <t>DSNOWBLAD</t>
  </si>
  <si>
    <t>SNOW PLOW BLADE</t>
  </si>
  <si>
    <t>IF ACQUIRED, THE MASON COUNTY SHERIFF'S OFFICE WOULD UTILIZE THIS TO PLOW OUR FIREARMS RANGE AND OUR STORAGE FACILITY.</t>
  </si>
  <si>
    <t>MOUNT MORRIS TOWNSHIP POLICE DEPT (2YTH5N)</t>
  </si>
  <si>
    <t>2YTH5N61078385</t>
  </si>
  <si>
    <t>TO BE UTILIZED FOR MEDICAL TREATMENT ON MT. MORRIS TWP POLICE OFFICERS AND CITIZENS. THE KIT WILL BE PRIORITIZED FOR USE DURING MASS CASUALTY SITUATIONS I.E. ACTIVE SHOOTER EVENTS.</t>
  </si>
  <si>
    <t>OAKLAND COUNTY SHERIFF OFFICE (2YT1WK)</t>
  </si>
  <si>
    <t>2YT1WK60866733</t>
  </si>
  <si>
    <t>RACK,STORAGE,SMALL</t>
  </si>
  <si>
    <t>FOR USE BY THE SHERIFF'S DEPARTMENT FOR STORAGE OF RIFLES IN THE WEAPONS VAULT.</t>
  </si>
  <si>
    <t>2YT1WK61078650</t>
  </si>
  <si>
    <t>FOR USE BY THE SHERIFF'S DEPARTMENT TO SECURELY STORE RIFLES IN THE WEAPONS VAULT. CURRENTLY THE AGENCY DOES NOT HAVE ENOUGH RACKS TO PROPERLY STORE ALL DEPARTMENT RIFLES.</t>
  </si>
  <si>
    <t>2YT1WK61149102</t>
  </si>
  <si>
    <t>FOR USE BY THE SHERIFF'S DEPARTMENT FOR SECURE STORAGE OF RIFLES IN THE WEAPONS VAULT. CURRENTLY THERE ARE NOT ENOUGH RACKS FOR EVERY WEAPON IN INVENTORY.</t>
  </si>
  <si>
    <t>2YT1WK61633035</t>
  </si>
  <si>
    <t>DSMTRCYCL</t>
  </si>
  <si>
    <t>MOTORCYCLE</t>
  </si>
  <si>
    <t>FOR USE BY OSD OFFICERS WHEN PATROLLING AND RESPONDING TO CALLS FOR SERVICE IN RURAL AREA, AND THE EXTENSIVE STATE AND COUNTY PARKLAND TRAIL NETWORKS. THESE WILL ALLOW OFFICERS TO REACH AREAS QUICKLY THAT ARE NORMALLY ONLY ACCESSIBLE BY FOOT OR BICYCLE. THE AGENCY HAS NO COMPARABLE CAPABILITY.</t>
  </si>
  <si>
    <t>2YT1WK61146176</t>
  </si>
  <si>
    <t>UNMANNED VEHICLE,GROUND</t>
  </si>
  <si>
    <t>THE OAKLAND COUNTY SHERIFFS OFFICE REQUESTS A GROUND ROBOT EQUIPPED WITH OUR EXISTING RADIO SYSTEM AND ONBOARD AIR QUALITY SENSORS TO SUPPORT TACTICAL AND HAZARDOUS ENVIRONMENT OPERATIONS. THIS PLATFORM WOULD INTEGRATE DIRECTLY WITH EQUIPMENT OUR TEAM ALREADY OPERATES WHILE ADDING THE ABILITY TO REMOTELY MONITOR OXYGEN LEVELS AND AIRBORNE HAZARDS. OUR UNIT CURRENTLY LACKS THIS CAPABILITY, LIMITING SAFE ASSESSMENT OF CONFINED OR POTENTIALLY CONTAMINATED SPACES.</t>
  </si>
  <si>
    <t>2YT1WK61633127</t>
  </si>
  <si>
    <t>THE OAKLAND COUNTY SHERIFFS OFFICE REQUESTS A TELESCOPING PERSONNEL LIFT TO SUPPORT BUILDING MAINTENANCE AND FACILITY OPERATIONS. THE LIFT PROVIDES SAFE AND EFFICIENT ACCESS TO ELEVATED AREAS FOR INSPECTION, REPAIR, AND MAINTENANCE OF LIGHTING, CAMERAS, COMMUNICATIONS EQUIPMENT, ELECTRICAL SYSTEMS, AND OTHER FACILITY INFRASTRUCTURE. THIS EQUIPMENT IMPROVES WORKER SAFETY, INCREASES EFFICIENCY, AND PROVIDES A STABLE WORK PLATFORM FOR TASKS THAT CURRENTLY REQUIRE MORE TIME-INTENSIVE ACCESS METHODS</t>
  </si>
  <si>
    <t>2YT1WK61633126</t>
  </si>
  <si>
    <t>DSMHENSPP</t>
  </si>
  <si>
    <t>MATERIAL HANDLING EQUIP, NONSELF-PROPEL</t>
  </si>
  <si>
    <t>THE OAKLAND COUNTY SHERIFFS OFFICE REQUESTS A PUSH-AROUND HYDRAULIC PERSONNEL LIFT TO SUPPORT HELICOPTER MAINTENANCE OPERATIONS. THE LIFT PROVIDES SAFE ACCESS TO ELEVATED AIRCRAFT COMPONENTS DURING INSPECTIONS, REPAIRS, AND ROUTINE MAINTENANCE. THIS EQUIPMENT IMPROVES TECHNICIAN SAFETY, REDUCES RELIANCE ON LADDERS AND IMPROVISED PLATFORMS, AND ENHANCES THE EFFICIENCY OF MAINTAINING AVIATION ASSETS CRITICAL TO LAW ENFORCEMENT OPERATIONS.</t>
  </si>
  <si>
    <t>2YT1WK61149742</t>
  </si>
  <si>
    <t>DSMARLIFD</t>
  </si>
  <si>
    <t>MARINE LIFESAVING AND DIVING EQUIPMENT</t>
  </si>
  <si>
    <t>FOR USE BY OSD POLICE DIVERS WHEN DEPLOYED FOR SCUBA OPERATIONS</t>
  </si>
  <si>
    <t>2YT1WK61008104</t>
  </si>
  <si>
    <t>DIVING EQUIPMENT SET</t>
  </si>
  <si>
    <t>FOR USE BY OSD POLICE DIVERS. THESE WOULD BE USED TO REPLACE DAMAGED AND UNSERVICEABLE SCUBA FINS USED BY THE SHERIFF'S DIVE TEAM.</t>
  </si>
  <si>
    <t>2YT1WK60938105</t>
  </si>
  <si>
    <t>FOR USE BY OSD POLICE DIVERS. THESE WOULD BE USED TO REPLACE DAMAGED AND UNSERVICEABLE SCUBA MASKS USED BY THE SHERIFF'S DIVE TEAM.</t>
  </si>
  <si>
    <t>2YT1WK61219977</t>
  </si>
  <si>
    <t>FOR USE BY OSD POLICE DIVERS WHEN CONDUCTING SCUBA OPERATIONS. THESE WILL REPLACE AGING FINS, AND WILL BE ISSUED TO NEW DIVERS THAT DO NOT HAVE FINS.</t>
  </si>
  <si>
    <t>2YT1WK60867203</t>
  </si>
  <si>
    <t>FOR USE BY OSD PERSONNEL WHEN ON PATROL IN OFF ROAD VEHICLES TO PROVIDE A COMPACT DIGGING TOOL IN THE EVENT THE VEHICLE BECOMES BURIED IN LOOSE OR SOFT GROUND.</t>
  </si>
  <si>
    <t>2YT1WK60795880</t>
  </si>
  <si>
    <t>FOR USE BY THE SHERIFF'S DEPARTMENT PERSONNEL TO PROVIDE POWER FOR FORWARD COMMAND POSTS ON MAJOR INCIDENTS AND EVENTS, AND TO PROVIDE MOBILE BACKUP POWER FOR CRITICAL DEPARTMENT PATROL BUILDINGS</t>
  </si>
  <si>
    <t>2YT1WK61492512</t>
  </si>
  <si>
    <t>FOR USE BY THE SHERIFF'S OFFICE TO PROVIDE PORTABLE LIGHTING AT CRIME SCENES OR MAJOR EVENTS.</t>
  </si>
  <si>
    <t>2YT1WK61491996</t>
  </si>
  <si>
    <t>CAPNOGRAPH KIT</t>
  </si>
  <si>
    <t>FOR USE BY THE SHERIFF'S DEPARTMENT TACTICAL MEDICAL UNIT WHEN TRIAGING INJURED VICTIMS AND OFFICERS.</t>
  </si>
  <si>
    <t>2YT1WK60937735</t>
  </si>
  <si>
    <t>RESCUE AND TRANSPOR</t>
  </si>
  <si>
    <t>FOR USE BY OSD OFFICERS TO ASSIST WITH MOVING INCAPACITATED INDIVIDUALS UP OR DOWN STAIRWELLS, REDUCING THE RISK OF INJURY TO OUR OFFICERS.</t>
  </si>
  <si>
    <t>2YT1WK61280200</t>
  </si>
  <si>
    <t>WARRIOR AID LITTER</t>
  </si>
  <si>
    <t>FOR USE BY THE SHERIFF'S DEPARTMENT TACTICAL MEDICAL UNIT FOR EXTRACTION OF INJURED OFFICERS DURING SWAT DEPLOYMENTS.</t>
  </si>
  <si>
    <t>2YT1WK61432102</t>
  </si>
  <si>
    <t>FOR USE BY OSD OFFICERS WHEN TRAINING TO SIMULATE INJURED VICTIMS.</t>
  </si>
  <si>
    <t>2YT1WK61562904</t>
  </si>
  <si>
    <t>THE OAKLAND COUNTY SHERIFFS OFFICE REQUESTS DELL COMPUTERS TO SUPPORT PERSONNEL TRAINING AND FIELD OPERATIONS. THESE SYSTEMS WILL BE USED AS DEDICATED TRAINING WORKSTATIONS AND AS COMPACT ONBOARD SERVERS IN OPERATIONAL VEHICLES TO SUPPORT COMMUNICATIONS, DATA MANAGEMENT, AND MISSION-CRITICAL APPLICATIONS. STANDARDIZED COMPUTERS IMPROVE RELIABILITY, STREAMLINE TRAINING, AND ENHANCE THE ABILITY TO DEPLOY TECHNOLOGY IN SUPPORT OF LAW ENFORCEMENT OPERATIONS.</t>
  </si>
  <si>
    <t>2YT1WK60867294</t>
  </si>
  <si>
    <t>DSCLIMBER</t>
  </si>
  <si>
    <t>CLIMBER</t>
  </si>
  <si>
    <t>FOR USE BY SHERIFF'S PERSONNEL FOR EXERCISE BEFORE OR AFTER THEIR ASSIGNED PATROL SHIFTS.</t>
  </si>
  <si>
    <t>2YT1WK60866894</t>
  </si>
  <si>
    <t>FOR USE BY OSD PERSONNEL FOR EXERCISE PRIOR TO OR AFTER THEIR ASSIGNED SHIFT.</t>
  </si>
  <si>
    <t>2YT1WK61633125</t>
  </si>
  <si>
    <t>SET,ARMY COMBAT FITNESS EQUIPMENT</t>
  </si>
  <si>
    <t>THE OAKLAND COUNTY SHERIFFS OFFICE REQUESTS FITNESS EQUIPMENT TO SUPPORT PHYSICAL CONDITIONING AND READINESS OF SWORN PERSONNEL. STRENGTH TRAINING EQUIPMENT PROVIDES A COST-EFFECTIVE MEANS OF MAINTAINING FITNESS STANDARDS NECESSARY FOR LAW ENFORCEMENT DUTIES, REDUCING INJURY RISK AND SUPPORTING OVERALL HEALTH AND PERFORMANCE. THESE WEIGHTS WILL BE USED DURING ON-DUTY TRAINING AND FITNESS PROGRAMS TO ENHANCE OPERATIONAL READINESS.</t>
  </si>
  <si>
    <t>2YT1WK60867295</t>
  </si>
  <si>
    <t>FOR USE BY OSD PERSONNEL ASSIGNED ENTRENCHING TOOLS IN ORDER TO CARRY THE TOOLS ON THEIR EQUIPMENT BAGS.</t>
  </si>
  <si>
    <t>OCEANA COUNTY SHERIFF DEPT (2YT1XS)</t>
  </si>
  <si>
    <t>2YT1XS61490411</t>
  </si>
  <si>
    <t>THIS UNIT WOULD BE UTILIZED BY THE OCEANA COUNTY SHERIFF'S SWAT TEAM FOR DEPLOYMENT DURING CRITICAL INCIDENTS, PROVIDING A SAFER OPTION FOR OFFICERS ON SCENE. CONDITION OF THE UNIT WAS VERIFIED WITH DLA COLUMBUS</t>
  </si>
  <si>
    <t>2YT1XS61422011</t>
  </si>
  <si>
    <t>THIS UNMANNED AIRCRAFT WOULD BE UTILIZED BY THE OCEANA COUNTY SHERIFF'S OFFICE FOR USE DURING SEARCH AND RESCUE OPERATIONS AS WELL AS FOR SUSPECT APPREHENSION. THIS WOULD PROVIDE THE DEPARTMENT WITH A VALUABLE PIECE OF EQUIPMENT FOR SAVING LIVES AND FINDING SUSPECTS IN CRIMINAL CASES.</t>
  </si>
  <si>
    <t>2YT1XS61350941</t>
  </si>
  <si>
    <t>THIS TOOL KIT WOULD BE USED BY OCEANA COUNTY SHERIFF'S ARMORERS FOR MAINTENANCE ON DEPARTMENT ISSUED FIREARMS</t>
  </si>
  <si>
    <t>2YT1XS60655447</t>
  </si>
  <si>
    <t>DSMONIT03</t>
  </si>
  <si>
    <t>MEDICAL MONITOR</t>
  </si>
  <si>
    <t>THIS UNIT WOULD BE USED WITHIN THE OCEANA COUNTY SHERIFF'S OFFICE JAIL BY DEPUTIES TO MONITOR THE CONDITION OF INMATES DURING A MEDICAL ISSUE OR COMPLAINT. THIS WOULD BENEFIT THE DEPARTMENT BY PROVIDING OFFICERS WITH REAL TIME MEDICAL INFORMATION TO ASSIST WITH DETERMINING IF AN INMATE NEEDS TO BE TRANSPORTED.</t>
  </si>
  <si>
    <t>SAINT JOSEPH CTY SHERIFF'S OFFICE (2YTKLJ)</t>
  </si>
  <si>
    <t>2YTKLJ61563340</t>
  </si>
  <si>
    <t>REPLACEMENT FOR OUR HEADLIGHT ON OUR MRAP</t>
  </si>
  <si>
    <t>STATE POLICE (FIELD SUP &amp; AVIA SEC) (2YTPES)</t>
  </si>
  <si>
    <t>2YTPES60796774</t>
  </si>
  <si>
    <t>PIN,STRAIGHT,HEADED</t>
  </si>
  <si>
    <t>THESE PARTS WILL BE USED TO MAINTAIN THE TWO UH-1H HELICOPTERS OPERATED BY THE MICHIGAN STATE POLICE.  THESE AIRCRAFT SUPPORT ALL LOCAL, STATE, AND FEDERAL LAW ENFORCEMENT WITHIN THE STATE OF MICHIGAN ON SEARCH AND RESCUE MISSIONS AS WELL AS LAW ENFORCEMENT SUPPORT MISSIONS.</t>
  </si>
  <si>
    <t>ZILWAUKEE CITY POLICE DEPT (2YTN15)</t>
  </si>
  <si>
    <t>2YTN1561422279</t>
  </si>
  <si>
    <t>THIS UNIT WILL BE USED BY THE ZILWAUKEE POLICE DEPARTMENT BY A CERTIFIED DRONE OPERATOR FOR SEARCH AND RESCUE AND TO ASSIST WITH HIGH INCIDENTS TO HELP POLICE LOCATE SUSPECTS</t>
  </si>
  <si>
    <t>MN</t>
  </si>
  <si>
    <t>BLAINE POLICE DEPT (2YTA98)</t>
  </si>
  <si>
    <t>2YTA9861421418</t>
  </si>
  <si>
    <t>THE BLAINE POLICE DEPARTMENT HAS OFFICERS ON A REGIONAL SWAT TEAM. WE ARE LOOKING FOR IR ILLUMINATORS AND AIMING LASERS TO IMPROVE ACCURACY AND POSITIVE IDENTIFICATION UNDER NIGHT VISION. CONDITION HAS BEEN VERIFIED AND THE AGENCY ACCEPTS THE PROPERTY AS IS.</t>
  </si>
  <si>
    <t>2YTA9861219962</t>
  </si>
  <si>
    <t>THE BLAINE POLICE DEPARTMENT HAS OFFICERS ASSIGNED TO A REGIONAL SWAT TEAM IN ANOKA COUNTY, MINNESOTA. THE TEAM RESPONDS TO VIOLENT CRIMES AND HAS TO REMAIN OUTSIDE IN SUB ZERO TEMPERATURES FOR HOURS AT A TIME. THE AGENCY HAS CONFIRMED THE CONDITION AND ACCEPTS THE PROPERTY AS IS.</t>
  </si>
  <si>
    <t>2YTA9861219969</t>
  </si>
  <si>
    <t>2YTA9861219968</t>
  </si>
  <si>
    <t>2YTA9861219967</t>
  </si>
  <si>
    <t>2YTA9861219966</t>
  </si>
  <si>
    <t>2YTA9861219960</t>
  </si>
  <si>
    <t>2YTA9861219963</t>
  </si>
  <si>
    <t>2YTA9861219964</t>
  </si>
  <si>
    <t>BURNSVILLE POLICE DEPT (2YTP27)</t>
  </si>
  <si>
    <t>2YTP2761563037</t>
  </si>
  <si>
    <t>OUR SWAT TEAM WILL USE THESE NIGHT VISION GOGGLES FOR LOW LIGHT TACTICAL LAW ENFORCEMENT OPERATIONS.  WE KNOW THEY ARE CONDITION H, A 2YT DTIID, AND DAMAGED.  WE WILL TAKE THEM AS THEY ARE AND REPAIR THEM.  WE HAVE HAD SUCCESS REPAIRING THIS MODEL OF NIGHT VISION GOGGLES -PVS 15.</t>
  </si>
  <si>
    <t>2YTP2761491834</t>
  </si>
  <si>
    <t>OUR SWAT TEAM WILL USE THESE THERMAL SCOPES FOR NIGHTTIME SURVEILLANCE OPERATIONS AND TACTICAL LAW ENFORCEMENT OPERATIONS.  DURING A LARGE MANHUNT LAST YEAR WE IDENTIFIED A NEED TO IMPROVE OUR THERMAL CAPABILITIES.  WE KNOW THEY ARE CONDITION G AND WILL TAKE THEM AS THEY ARE.</t>
  </si>
  <si>
    <t>2YTP2761563039</t>
  </si>
  <si>
    <t>2YTP2761563038</t>
  </si>
  <si>
    <t>FRIDLEY POLICE DEPT (2YTEC8)</t>
  </si>
  <si>
    <t>2YTEC861492310</t>
  </si>
  <si>
    <t>TOURNIQUET KIT,JUNC</t>
  </si>
  <si>
    <t>FOR USE BY OUR POLICE MEDICS TO AID THEIR PARTNERS AND CITIZENS OF OUR COMMUNITY.</t>
  </si>
  <si>
    <t>HUBBARD COUNTY SHERIFF DEPT (2YTFK6)</t>
  </si>
  <si>
    <t>2YTFK661421487</t>
  </si>
  <si>
    <t>THIS ITEM IS BEING REQUESTED BY THE HUBBARD COUNTY SHERIFF'S OFFICE TO BE USED BY DEPUTIES FOR LAW ENFORCEMENT PURPOSES.  THE REQUESTED INFRARED ILLUMINATORS WILL BE USED BY DEPUTIES AND SWAT OFFICERS FOR NIGHTTIME AND LOW LIGHT OPERATIONS.  THIS INCLUDES HIGH RISK WARRANT SERVICE, BARRICADED SUBJECTS, HOSTAGE RESCUE, AND SEARCH AND RESCUE. LEA HAS CONFIRMED SITE HAS BEEN CONTACTED AND ACCEPT CONDITION OF PROPERTY.</t>
  </si>
  <si>
    <t>2YTFK661008481</t>
  </si>
  <si>
    <t>THIS ITEM IS BEING REQUESTED BY THE HUBBARD COUNTY SHERIFF'S OFFICE TO BE USED BY DEPUTIES FOR LAW ENFORCEMENT PURPOSES.  THE REQUESTED INFRARED ILLUMINATORS WILL BE USED BY SWAT OFFICERS FOR NIGHTTIME AND LOW LIGHT OPERATIONS.  THIS INCLUDES HIGH RISK WARRANT SERVICE, BARRICADED SUBJECTS, HOSTAGE RESCUE, AND SEARCH AND RESCUE. LEA HAS CONFIRMED SITE HAS BEEN CONTACTED AND ACCEPT CONDITION OF PROPERTY.</t>
  </si>
  <si>
    <t>2YTFK661492097</t>
  </si>
  <si>
    <t>MOUNT,VIEWER</t>
  </si>
  <si>
    <t>THIS ITEM IS BEING REQUESTED BY THE HUBBARD COUNTY SHERIFF'S OFFICE TO BE USED BY DEPUTIES FOR LAW ENFORCEMENT PURPOSES.  THE REQUESTED NIGHT VISION MOUNTS WILL BE USED BY DEPUTIES AND SWAT OFFICERS FOR NIGHTTIME AND LOW LIGHT OPERATIONS WITH NIGHT VISION DEVICES.  THIS INCLUDES HIGH RISK WARRANT SERVICE, BARRICADED SUBJECTS, HOSTAGE RESCUE, AND SEARCH AND RESCUE.</t>
  </si>
  <si>
    <t>2YTFK661078564</t>
  </si>
  <si>
    <t>THIS ITEM IS BEING REQUESTED BY THE HUBBARD COUNTY SHERIFF'S OFFICE TO BE USED BY DEPUTIES FOR LAW ENFORCEMENT PURPOSES.  THE REQUESTED NIGHT VISION WILL BE USED BY SWAT OFFICERS FOR NIGHTTIME AND LOW LIGHT OPERATIONS.  THIS INCLUDES HIGH RISK WARRANT SERVICE, BARRICADED SUBJECTS, HOSTAGE RESCUE, AND SEARCH AND RESCUE. LEA HAS CONFIRMED SITE HAS BEEN CONTACTED AND ACCEPT CONDITION OF PROPERTY.</t>
  </si>
  <si>
    <t>2YTFK661078565</t>
  </si>
  <si>
    <t>THIS ITEM IS BEING REQUESTED BY THE HUBBARD COUNTY SHERIFF'S OFFICE TO BE USED BY DEPUTIES FOR LAW ENFORCEMENT PURPOSES.  THE NIGHT VISION WILL BE USED BY SWAT OFFICERS FOR NIGHTTIME AND LOW LIGHT OPERATIONS.  THIS INCLUDES HIGH RISK WARRANT SERVICE, BARRICADED SUBJECTS, HOSTAGE RESCUE, AND SEARCH AND RESCUE. LEA HAS CONFIRMED SITE HAS BEEN CONTACTED AND ACCEPT CONDITION OF PROPERTY.</t>
  </si>
  <si>
    <t>2YTFK661351081</t>
  </si>
  <si>
    <t>SIGHT,UNS,AN,PVS22</t>
  </si>
  <si>
    <t>THIS ITEM IS BEING REQUESTED BY THE HUBBARD COUNTY SHERIFF'S OFFICE TO BE USED BY DEPUTIES FOR LAW ENFORCEMENT PURPOSES.  THE REQUESTED CLIP ON NIGHT VISION WILL BE USED BY SWAT SNIPERS FOR NIGHTTIME AND LOW LIGHT OPERATIONS AND TRAINING.  THIS INCLUDES ENGAGING TARGETS, SURVEILLANCE, HIGH RISK WARRANT SERVICE, BARRICADED SUBJECTS, HOSTAGE RESCUE, AND SEARCH AND RESCUE. LEA HAS CONFIRMED SITE HAS BEEN CONTACTED AND ACCEPT CONDITION OF PROPERTY.</t>
  </si>
  <si>
    <t>2YTFK661562508</t>
  </si>
  <si>
    <t>THIS ITEM IS BEING REQUESTED BY THE HUBBARD COUNTY SHERIFF'S OFFICE TO BE USED BY DEPUTIES FOR LAW ENFORCEMENT PURPOSES.  THE REQUESTED NIGHT VISION DEVICES WILL BE USED BY DEPUTIES AND SWAT OFFICERS FOR NIGHTTIME AND LOW LIGHT OPERATIONS.  THIS INCLUDES HIGH RISK WARRANT SERVICE, BARRICADED SUBJECTS, HOSTAGE RESCUE, AND SEARCH AND RESCUE. LEA HAS CONFIRMED SITE HAS BEEN CONTACTED AND ACCEPT CONDITION OF PROPERTY.</t>
  </si>
  <si>
    <t>2YTFK661008573</t>
  </si>
  <si>
    <t>2YTFK661078603</t>
  </si>
  <si>
    <t>2YTFK661350752</t>
  </si>
  <si>
    <t>MILLE LACS TRIBAL POLICE DEPARTMENT (2YTSZX)</t>
  </si>
  <si>
    <t>2YTSZX60866792</t>
  </si>
  <si>
    <t>FOR USE BY LEO AND SWAT FOR CRITICAL INCIDENTS SUCH AS ACTIVE SHOOTER AND HOSTAGE SCENARIOS AND ANY OTHER HIGH-RISK EMERGENCIES, AND TO BETTER SERVE AND PROTECT OUR COMMUNITIES WHICH HOST NUMEROUS POTENTIAL TARGETS SUCH AS SCHOOLS, CASINOS, MOVIE THEATERS, CONCERT VENUES, AND SPORTING EVENTS. I HAVE CONTACTED THE SITE WHERE THE PROPERTY IS LOCATED AND CONFIRMED AND ACCEPT THE CONDITION OF THE ITEM AS IS.</t>
  </si>
  <si>
    <t>2YTSZX60937417</t>
  </si>
  <si>
    <t>FOR USE BY LEO AND SWAT FOR CRITICAL EMERGENCIES SUCH AS ACTIVE SHOOTER, HOSTAGE RESCUE, AND HIGH RISK WARRANT SERVICE, TO BETTER SERVE OUR COMMUNITY AND THE PUBLIC AS WE HAVE NUMEROUS VENUES WHICH ARE CONSIDERED HIGH RISK SUCH AS SCHOOLS, CASINOS, MOVIE THEATERS, AND CONCERT VENUES. I HAVE CONTACTED THE SITE WHERE THE PROPERTY IS HELD AND CONFIRMED AND ACCEPT THE PROPERTY AS IS.</t>
  </si>
  <si>
    <t>2YTSZX60725905</t>
  </si>
  <si>
    <t>RENVILLE COUNTY SHERIFF OFFICE (2YTJ59)</t>
  </si>
  <si>
    <t>2YTJ5961210430</t>
  </si>
  <si>
    <t>SIGHTS WILL BE USED FOR 40 MM LAUNCHERS TO AID DEPUTIES IN TARGET ACQUISITION. I ACCEPT THE CONDITION CODE OF F</t>
  </si>
  <si>
    <t>SHERBURNE COUNTY SHERIFF'S OFFICE (2YTK1W)</t>
  </si>
  <si>
    <t>2YTK1W61149671</t>
  </si>
  <si>
    <t>RECON SCOUT XT</t>
  </si>
  <si>
    <t>THE SHERBURNE COUNTY SHERIFF'S OFFICE IS REQUESTING THESE ROBOTS TO REPLACE AGING UNITS CURRENTLY IN USE.  THESE ROBOTS ARE SMALL AND ALLOW OFFICERS TO EASILY DEPLOY THEM IN ADVANCE OF OFFICERS BEFORE ENTERING HIGH RISK AREAS.  THE ROBOTS CONDITION HAS BEEN VERIFIED AND THE AGENCY ACCEPTS THEM AS IS.  IF AWARDED, OLDER UNITS WILL BE RETURED.</t>
  </si>
  <si>
    <t>2YTK1W61219674</t>
  </si>
  <si>
    <t>THE SHERBURNE COUNTY SHERIFF'S OFFICE IS REQUESTING SMALL REMOTE CAMERAS FOR USE BY PATROL.  THE CAMERA WILL ALLOW OFFICERS TO VIEW AREA IN ADVANCE OF THEIR ENTRY INTO HAZARDOUS SPACES.  THIS WILL INCREASE OFFICER AND PUBLIC SAFETY.  CONDITION HAS BEEN VERIFIED AND THE AGENCY ACCEPTS ITEMS AS IS.</t>
  </si>
  <si>
    <t>2YTK1W61078261</t>
  </si>
  <si>
    <t>THE SHERBURNE COUNTY SHERIFF'S OFFICE IS IN CONSTANT NEED OF SAFETY GLASSES FOR USE DURING FIREARMS AND OTHER TRAININGS THAT REQUIRE EYE PROTECTION.  SAFETY GLASSES ARE CONSIDERED CONSUMABLE ITEMS AND DISPOSED OF FREQUENTLY AS THEY ARE USED.</t>
  </si>
  <si>
    <t>2YTK1W61078257</t>
  </si>
  <si>
    <t>CAMERA ROBOT</t>
  </si>
  <si>
    <t>THE SHERBURNE COUNTY SHERIFF'S OFFICE IS REQUESTING THIS CAMERA FOR USE BY PATROL STAFF WHEN RESPONDING TO CALLS FOR SERVICE.  THIS WILL PROVIDE A METHOD OF OBSERVATION DURING MENTAL HEALTH CALLS THAT DOESN'T REQUIRE AN OFFICER TO MAKE DIRECT CONACT WITH SUBJECTS.  CONDITION CONFIRMED AND ITEMS ACCEPTED AS-IS.</t>
  </si>
  <si>
    <t>2YTK1W61078256</t>
  </si>
  <si>
    <t>THE SHERBURNE COUNTY SHERIFF'S OFFICE IS REQUESTING THIS CAMERA FOR USE BY THE ERMERGENCY RESPONSE UNIT.  THEY ARE RESPONSIBLE FOR RESPONDING TO HIGH RISK CALLS AND THE USE OF REMOTE CAMERAS WILL PROVIDE A SAFER METHOD OF OBSERVATION.  CONDITION CONFIRMED AND ITEMS ACCEPTED AS-IS.</t>
  </si>
  <si>
    <t>2YTK1W60937370</t>
  </si>
  <si>
    <t>THE SHERBURNE COUNTY SHERIFF'S OFFICE IS REQUESTING BLANKETS FOR USE BY PATROL OFFICERS.  THE BLANKETS ARE BENEFICIAL WHEN RESPONDING TO MEDICAL EMERGENCIES OR ACCIDENTS DURING COLD WEATHER.  THE BLANKETS OFFER WARMTH AND COVER TO PATIENTS.  ITEMS ARE CONSUMABLE AND IN CONSTANT NEED BY THE SHERIFF'S OFFICE.</t>
  </si>
  <si>
    <t>2YTK1W61492728</t>
  </si>
  <si>
    <t>THE SHERBURNE COUNTY SHERIFF'S OFFICE IS REQUESTING COLD WEATHER GEAR FOR USE DURING INCLIMATE WEATHER.  THIS GEAR WILL HELP KEEP OFFICERS WARM AND DRY TO REDUCE THE RISK OF COLD INJURY.</t>
  </si>
  <si>
    <t>2YTK1W61492726</t>
  </si>
  <si>
    <t>2YTK1W61492725</t>
  </si>
  <si>
    <t>2YTK1W61492724</t>
  </si>
  <si>
    <t>2YTK1W61492723</t>
  </si>
  <si>
    <t>2YTK1W61492722</t>
  </si>
  <si>
    <t>2YTK1W61492721</t>
  </si>
  <si>
    <t>TROUSERS,COLD WEATHER</t>
  </si>
  <si>
    <t>2YTK1W61008635</t>
  </si>
  <si>
    <t>THE SHERBURNE COUNT SHERIFF'S OFFICE IS REQUESTING COLD WEATHER CLOTHING FOR USE BY SPECIAL TEAMS TASKED WITH WORKING INVESTIGATIONS IN ADVERSE CLIMATES.  THIS ITEM IS PART OF A LAYERING SYSTEM USED TO ADAPT TO CHANGING CONDITIONS WHILE PREVENTING WEATHER RELATED INJURY DUE TO COLD WET CONDITIONS.  THESE TEAMS ARE ALSO TASKED WITH HIGH RISK WARRANT SERVICE AND CALL RESPONSE.</t>
  </si>
  <si>
    <t>2YTK1W61008454</t>
  </si>
  <si>
    <t>THE SHERBURNE COUNTY SHERIFF'S OFFICE IS REQUESTING COLD WEATHER GEAR FOR SPECIALIZED TEAMS TO USE DURING ADVERSE WEATHER.  THE PANT PROVIDES WIND AND RAIN RESISTANCE HELPING TO REDUCE THE CHANCE OF COLD INJURY WHILE WORKING.</t>
  </si>
  <si>
    <t>2YTK1W61008453</t>
  </si>
  <si>
    <t>2YTK1W60937292</t>
  </si>
  <si>
    <t>2YTK1W60937290</t>
  </si>
  <si>
    <t>2YTK1W61078624</t>
  </si>
  <si>
    <t>2YTK1W61008623</t>
  </si>
  <si>
    <t>2YTK1W61008621</t>
  </si>
  <si>
    <t>2YTK1W61078626</t>
  </si>
  <si>
    <t>2YTK1W61078627</t>
  </si>
  <si>
    <t>2YTK1W61078630</t>
  </si>
  <si>
    <t>2YTK1W61078631</t>
  </si>
  <si>
    <t>2YTK1W61078633</t>
  </si>
  <si>
    <t>2YTK1W61078634</t>
  </si>
  <si>
    <t>2YTK1W61008640</t>
  </si>
  <si>
    <t>2YTK1W61008642</t>
  </si>
  <si>
    <t>2YTK1W61078613</t>
  </si>
  <si>
    <t>2YTK1W61008614</t>
  </si>
  <si>
    <t>2YTK1W61078615</t>
  </si>
  <si>
    <t>2YTK1W61008616</t>
  </si>
  <si>
    <t>2YTK1W61078617</t>
  </si>
  <si>
    <t>2YTK1W61078618</t>
  </si>
  <si>
    <t>2YTK1W61078619</t>
  </si>
  <si>
    <t>2YTK1W61078620</t>
  </si>
  <si>
    <t>2YTK1W61078268</t>
  </si>
  <si>
    <t>THE SHERBURNE COUNTY SHERIFF'S OFFICE IS REQUESTING GAITERS FOR USE BY SPECIALIZED TEAMS THAT WORK IN ADVERSE CONDITONS.  THE GAITERS WILL PROVIDE PROTECTION TO THE OFFICERS LOWER LEGS WHEN IN WET CONDITIONS.</t>
  </si>
  <si>
    <t>2YTK1W61078267</t>
  </si>
  <si>
    <t>2YTK1W61492676</t>
  </si>
  <si>
    <t>BAG,INDIVIDUAL EQUIPMENT,CARRIER</t>
  </si>
  <si>
    <t>THE SHERBURNE COUNTY SHERIFF'S OFFICE IS REQUESTING BAGS FOR THE STORAGE AND TRANSPORTATION OF GEAR.  BAGS KEEP ITEMS ORGANIZED AND READY FOR QUICK DEPLOYMENT.</t>
  </si>
  <si>
    <t>2YTK1W61562678</t>
  </si>
  <si>
    <t>2YTK1W61492672</t>
  </si>
  <si>
    <t>2YTK1W61562674</t>
  </si>
  <si>
    <t>2YTK1W61008400</t>
  </si>
  <si>
    <t>SNOWSHOE,ASSAULT,MI</t>
  </si>
  <si>
    <t>THE SHERBURNE COUNTY SHERIFF'S OFFICE IS REQUESTING SNOWSHOES FOR OFFICERS RESPONDING TO EMGERGENCIES IN THE WINTER MONTHS.  THIS MAY INVOLVE HIGH RISK CALLS FOR SERVICE OR SEARCH AND RESCUE OPERATIONS.  SNOWSHOES WILL AID OFFICERS WHEN TRAVERSING DEEP SNOW FOR EXTENDED DISTANCES.</t>
  </si>
  <si>
    <t>2YTK1W61219673</t>
  </si>
  <si>
    <t>THE SHERBURNE COUNTY SHERIFF'S OFFICE IS REQEUSTING PACKS FOR THE ORGANIZATION, STORAGE, AND TRANSPORT OF EQUIPMENT.  KEEPING EQUIPMENT READY FOR DEPLOYMENT IS A PRIORITY IN THE EVENT OF AN EMERGENCY.  CONDITION VERIFIED AND ACCEPTED AS IS.</t>
  </si>
  <si>
    <t>MO</t>
  </si>
  <si>
    <t>DOJ/FBI SAINT LOUIS DIV (2YTQQS)</t>
  </si>
  <si>
    <t>2YTQQS61219878</t>
  </si>
  <si>
    <t>FOR EXCLUSIVE USE BY FBI SWAT TEAM COMPOSED OF SWORN LAW ENFORCEMENT AGENTS. FOR USE IN HIGH-RISK ARREST AND SEARCH WARRANT SERVICE, LOW LIGHT OPERATIONS, RURAL OPERATIONS AND MANHUNTS. REQUESTER HAS CONTACTED THE SITE TO CONFIRM THE CONDITION OF ITEMS.</t>
  </si>
  <si>
    <t>2YTQQS61491979</t>
  </si>
  <si>
    <t>FOR EXCLUSIVE USE BY FBI SWAT TEAM COMPOSED OF SWORN LAW ENFORCEMENT AGENTS. FOR USE IN HIGH-RISK ARREST AND SEARCH WARRANT SERVICE, LOW LIGHT OPERATIONS, RURAL OPERATIONS AND MANHUNTS. REQUESTER HAS CONTACTED THE SITE TO CONFIRM THE CONDITION OF NIGHT VISION OPTICS.</t>
  </si>
  <si>
    <t>HOWELL COUNTY SHERIFF OFFICE (2YTFKX)</t>
  </si>
  <si>
    <t>2YTFKX60866411</t>
  </si>
  <si>
    <t>HCSO IS A LAW ENFORCEMENT AGENCY. HCSO WILL USE THE REQUESTED FORD RANGER AT THE HCSO TRAINING RANGE FOR REALISTIC TRAINING SCENARIOS. THE VEHICLE WILL BE USED DURING FIREARMS AND TACTICAL EXERCISES TO SIMULATE TRAFFIC STOPS, VEHICLE ASSAULTS, AND OTHER FIELD CONDITIONS DEPUTIES MAY ENCOUNTER. THIS EQUIPMENT IMPROVES TRAINING REALISM, ENHANCES DEPUTY PREPAREDNESS, AND STRENGTHENS OVERALL OPERATIONAL READINESS.</t>
  </si>
  <si>
    <t>2YTFKX60795964</t>
  </si>
  <si>
    <t>DSVAN0001</t>
  </si>
  <si>
    <t>VAN, COMMERCIAL</t>
  </si>
  <si>
    <t>HCSO IS A LAW ENFORCEMENT AGENCY. HCSO WILL USE THE REQUESTED PRISONER TRANSPORT VAN TO SAFELY AND EFFICIENTLY MOVE INMATES BETWEEN THE JAIL, COURTS, MEDICAL FACILITIES, AND OTHER DETENTION CENTERS. A DEDICATED TRANSPORT VEHICLE IMPROVES SECURITY, INCREASES TRANSPORT CAPACITY, AND REDUCES THE NEED TO USE PATROL UNITS. THIS ENHANCES OPERATIONAL EFFICIENCY WHILE ENSURING THE SAFE AND SECURE MOVEMENT OF PRISONERS.</t>
  </si>
  <si>
    <t>2YTFKX61008722</t>
  </si>
  <si>
    <t>HCSO IS A LAW ENFORCEMENT AGENCY. HCSO WILL USE THE REQUESTED BRUSH MULCHER ATTACHMENT TO CLEAR HEAVY VEGETATION AT HCSO FACILITIES, TRAINING AREAS, AND DURING DISASTER RESPONSE. THIS EQUIPMENT ALLOWS RAPID REMOVAL OF BRUSH, IMPROVES VISIBILITY, CREATES FIREBREAKS, AND OPENS ACCESS ROUTES. A BRUSH MULCHER ENHANCES SAFETY, INCREASES EFFICIENCY, AND SUPPORTS DEBRIS REMOVAL AND RECOVERY EFFORTS FOLLOWING STORMS AND OTHER EMERGENCIES.</t>
  </si>
  <si>
    <t>2YTFKX61008724</t>
  </si>
  <si>
    <t>2YTFKX61491831</t>
  </si>
  <si>
    <t>TRUCK,FIRE FIGHTING</t>
  </si>
  <si>
    <t>HCSO IS A PUBLIC SAFETY AGENCY. HCSO WILL USE THE REQUESTED FIRE TRUCK AT THE TRAINING FACILITY FOR RAPID RESPONSE TO GRASS AND BRUSH FIRES DURING LIVE-FIRE EXERCISES. THIS VEHICLE PROVIDES ON-SITE FIRE SUPPRESSION TO LIMIT FIRE SPREAD. IT ENHANCES SAFETY, REDUCES RELIANCE ON LOCAL VOLUNTEER FIRE DEPARTMENTS, AND WILL ALSO SUPPORT EMERGENCY AND DISASTER RESPONSE EFFORTS IN OUR REGION. HOWELL COUNTY IS CURRENTLY UNDER A FEDERAL DISASTER DECLARATION. THIS TRUCK REPLACES ONE THAT IS INOPERABLE.</t>
  </si>
  <si>
    <t>2YTFKX60936995</t>
  </si>
  <si>
    <t>HCSO IS A LAW ENFORCEMENT AGENCY. HCSO WILL USE THE REQUESTED MOTOROLA PORTABLE RADIO CHARGE BANKS TO KEEP DEPUTY RADIOS POWERED DURING PATROL, TRAINING, AND DISASTER RESPONSE. THESE UNITS ALLOW MULTIPLE BATTERIES TO BE CHARGED EFFICIENTLY, ENSURING RELIABLE COMMUNICATION AT ALL TIMES. MAINTAINING CHARGED RADIOS ENHANCES OFFICER SAFETY, SUPPORTS COORDINATION, AND ENSURES UNINTERRUPTED COMMUNICATION DURING CRITICAL INCIDENTS AND EXTENDED OPERATIONS.</t>
  </si>
  <si>
    <t>2YTFKX60866140</t>
  </si>
  <si>
    <t>CONTAINER,CARGO</t>
  </si>
  <si>
    <t>HCSO IS A LAW ENFORCEMENT AGENCY. HCSO WILL USE THE REQUESTED CONEX SHIPPING CONTAINERS TO CONSTRUCT A STRUCTURE FOR SIMUNITION TRAINING AT THE HCSO TRAINING FACILITY. THESE CONTAINERS WILL CREATE A SAFE, CONTROLLED ENVIRONMENT FOR REALISTIC SCENARIO-BASED TRAINING. THIS FACILITY IMPROVES DEPUTY READINESS, ENHANCES SAFETY, AND STRENGTHENS TRAINING FOR CRITICAL INCIDENTS AND TACTICAL RESPONSE.</t>
  </si>
  <si>
    <t>2YTFKX61219322</t>
  </si>
  <si>
    <t>HCSO IS A LAW ENFORCEMENT AGENCY. HCSO WILL USE THE REQUESTED TWO 40-FOOT CONEX CONTAINERS TO CONSTRUCT A SIMUNITION SHOOT HOUSE FOR REGIONAL LAW ENFORCEMENT TRAINING. THIS STRUCTURE WILL PROVIDE A SAFE, CONTROLLED ENVIRONMENT FOR REALISTIC SCENARIO-BASED EXERCISES. IT ENHANCES DEPUTY READINESS, IMPROVES SAFETY, AND SUPPORTS ADVANCED TACTICAL TRAINING FOR HCSO AND PARTNERING AGENCIES ACROSS THE REGION.</t>
  </si>
  <si>
    <t>2YTFKX61149504</t>
  </si>
  <si>
    <t>HCSO IS A LAW ENFORCEMENT AGENCY. HCSO WILL USE THE REQUESTED WET AND COLD WEATHER CLOTHING TO PROTECT DEPUTIES DURING PATROL, TRAINING, AND DISASTER RESPONSE OPERATIONS. PROPER GEAR ALLOWS DEPUTIES TO OPERATE SAFELY IN RAIN, FLOODING, AND COLD CONDITIONS WHILE MAINTAINING MOBILITY AND EFFECTIVENESS. THIS EQUIPMENT IMPROVES SAFETY, REDUCES RISK OF EXPOSURE-RELATED INJURIES, AND ENSURES CONTINUED OPERATIONS DURING SEVERE WEATHER EVENTS.</t>
  </si>
  <si>
    <t>2YTFKX61149501</t>
  </si>
  <si>
    <t>2YTFKX61149502</t>
  </si>
  <si>
    <t>2YTFKX60867502</t>
  </si>
  <si>
    <t>HCSO IS A LAW ENFORCEMENT AGENCY. HCSO WILL USE THE REQUESTED GO BAGS TO STAGE ESSENTIAL EQUIPMENT FOR RAPID DEPLOYMENT DURING PATROL, TACTICAL INCIDENTS, AND DISASTER RESPONSE. THESE BAGS ALLOW DEPUTIES TO QUICKLY ACCESS MEDICAL SUPPLIES, TOOLS, AND MISSION-CRITICAL GEAR. PRE-STAGED GO BAGS IMPROVE RESPONSE TIMES, ENHANCE ORGANIZATION, AND ENSURE DEPUTIES ARE PREPARED FOR A WIDE RANGE OF EMERGENCY SITUATIONS.</t>
  </si>
  <si>
    <t>2YTFKX60796046</t>
  </si>
  <si>
    <t>CARRIER,OC SPRAY</t>
  </si>
  <si>
    <t>HCSO IS A LAW ENFORCEMENT AGENCY. HCSO WILL USE THE REQUESTED OC SPRAY BELT CARRIERS TO SECURELY CARRY ISSUED OC SPRAY DURING PATROL AND ENFORCEMENT OPERATIONS. PROPER CARRIERS ENSURE QUICK ACCESS, CONSISTENT PLACEMENT ON THE DUTY BELT, AND IMPROVED RETENTION OF THE DEVICE. THIS EQUIPMENT ENHANCES DEPUTY SAFETY, SUPPORTS EFFECTIVE USE OF LESS-LETHAL FORCE OPTIONS, AND IMPROVES READINESS DURING DAILY LAW ENFORCEMENT DUTIES.</t>
  </si>
  <si>
    <t>2YTFKX60795582</t>
  </si>
  <si>
    <t>HCSO IS A LAW ENFORCEMENT AGENCY. HCSO WILL USE THE REQUESTED SURVIVAL KITS AND KNIVES DURING SEARCH AND RESCUE, DISASTER RESPONSE, AND EXTENDED FIELD OPERATIONS. THIS EQUIPMENT PROVIDES ESSENTIAL TOOLS FOR CUTTING, EMERGENCY REPAIRS, AND SURVIVAL NEEDS IN REMOTE OR HAZARDOUS ENVIRONMENTS. SURVIVAL KITS IMPROVE DEPUTY PREPAREDNESS, ENHANCE SAFETY, AND ENSURE PERSONNEL ARE EQUIPPED TO OPERATE EFFECTIVELY DURING EMERGENCIES.</t>
  </si>
  <si>
    <t>MCDONALD COUNTY SHERIFF'S OFFICE (2YTHGS)</t>
  </si>
  <si>
    <t>2YTHGS61633089</t>
  </si>
  <si>
    <t>HELLO, WE WOULD LIKE TO ADD THESE SIGHTS TO OUR PATROL RIFLES FOR OUR FIELD DEPUTIES. CURRENTLY THEY ARE USING IRON SIGHTS AND THIS OPTIC WILL HELP THEM BE MORE PROFICIENT WITH THEIR PATROL RIFLE. I DID CONTACT DLS SAN JOAQUIN AND THEY ADVISED THE OPTICS APPEARED TO BE USABLE WITH A LITTLE WORK. THANK YOU FOR YOUR PROGRAM</t>
  </si>
  <si>
    <t>NORMANDY POLICE DEPT (2YT0M4)</t>
  </si>
  <si>
    <t>2YT0M461633202</t>
  </si>
  <si>
    <t>DSDIGITA0</t>
  </si>
  <si>
    <t>CAMERA, DIGITAL</t>
  </si>
  <si>
    <t>THE NORMANDY POLICE DEPARTMENT WILL UTILIZE THESE DIGITAL CAMERAS FOR ASSIGNMENT TO POLICE OFFICER PATROL VEHICLES FOR EVIDENCE COLLECTIONS PURPOSES.</t>
  </si>
  <si>
    <t>2YT0M461633203</t>
  </si>
  <si>
    <t>2YT0M461633204</t>
  </si>
  <si>
    <t>FIELD HAND WASH STA</t>
  </si>
  <si>
    <t>THE NORMANDY POLICE DEPARTMENT WILL UTILIZE THESE FIELD READY HAND WASHING STATIONS DURING CRITICAL INCIDENTS REQUIRING LONG OFFICER DEPLOYMENTS AND LARGE SCALE RESPONSES. ADDITIONALLY, THESE WILL BE USED FOR SPECIAL EVENTS FOR PUBLIC HYGIENE PURPOSES.</t>
  </si>
  <si>
    <t>OREGON COUNTY SHERIFF OFFICE (2YT15P)</t>
  </si>
  <si>
    <t>2YT15P60866372</t>
  </si>
  <si>
    <t>THE OREGON COUNTY SHERIFF'S OFFICE WILL USE THE UNIT AS A TACTICAL COMMAND CENTER FOR ITS UNMANNED AERIAL PLATFORM DURING BOTH EVERYDAY AND HIGH-RISK OPERATIONS, SERVING AS A MOBILE COMMAND HUB.</t>
  </si>
  <si>
    <t>2YT15P61421409</t>
  </si>
  <si>
    <t>THE OREGON COUNTY SHERIFF'S OFFICE WILL USE THE TRUCK TO PERFORM MAINTENANCE, REPAIRS, AND CONSTRUCTION OF SHERIFF'S OFFICE FACILITIES DURING DAY TO DAY AND HIGH RISK OPERATIONS TO FURTHER THE MISSION OF THE SHERIFF'S OFFICE.</t>
  </si>
  <si>
    <t>2YT15P61280522</t>
  </si>
  <si>
    <t>THE TRUCK WILL BE USED BY THE OREGON COUNTY SHERIFF'S OFFICE TO TRANSPORT EQUIPMENT, SUPPLIES, AND PERSONNEL TO SUPPORT DAY TO DAY AND HIGH RISK OPERATIONS IN THE FURTHERANCE OF THE SHERIFF'S OFFICE MISSION.</t>
  </si>
  <si>
    <t>2YT15P61007873</t>
  </si>
  <si>
    <t>THE OREGON COUNTY SHERIFF'S OFFICE WILL USE THE TRUCK TO MOVE EQUIPMENT, SUPPLIES, AND PERSONNEL DURING DAY TO DAY AND HIGH RISK OPERATIONS TO MAXIMIZE THE CAPABILITIES OF OUR OFFICE.</t>
  </si>
  <si>
    <t>2YT15P61421407</t>
  </si>
  <si>
    <t>THE OREGON COUNTY SHERIFF'S OFFICE WILL USE THE TRUCK TO TRANSPORT PERSONNEL, EQUIPMENT, AND SUPPLIES DURING DAY TO DAY AND HIGH RISK OPERATIONS TO FURTHER THE MISSION OF THE SHERIFF'S OFFICE.</t>
  </si>
  <si>
    <t>2YT15P61078390</t>
  </si>
  <si>
    <t>THE OREGON COUNTY SHERIFF'S OFFICE WILL USE THE VEHICLE TO TRANSPORT EQUIPMENT, SUPPLIES, AND RESPONDERS ACROSS THE RURAL TERRAIN DURING HIGH RISK AND DISASTER OPERATIONS TO FURTHER THE MISSION OF THE SHERIFF'S OFFICE AND PROMOTE CITIZEN SAFETY.</t>
  </si>
  <si>
    <t>2YT15P61078392</t>
  </si>
  <si>
    <t>2YT15P61007837</t>
  </si>
  <si>
    <t>TRACTOR WILL BE USED BY THE OREGON COUNTY SHERIFF'S OFFICE TO PERFORM MAINTENANCE AND REPAIRS ON SHERIFF'S OFFICE FACILITIES. IT WILL ALSO BE USED AS A DISASTER OPTION TO MAXIMIZE PUBLIC SAFETY DURING DISASTER EVENTS.</t>
  </si>
  <si>
    <t>2YT15P60796683</t>
  </si>
  <si>
    <t>SPAX</t>
  </si>
  <si>
    <t>SPAXS WILL BE USED BY THE OREGON COUNTY SHERIFF'S OFFICE AS BREACHING TOOLS DURING RESCUE AND HIGH RISK OPERATIONS TO FACILITATE SOLUTIONS TO THESE SOLUTIONS.</t>
  </si>
  <si>
    <t>2YT15P61280523</t>
  </si>
  <si>
    <t>THE OREGON COUNTY SHERIFF'S OFFICE WILL USE THE CONTAINER TO STORE AND STAGE NECESSARY SUPPLIES AND EQUIPMENT FOR DAY TO DAY AND HIGH RISK OPERATIONS IN FURTHERANCE OF THE SHERIFF'S OFFICE MISSION.</t>
  </si>
  <si>
    <t>2YT15P61280528</t>
  </si>
  <si>
    <t>2YT15P61280529</t>
  </si>
  <si>
    <t>2YT15P61280560</t>
  </si>
  <si>
    <t>THE OREGON COUNTY SHERIFF'S OFFICE WILL USE THE CONTAINER TO STORE AND STAGE SUPPLIES AND EQUIPMENT FOR USE IN DAY TO DAY AND HIGH RISK OPERATIONS IN FURTHERANCE OF THE SHERIFF'S OFFICE MISSION.</t>
  </si>
  <si>
    <t>2YT15P61280559</t>
  </si>
  <si>
    <t>2YT15P61280524</t>
  </si>
  <si>
    <t>2YT15P60866690</t>
  </si>
  <si>
    <t>THE OREGON COUNTY SHERIFF'S OFFICE WILL USE THE PARKAS TO PROMOTE OFFICER HEALTH AND SAFETY DURING COLD WEATHER OPERATIONS.</t>
  </si>
  <si>
    <t>OZARK COUNTY  SHERIFF OFFICE (2YT19C)</t>
  </si>
  <si>
    <t>2YT19C61280013</t>
  </si>
  <si>
    <t>OZARK COUNTY IS REQUESTING REQUISITION OF TRUCK AMBULANCE. THIS WOULD BE IDEAL FOR DEPLOYING DURING ACTIVE CRIMINAL CRIME SCENE OR DEATH INVESTIGATION. WE COULD DEPLOY THIS VEHICLE WITH A MAJOR CASE SQUAD. WHEN WE HAVE SEVERAL VICTIMS OR WHEN WE HAVE HOMICIDE CRIME SCENE OR A MAJOR INCIDENT WHERE MANY RESOURCES WAS NEEDED. AND LARGE EQUIPMENT COULD BE STORED FOR SUCH TIMES.</t>
  </si>
  <si>
    <t>2YT19C61280163</t>
  </si>
  <si>
    <t>OZARK COUNTY IS REQUESTING REQUISITION FOR THE PICKUP FOR THE SHERIFF'S OFFICE. THIS VEHICLE COULD USED AS A ALTERNATIVE PATROL VEHICLE, BE USED AS AN UNDERCOVER VEHICLE FOR SPECIAL OPERATIONS WHERE A MARKED VEHICLE ISN'T PERMISSIBLE OR FOR OBTAINING DRUG AND NARCOTIC INTELLIGENCE. THIS VEHICLE COULD ALSO BE OR DEPLOYED IN TIMES OF NATURAL DISASTERS WHEN DEPUTIES NEEDED TO HAUL PEOPLE OR TRANSPORT MATERIAL FROM ONE PLACE TO ANOTHER. OZARK COUNTY SHERIFF'S OFFICE  HAS A NEED AND A USE FOR IT</t>
  </si>
  <si>
    <t>2YT19C61280166</t>
  </si>
  <si>
    <t xml:space="preserve">OZARK COUNTY IS REQUESTING  REQUISITION OF THE TRUCK FROM LESO. THIS VEHICLE WOULD BE IDEALLY FOR UNMARKED OFFICER WHEN WORKING IN THE FIELD OF ILLEGAL NARCOTICS. THIS WOULD ALLOW THE DEPUTIES TO GATHER INTELLIGENCE AND PERFORM CONTROL BUYS. THIS VEHICLE COULD ALSO BE VERY USEFUL WHEN NEEDING AN ALTERNATIVE PATROL VEHICLE OR WHEN A NATURAL DISASTER HAPPENS AND PICKUP IS MORE USEFUL FOR TRANSPORTING VICTIMS OR PATIENTS OUT OF DANGEROUS AND TREACHEROUS INCIDENTS.  
</t>
  </si>
  <si>
    <t>2YT19C61421302</t>
  </si>
  <si>
    <t>TRUCK,DUMP</t>
  </si>
  <si>
    <t>OZARK COUNTY IS REQUESTING ONE DUMP TRUCK LOCATED IN WHITEMAN AFB MISSOURI. THIS WOULD BE IDEAL FOR NATURAL DISASTERS AND WHEN LARGE DEBRIS NEEDED TO BE REMOVED TO MAKE THE ROADWAYS SAFE AND PASSABLE. IN TIMES PAST, WE HAVE HAD HEAVY STORMS THAT HAS BLOWN LARGE DEBRIS IN THE ROADWAY AND WE HAVE BEEN UNABLE TO MOVE FREELY THROUGHOUT COUNTY. THIS WOULD GIVE THE ABILITY TO MOVE THE DEBRIS AND GIVE FIRST RESPONDERS THE ABILITY TO MAKE PUBLIC SAFETY NUMBER 1 PRIOIRTY AT THE SAMETIME RESPOND TO CALLS.</t>
  </si>
  <si>
    <t>2YT19C61078228</t>
  </si>
  <si>
    <t>TRUCK,SERVICING PLATFORM</t>
  </si>
  <si>
    <t>THE OZARK COUNTY SHERIFF'S DEPARTMENT IS REQUESTING THE SERVICE TRUCK THE TRUCK CAN SUPPORT EMERGENCY MAINTENANCE AND EMERGENCY SITUATIONS, SUCH AS STORM DAMAGE, FALLEN TREES, OR INFRASTRUCTURE REPAIRS. IN THESE INSTANCES, RAPID DEPLOYMENT IS ESSENTIAL. A BOONE TRUCK ENABLES STAFF TO CARRY NECESSARY EQUIPMENT CHAINSAWS, GENERATORS, BARRICADES, AND OTHER TOOLS ALLOWING FOR IMMEDIATE ACTION TO RESTORE SAFE CONDITIONS. THIS CONTRIBUTES TO PUBLIC SAFETY AND MINIMIZES DISRUPTION TO OPERATIONS.</t>
  </si>
  <si>
    <t>2YT19C61280162</t>
  </si>
  <si>
    <t>2YT19C61148922</t>
  </si>
  <si>
    <t>OZARK COUNTY IS REQUESTING TWO FORD RANGERS. THESE VEHICLES WOULD BE USED WHEN THE TERRAIN WAS ROUGH AND SITUATION AROSE THAT NEEDED TRANSPORTING OF CARGO. THERE VEHICLES WOULD ALSO BE USED AS UNDERCOVER VEHICLES TO MAKE CONTACT WITH INFORMANTS OR USED TO MAKE NARCOTIC BUYS.</t>
  </si>
  <si>
    <t>2YT19C61078373</t>
  </si>
  <si>
    <t>TRUCK,MAINTENANCE</t>
  </si>
  <si>
    <t>OZARK COUNTY IS REQUESTING A MAINTENANCE TRUCK FOR EMERGENCY PURPOSES. THIS VEHICLE COULD BE USED TO TRANSPORT SUPPLIES, ASSETS AND EQUIPMENT DURING A NATURAL DISASTER. IT COULD ALSO BE USED TO TOW OUR BOAT TRAILER OR OUR DIGITAL SIGN,</t>
  </si>
  <si>
    <t>2YT19C61491850</t>
  </si>
  <si>
    <t>OZARK COUNTY IS REQUESTING REQUISITION OF PORTABLE RADIO TOWER FOR INCIDENT COMMAND AND TO BE DEPLOYED DURING NATURAL DISASTERS. IN 2025 OZARK COUNTY WAS HIT WAS A FATAL TORNADO THAT TOOK THE LIFE OF 3 IN OUR COUNTY. WHILE ON SCENE OUR COMMUNICATION WAS NON EXISTENT BECAUSE WHERE WE WERE THAT WAS NO SIGNAL COMING INTO RAVINE. I'VE ALREADY SPOKE TO OUR RADIO SPECIALISTS, THIS ITEM WOULD BE A GAME CHANGER FOR OUR COMMUNICATION IN OZARK COUNTY AND MAKE NO COMMS IN OZARK A NONEXISTENT ISSUE.</t>
  </si>
  <si>
    <t>2YT19C61491852</t>
  </si>
  <si>
    <t>2YT19C61491851</t>
  </si>
  <si>
    <t>2YT19C61491857</t>
  </si>
  <si>
    <t>2YT19C61491858</t>
  </si>
  <si>
    <t>2YT19C61562682</t>
  </si>
  <si>
    <t>OZARK COUNTY SHERIFF'S OFFICE IS ASKING FOR REQUISITION OF A LOW BED DOVE TAIL SEMI TRAILER. THIS WOULD BE IDEAL TO TRANSPORT OUR LARGE EQUIPMENT THROUGH OUT OZARK COUNTY. AS OF NOW, WE HAVE TWO UP ARMORED VEHICLES, LARGE TRACTORS AND THIS WOULD BE IDEAL WHENEVER THOSE ITEMS BREAK DOWN WE COULD TRANSPORT  OUR EQUIPMENT TO A MECHANIC, OR IF WE ARE REQUESTED BE NEIGHBORING AGENCY, WE COULD HAVE IT TRANSPORTED CLOSER TO AN INCIDENT THEN, DEPLOY THE ASSET.</t>
  </si>
  <si>
    <t>2YT19C61421524</t>
  </si>
  <si>
    <t>OZARK COUNTY SHERIFF'S DEPARTMENT IS REQUESTING REQUISITION OF THE K9 MOBILE TRAILER. THIS TRAILER WOULD BE IDEAL FOR OUR K9 DIVISION THAT HAS APPROXIMATELY 6 OTHER K9 AND ALSO PROVIDE SERVICE TO 8 DIFFERENT COUNTIES. OZARK COUNTY PROVIDES ITS K9 DIVISION TO ANY AGENCY THAT REQUIRES SEARCH AND RESCUE OR SEARCH AND RECOVERY. OZARK COUNTY K9 HAS SEVERAL K9 AND THE BIGGEST ISSUE IS NOT ENOUGH ROOM TO TRANSPORT ENOUGH ASSETS.</t>
  </si>
  <si>
    <t>2YT19C61148921</t>
  </si>
  <si>
    <t>OZARK COUNTY IS ASKING FOR REQUISITION OF THE SCOOTER. THEY WOULD BE IDEAL FOR USING DURING FESTIVALS IN THE COUNTY. IT COULD BE USED TO PATROL DURING HIGH VOLUME OF CROWDS AND TIMES WHEN STREETS AREN'T ACCESSIBLE BY PATROL VEHICLE. THE BED ON IT COULD BE USED TO TRANSPORT A PATIENT SAFELY IF OUTFITTED WITH THE PROPER EQUIPMENT.</t>
  </si>
  <si>
    <t>2YT19C61148855</t>
  </si>
  <si>
    <t>TRACTOR,WHEELED,AGRICULTURAL</t>
  </si>
  <si>
    <t>REQUESTING REQUISITION OF A SMALL JOHN DEERE TRACTOR. THIS WOULD BE IDEAL AFTER NATURAL DISASTER SUCH AS TORNADOES, FLOODS, AND HEAVY CRITICAL STORMS. IN YEARS PAST, OZARK COUNTY EMERGENCY RESPONDERS HAVE HAD TO BARROW CERTAIN UNIQUE ASSETS SUCH AS A TRACTOR WITH A FRONTEND LOADER TO CREATE PATHWAYS AND OR CLEAR DEBRIS TO ACCESS VICTIMS OR PATIENTS NOT ACCESSIBLE FROM THE ROAD DEBRIS.</t>
  </si>
  <si>
    <t>2YT19C61421430</t>
  </si>
  <si>
    <t>TRACTOR,WHEELED,IND</t>
  </si>
  <si>
    <t>OZARK COUNTY IS REQUESTING THE TRACTOR WITH THE FRONT END LOADER AND BACKHOE AS A NEW ASSET FOR THE OZARK COUNTY SHERIFF'S DEPARTMENT. LIVING IN A RURAL AREA WITH VERY LIMITED ASSETS WE HAVE SUFFERED SEVERE STORMS, TORNADOS, FLOODING, AND DEBRIS  COVERING PUBLIC ROADWAYS. IN 2025 OZARK COUNTY WAS HIT WITH A DEVASTING TORNADO THAT LEFT MANY UNABLE TO BE RESCUED. OZARK COUNTY RELIED ON THE PUBLIC, MODOT AND COUNTY ROAD AND BRIDGE TO CLEAR A ROADWAY, JUST SO WE COULD START CHECKING ON BYSTANDARDS.</t>
  </si>
  <si>
    <t>2YT19C61078243</t>
  </si>
  <si>
    <t>LADDER,VEHICLE BOAR</t>
  </si>
  <si>
    <t>OZARK COUNTY SHERIFF'S DEPARTMENT IS REQUESTING LADDER CATWALK STEPS FOR ACCESS TO AN UNFINISHED THIRD FLOOR WHERE RECORDS ARE STORED. CURRENTLY STAFF MUST GO OUTSIDE AND CLIMB A LADDER, CREATING A SAFETY RISK. INSTALLING PROPER STEPS WILL IMPROVE ACCESSIBILITY, REDUCE HAZARDS, AND ALLOW SAFER AND MORE EFFICIENT ACCESS TO CRITICAL RECORDS.</t>
  </si>
  <si>
    <t>2YT19C61562371</t>
  </si>
  <si>
    <t>GRADER,ROAD,MOTORIZED</t>
  </si>
  <si>
    <t>OZARK COUNTY IS REQUESTING REQUISITION OF A GRADER THROUGH THE LESO PROGRAM. THE REQUESTED EQUIPMENT WILL SUPPORT PUBLIC SAFETY BY IMPROVING EMERGENCY RESPONSE CAPABILITIES, MAINTAINING ACCESS ROUTES DURING SEVERE WEATHER AND DISASTER SITUATIONS AND ASSISTING CRITICAL INFRASTRUCTURE THROUGH OUT THE COUNTY.</t>
  </si>
  <si>
    <t>2YT19C61280059</t>
  </si>
  <si>
    <t>OZARK COUNTY IS ASKING REQUISITION OF SKID STEER. FOR DEPLOYMENT OF NATURAL DISASTERS. OZARK COUNTY HAS BEEN RAVISHED BY SEVERE STORMS, TORNADOS, AND HEAVY FLOOD WATERS. IN YEARS PAST, OZARK COUNTY  HAS HAD TO DEPEND ON DEPLOYMENT OF ASSETS FROM OTHER COUNTIES OR OTHER AGENCIES. DURING  HEAVY STORMS, AND TORNADOS OZARK COUNTY WASN'T ABLE TO ACCESS VICTIMS, PATIENTS, AND MAKE RECOVERS WITHOUT ASSISTANCE TO MAKESHIFT ROADS AND ACCESSWAYS TO RESIDENCES.</t>
  </si>
  <si>
    <t>2YT19C61078247</t>
  </si>
  <si>
    <t>WE ARE REQUESTING  THE TOOLKIT TOOLBOX. THIS TOOLBOX WOULD GIVE THE ABILITY TO STORE OUR EVIDENCE COLLECTING EQUIPMENT AND OR OUR OTHER EQUIPMENT THAT WE HAVE, BUT DON'T HAVE THE NECESSARY STORING CAPABILITY.</t>
  </si>
  <si>
    <t>2YT19C61350983</t>
  </si>
  <si>
    <t>BALLISTIC SHIELDS</t>
  </si>
  <si>
    <t>OZARK COUNTY IS REQUESTING REQUISITION OF THE BALLISTIC SHIELDS. CURRENTLY OZARK COUNTY HAS NO TYPE OF RIOT SHIELDS OR PROTECTIVE SHIELD EQUIPMENT. WE HAVE 10 DEPUTIES THAT HAVE IN THE PAST HAD TO DEAL WITH ENCOUNTERS WITH RADICAL GROUPS THAT HAVE PROTESTED ON OUR CITY STREETS FOR VARIOUS ISSUES. THESE SHIELDS COULD BE USED IN TIMES OF LARGE CROWDS AND LARGE MASSES TURN TO DESTRUCTION AND VIOLENCE. IN THIS YEAR, COMMERCE IS PLANNING ON HAVING HANNAH HARPER COME TO OZARK FOR A FREE CONCERT.</t>
  </si>
  <si>
    <t>WRIGHT CITY POLICE DEPT (2YTNXK)</t>
  </si>
  <si>
    <t>2YTNXK61563303</t>
  </si>
  <si>
    <t>THE WRIGHT CITY POLICE DEPARTMENT WILL USE THESE RACKS TO STORE LAW ENFORCEMENT WEAPONS IN OUR ARMORY.  WE CURRENTLY DO NOT HAVE ANY SECURE WEAPONS STORAGE CONTAINERS, AND THESE WILL PROVIDE US WITH THAT.</t>
  </si>
  <si>
    <t>WRIGHT CSO (2YTNXN)</t>
  </si>
  <si>
    <t>2YTNXN61422211</t>
  </si>
  <si>
    <t>THE WRIGHT COUNTY SHERIFF'S OFFICE IS A LAW ENFORCEMENT AGENCY REQUESTING A PACKBOT 510 WITH FAST TAC REMOTE CONTROL TO IMPROVE OFFICER SAFETY DURING HIGH RISK INCIDENTS. THIS ROBOT ENABLES REMOTE SEARCH AND ASSESSMENT OF THREATS, HAZARDOUS AREAS, AND SUSPICIOUS ITEMS, REDUCING RISK TO DEPUTIES AND THE PUBLIC, INCREASING OUR OPERATIONAL CAPABILITY, AND RELIEVING FINANCIAL BURDEN ON THE AGENCY.</t>
  </si>
  <si>
    <t>2YTNXN61421598</t>
  </si>
  <si>
    <t>THE WRIGHT COUNTY SHERIFF'S OFFICE IS A LAW ENFORCEMENT AGENCY REQUESTING TEN PEQ 15 LASER DEVICES TO IMPROVE OFFICER SAFETY AND EFFECTIVENESS IN LOW LIGHT AND NO LIGHT OPERATIONS. THESE DEVICES ENHANCE TARGET IDENTIFICATION AND ACCURACY, REDUCE RISK TO DEPUTIES AND THE PUBLIC, INCREASE MISSION CAPABILITY, AND HELP RELIEVE THE FINANCIAL BURDEN ON OUR AGENCY.</t>
  </si>
  <si>
    <t>MT</t>
  </si>
  <si>
    <t>MISSOULA CTY SHERIFF DEPT (2YTHT8)</t>
  </si>
  <si>
    <t>2YTHT861499636</t>
  </si>
  <si>
    <t>MISSOULA COUNTY EOD UNIT REQUESTS THIS FOR THEIR TEAM. MISSOULA COUNTY COVERS ALL OF WESTERN MONTANA FOR EOD CALLS</t>
  </si>
  <si>
    <t>STILLWATER CTY SHERIFF OFFICE (2YTLHH)</t>
  </si>
  <si>
    <t>WE WOULD BE ABLE TO USE THE ROBOT TO SEE AND GATHER INTELLIGENCE DURING DANGEROUS SITUATIONS SUCH AS A BARRICADED SUBJECT OR SUICIDAL SUBJECT.  WE CAN USE THE ROBOT TO DELIVER A PHONE, WATER, OR OTHER TYPE OF OBJECT DURING THE SAME TYPE OF DANGEROUS SITUATION WHICH WOULD ALLOW US TO REMAIN SAFE WHILE TRYING TO RESOLVING INCIDENTS.  IT CAN ALSO BE USED TO SEARCH CAVES OR OTHER ENCLOSED TYPE AREAS DURING SEARCH AND RESCUE OPERATIONS PREVENTING RESCUERS FROM BEING PLACED IN DANGER.</t>
  </si>
  <si>
    <t>NC</t>
  </si>
  <si>
    <t>ANGIER PD (2YTAJ1)</t>
  </si>
  <si>
    <t>2YTAJ161149944</t>
  </si>
  <si>
    <t>THE ANGIER POLICE DEPARTMENT IS REQUESTING EARTH-MOVING AND EXCAVATION EQUIPMENT TO ASSIST IN RECONSTRUCTING AND MAINTAINING OUR SHOOTING RANGE. THE RANGE IS USED TO TRAIN OUR SPECIAL OPERATIONS TEAM FOR ANTI-TERRORISM AND ANTI-DRUG OPERATIONS AND TO ENSURE OFFICERS MAINTAIN FIREARMS PROFICIENCY AND OPERATIONAL READINESS.</t>
  </si>
  <si>
    <t>ASHE CSO (2YTA0F)</t>
  </si>
  <si>
    <t>2YTA0F60937859</t>
  </si>
  <si>
    <t>TELESCOPE,STRAIGHT</t>
  </si>
  <si>
    <t>THE ASHE COUNTY SHERIFF'S OFFICE REQUESTS THESE ITEMS FOR USE IN COUNTER-DRUG OPERATIONS. THESE OPTICS WOULD BE USED BY SWORN DEPUTIES DURING DRUG WARRANT SERVICE TO BETTER VIEW TARGET LOCATIONS FROM A SAFE DISTANCE. WE ARE AWARE OF THEIR CURRENT CONDITION, HAVE REVIEWED PHOTOS AND WILL ACCEPT THEM AS-IS.</t>
  </si>
  <si>
    <t>2YTA0F61351396</t>
  </si>
  <si>
    <t>THE ASHE COUNTY SHERIFF'S OFFICE REQUESTS THESE ITEMS FOR USE IN COUNTER-DRUG OPERATIONS. THESE SCOPES WILL ALLOW OUR DEPUTIES TO HAVE A CLEARER VIEW OF SUSPECTS AND LOCATIONS WHEN SERVING DRUG RELATED SEARCH WARRANTS. WE HAVE BEEN IN CONTACT WITH THE SITE, HAVE REVIEWED THE PHOTOS, ARE AWARE OF THE CONDITION AND WILL ACCEPT THEM AS-IS.</t>
  </si>
  <si>
    <t>2YTA0F61350829</t>
  </si>
  <si>
    <t>TELESCOPE,ARTICULATED</t>
  </si>
  <si>
    <t>THE ASHE COUNTY SHERIFF'S OFFICE REQUEST THESE ITEMS FOR USE IN COUNTER DRUG OPERATIONS. THESE TELESCOPE WILL ALLOW OUR DEPUTIES TO HAVE AN IMPROVED VIEW OF A LOCATION WHILE SERVING DRUG SEARCH WARRANTS. I HAVE BEEN IN TOUCH WITH THE SITE, HAVE REVIEWED THE CONDITION OF THESE ITEMS AND WILL ACCEPT THEM AS-IS.</t>
  </si>
  <si>
    <t>2YTA0F61492301</t>
  </si>
  <si>
    <t>THE ASHE COUNTY SHERIFF'S OFFICE REQUEST THIS ITEM FOR USE IN SEARCH AND RESCUE OPERATIONS. DURING HURRICANE HELENE HERE IN THE NC MOUNTAINS WE LOST POWER TO A COMMUNICATIONS TOWER WHILE SEARCHING FOR PEOPLE AND CHECKING THEIR WELFARE. THIS LOSS OF THE TOWER MEANT THAT OUR POLICE RADIOS STOPPED WORKING AS DEPUTIES COULD NOT COMMUNICATE WITH DISPATCH, FIRE DEPARTMENTS OR MEDICS. THIS MOBILE RADIO TOWER WOULD SERVE AS AN EMERGENCY DEPLOYABLE RADIO TOWER SHOULD ANOTHER DISASTER HIT OUT AREA.</t>
  </si>
  <si>
    <t>2YTA0F61219532</t>
  </si>
  <si>
    <t>THE ASHE COUNTY SHERIFF'S OFFICE REQUEST THESE ITEMS FOR USE IN SEARCH AND RESCUE OPERATIONS. THESE VEST-MOUNTED FLASHLIGHTS WILL ALLOW OUR DEPUTIES TO ILLUMINATE THE WOODS DURING SEARCH AND RESCUE OPERATIONS AT NIGHT WHILE KEEPING THEIR HANDS FREE.</t>
  </si>
  <si>
    <t>2YTA0F61280220</t>
  </si>
  <si>
    <t>LIGHT KIT,WEAPONS</t>
  </si>
  <si>
    <t>THE ASHE COUNTY SHERIFF'S OFFICE REQUEST THESE ITEMS FOR USE DURING COUNTER-DRUG OPERATIONS. THESE FLASHLIGHTS WILL ALLOW OUR DEPUTIES TO STAY SAFE BY ILLUMINATING BUILDINGS DURING DRUG WARRANT SERVICE. WE ARE AWARE OF THE CONDITION AND WILL ACCEPT THEM AS-IS.</t>
  </si>
  <si>
    <t>2YTA0F61421322</t>
  </si>
  <si>
    <t>DSTRAFFIC</t>
  </si>
  <si>
    <t>TRAFFIC AND TRANSIT SIGNAL SYSTEMS</t>
  </si>
  <si>
    <t>THE ASHE COUNTY SHERIFF'S OFFICE REQUESTS THESE ITEMS FOR USE IN SEARCH AND RESCUE OPERATIONS. THESE PORTABLE MESSAGE BOARDS WOULD BE USED TO WARN MOTORISTS OF POLICE ACTIVITY AHEAD WHEN WE ARE SEARCHING FOR MISSING PERSONS IN AN AREA HERE IN THE MOUNTAINS. OFTEN SEARCH OPERATIONS INVOLVE A LOT OF POLICE VEHICLES, ATVS AND DEPUTIES ON-FOOT IN AN AREA AND THESE MESSAGE BOARDS COULD BE PUT OUT ON THE ROADS TO WARN THE PUBLIC AND KEEP DEPUTIES SAFE WHILE SEARCHING.</t>
  </si>
  <si>
    <t>2YTA0F61492207</t>
  </si>
  <si>
    <t>THE ASHE COUNTY SHERIFF'S OFFICE REQUEST THESE ITEMS FOR USE IN SEARCH AND RESCUE OPERATIONS. THESE INDIVIDUAL FIRST AID KITS WOULD BE CARRIER BY OUR DEPUTIES INTO THE WOODED AREAS OF THE MOUNTAINS TO TREAT WOUNDS SUSTAINED BY RESCUERS OR THE MISSING PERSONS THEMSELVES DURING MISSING PERSONS SEARCHES.</t>
  </si>
  <si>
    <t>2YTA0F61492206</t>
  </si>
  <si>
    <t>THE ASHE COUNTY SHERIFF'S OFFICE REQUEST THIS ITEM FOR USE IN COUNTER-DRUG OPERATION. THIS TELEPHOTO VIDEO LENS WOULD BE USED BY OUR NARCOTICS DETECTIVES TO FILM SURVEILLANCE OF TARGETED KNOWN DRUG LOCATIONS FOR THE PURPOSE OF EVIDENCE GATHERING.</t>
  </si>
  <si>
    <t>2YTA0F61491889</t>
  </si>
  <si>
    <t>VEST,LOFT RAINPROOFF</t>
  </si>
  <si>
    <t>THE ASHE COUNTY SHERIFF'S OFFICE REQUEST THESE ITEMS FOR USE IN SEARCH AND RESCUE OPERATIONS. THESE COLD WEATHER VESTS WOULD BE WORN BY DEPUTIES WHEN SEARCHING FOR MISSING PERSONS HERE IN THE MOUNTAINS DURING COLD WEATHER.</t>
  </si>
  <si>
    <t>2YTA0F61491890</t>
  </si>
  <si>
    <t>VEST,MAN'S</t>
  </si>
  <si>
    <t>2YTA0F61491884</t>
  </si>
  <si>
    <t>THE ASHE COUNTY SHERIFF'S OFFICE REQUESTS THESE ITEMS FOR USE IN SEARCH AND RESCUE OPERATIONS. THESE COLD WEATHER VESTS WOULD BE USED BY DEPUTIES TO STAY WARM WHILE SEARCHING FOR MISSING PERSONS HERE IN THE MOUNTAINS OR SERVING COUNTER-DRUG SEARCH WARRANTS.</t>
  </si>
  <si>
    <t>2YTA0F61491872</t>
  </si>
  <si>
    <t>JACKET,EXTREME COLD WEATHER</t>
  </si>
  <si>
    <t>THE ASHE COUNTY SHERIFF'S OFFICE REQUEST THESE ITEMS FOR USE IN SEARCH AND RESCUE OPERATIONS. THESE JACKETS WOULD BE WORN BY OUR DEPUTIES WHENEVER THEY HAVE TO PERFORM SEARCH AND RESCUE OR COUNTER DRUG OPERATIONS IN THE COLD WET WEATHER HERE IN THE MOUNTAINS.</t>
  </si>
  <si>
    <t>2YTA0F61491874</t>
  </si>
  <si>
    <t>PARKA,WET WEATHER</t>
  </si>
  <si>
    <t>THE ASHE COUNTY SHERIFF'S OFFICER REQUEST THESE ITEMS FOR USE IN SEARCH AND RESCUE OPERATIONS. THESE WET WEATHER JACKETS WOULD BE USED BY DEPUTIES WHEN THEY HAVE TO GO OUT INTO COLD WET WEATHER HERE IN THE MOUNTAINS TO SEARCH FOR MISSING PERSONS OR SERVE COUNTER DRUG WARRANTS.</t>
  </si>
  <si>
    <t>2YTA0F61491932</t>
  </si>
  <si>
    <t>THE ASHE COUNTY SHERIFF'S OFFICE REQUESTS THESE ITEMS FOR USE WITH SEARCH AND RESCUE OPERATIONS. THESE WET WEATHER JACKETS WILL ALLOW OUR DEPUTIES TO STAY DRY WHILST SEARCHING FOR MISSING PERSONS HERE IN THE MOUNTAINS.</t>
  </si>
  <si>
    <t>2YTA0F61491931</t>
  </si>
  <si>
    <t>THE ASHE COUNTY SHERIFF'S OFFICE REQUESTS THESE ITEMS FOR USE WITH SEARCH AND RESCUE OPERATIONS. THESE COLD WEATHER JACKETS WILL ALLOW OUR DEPUTIES TO STAY DRY WHILST SEARCHING FOR MISSING PERSONS HERE IN THE MOUNTAINS.</t>
  </si>
  <si>
    <t>2YTA0F61491930</t>
  </si>
  <si>
    <t>2YTA0F61491925</t>
  </si>
  <si>
    <t>THE ASHE COUNTY SHERIFF'S OFFICE REQUESTS THESE ITEMS FOR USE WITH SEARCH AND RESCUE OPERATIONS. THESE WET WEATHER PANTS WILL ALLOW OUR DEPUTIES TO STAY DRY WHILST SEARCHING FOR MISSING PERSONS HERE IN THE MOUNTAINS.</t>
  </si>
  <si>
    <t>2YTA0F61492243</t>
  </si>
  <si>
    <t>THE ASHE COUNTY SHERIFF'S OFFICE REQUEST THESE ITEMS FOR USE IN SEARCH AND RESCUE OPERATIONS. OUR SWORN DEPUTIES WOULD WEAR THESE PANTS TO STAY DRY AND WARM DURING SEARCHES FOR MISSING PERSONS HERE IN THE MOUNTAINS.</t>
  </si>
  <si>
    <t>2YTA0F61491891</t>
  </si>
  <si>
    <t>THE ASHE COUNTY SHERIFF'S OFFICE REQUEST THESE ITEMS FOR USE IN SEARCH AND RESCUE OPERATIONS. THESE COLD WEATHER PARKAS WOULD BE WORN BY DEPUTIES WHEN SEARCHING FOR MISSING PERSONS HERE IN THE MOUNTAINS DURING COLD WEATHER.</t>
  </si>
  <si>
    <t>2YTA0F61491920</t>
  </si>
  <si>
    <t>TROUSERS,WET WEATHER</t>
  </si>
  <si>
    <t>2YTA0F61491921</t>
  </si>
  <si>
    <t>THE ASHE COUNTY SHERIFF'S OFFICE REQUESTS THESE ITEMS FOR USE WITH SEARCH AND RESCUE OPERATIONS. THESE COLD WEATHER PANTS WILL ALLOW OUR DEPUTIES TO STAY WARM WHILST SEARCHING FOR MISSING PERSONS HERE IN THE MOUNTAINS.</t>
  </si>
  <si>
    <t>2YTA0F61491923</t>
  </si>
  <si>
    <t>2YTA0F61219539</t>
  </si>
  <si>
    <t>KIT BAG,FLYER'S</t>
  </si>
  <si>
    <t>THE ASHE COUNTY SHERIFF'S OFFICE REQUEST THESE ITEMS FOR USE DURING COUNTER DRUG OPERATIONS. THESE KIT BAGS WILL ALLOW OUR SWAT DEPUTIES, NEGOTIATORS AND CERTIFIED DRONE OPERATOR DEPUTIES TO CARRY NEEDED EQUIPMENT IN THEIR PATROL CARS IN AN ORGANIZED FASHION.</t>
  </si>
  <si>
    <t>2YTA0F61219537</t>
  </si>
  <si>
    <t>THE ASHE COUNTY SHERIFF'S OFFICE REQUEST THESE ITEMS FOR USE DURING SEARCH AND RESCUE OPERATIONS. THESE BACKPACKS WILL ALLOW OUR DEPUTIES TO CARRY NEEDED EQUIPMENT INTO THE FIELD LIKE WATER, FIRST AID, BLANKETS AND MORE.</t>
  </si>
  <si>
    <t>2YTA0F61491893</t>
  </si>
  <si>
    <t>THE ASHE COUNTY SHERIFF'S OFFICE REQUEST THESE ITEMS FOR USE IN COUNTER-DRUG OPERATIONS. THESE PACKS WOULD BE WORN BY DEPUTIES TO CARRY NEEDED EQUIPMENT LIKE LIGHTS, EVIDENCE BAGS, WARRANT PAPERWORK AND RESTRAINTS WHILE SERVING SEARCH WARRANTS.</t>
  </si>
  <si>
    <t>2YTA0F61219682</t>
  </si>
  <si>
    <t>THE ASHE COUNTY SHERIFF'S OFFICE REQUESTS THESE ITEMS FOR USE DURING SEARCH AND RESCUE OPERATIONS. THESE BACKPACKS WILL ALLOW OUR DEPUTIES TO CARRY NEEDED EQUIPMENT INTO THE FIELD WHILE SEARCHING FOR LOST PERSONS IN THE MOUNTAINS.</t>
  </si>
  <si>
    <t>2YTA0F61491934</t>
  </si>
  <si>
    <t>CORPSMAN ASSAULT SY</t>
  </si>
  <si>
    <t>THE ASHE COUNTY SHERIFF'S OFFICE REQUESTS THESE ITEMS FOR USE WITH SEARCH AND RESCUE OPERATIONS. THESE MEDICAL BACKPACKS WILL ALLOW OUR MEDIC-TRAINED DEPUTIES TO CARRY MEDICAL ITEMS WHILST SEARCHING FOR MISSING PERSONS HERE IN THE MOUNTAINS.</t>
  </si>
  <si>
    <t>BLADENBORO PD (2YTA92)</t>
  </si>
  <si>
    <t>2YTA9260796852</t>
  </si>
  <si>
    <t>THE BLADENBORO POLICE DEPARTMENT REQUESTS THIS VEHICLE FOR USE TO BE USED IN A DISASTER THAT WILL AID IN KEEPING OUR DEPARTMENT MOBILE IN SAVING LIVES DURING HURRICANES AND FLOODING AREAS. THIS VEHICLE WILL ALSO BE USED IN THE DRUG AND HIGH-RISK APPREHENSION</t>
  </si>
  <si>
    <t>2YTA9260796853</t>
  </si>
  <si>
    <t>THE BLADENBORO POLICE DEPARTMENT REQUESTS THIS VEHICLE FOR USE TO BE USED IN A DISASTER THAT WILL AID IN KEEPING OUR DEPARTMENT MOBILE IN SAVING LIVES DURING HURRICANES AND FLOODING AREAS. THIS VEHICLE WILL ALSO BE USED IN THE DRUG AND HIGH-RISK APPREHENSION.</t>
  </si>
  <si>
    <t>2YTA9261422220</t>
  </si>
  <si>
    <t>DSJACK000</t>
  </si>
  <si>
    <t>JACK</t>
  </si>
  <si>
    <t>BLADENBORO POLICE DEPARTMENT REQUESTS THESE UNITS FOR EMERGENCIES AND TO PICK UP OUR PATROL VEHICLES FOR NEEDED REPAIRS. THESE LIFTS COULD ALSO BE USED IN DEEP SEARCHES OF VEHICLES FOR CONTRABAND AND HIDDEN COMPARTMENTS UNDER THE VEHICLES, AND BE PORTABLE FOR USE AT DIFFERENT LOCATIONS.</t>
  </si>
  <si>
    <t>2YTA9261079053</t>
  </si>
  <si>
    <t>THE BLADENBORO POLICE DEPARTMENT REQUESTS THIS UNIT FOR USE IN EMERGENCIES DURING BAD WEATHER OR DISASTERS.</t>
  </si>
  <si>
    <t>2YTA9260937367</t>
  </si>
  <si>
    <t>GENERATOR,ALTERNATING CURRENT-DIRECT CUR</t>
  </si>
  <si>
    <t>THE BLADENBORO POLICE DEPARTMENT NEEDS THESE PORTABLE GENERATORS FOR EMERGENCIES AND EXTREME WEATHER, AND FOR HIGH-RISK OPERATIONS WHEN NEEDED FOR LIFE AND SAFETY.</t>
  </si>
  <si>
    <t>2YTA9261492214</t>
  </si>
  <si>
    <t>DSSIMULA0</t>
  </si>
  <si>
    <t>MEDICAL SIMULATION EQUIPMENT</t>
  </si>
  <si>
    <t>BLADENBORO POLICE DEPARTMENT REQUESTS THESE UNITS. THEY COULD BE USED TEMPORARILY TO BLOCK PAIN WHEN PHARMACEUTICAL HELP CAN NOT BE PROVIDED IN EMERGENCIES.</t>
  </si>
  <si>
    <t>2YTA9261492213</t>
  </si>
  <si>
    <t>BLADENBORO POLICE DEPARTMENT REQUESTS THESE KITS. THEY COULD HELP DURING EMERGENCIES.</t>
  </si>
  <si>
    <t>CASWELL BEACH PD (2YTB3L)</t>
  </si>
  <si>
    <t>2YTB3L60724978</t>
  </si>
  <si>
    <t>THE CASWELL BEACH POLICE ARE REQUESTING FIRST AID KITS FOR OFFICERS TO USE DURING MEDICAL EMERGENCIES. THE KITS WOULD BE VITAL FOR OUR AREA DUE TO HURRICANES AS WELL AS ON THE JOB INJURY TO AN OFFICER.</t>
  </si>
  <si>
    <t>DOJ/FBI CHARLOTTE DIV (2YTQY1)</t>
  </si>
  <si>
    <t>2YTQY161421569</t>
  </si>
  <si>
    <t>DSLENS001</t>
  </si>
  <si>
    <t>LENS, CAMERA</t>
  </si>
  <si>
    <t>FEDERAL SCREENER FOR DIVISION WITH 200 LAW ENFORCEMENT AGENTS TO INCLUDE 19 SWAT OPERATORS.  THESE WILL BE USED FOR SURVEILLANCE AND EVIDENCE COLLECTION.</t>
  </si>
  <si>
    <t>2YTQY161351165</t>
  </si>
  <si>
    <t>DSTRIPOD0</t>
  </si>
  <si>
    <t>TRIPOD, CAMERA</t>
  </si>
  <si>
    <t xml:space="preserve">FEDERAL SCREENER FOR DIVISION WITH 200 LAW ENFORCEMENT AGENTS TO INCLUDE 19 SWAT OPERATORS. TRIPOD WILL BE USED FOR SPOTTING SCOPES FOR SWAT AND SURVEILLANCE OPERATIONS.
</t>
  </si>
  <si>
    <t>2YTQY161351166</t>
  </si>
  <si>
    <t>FEDERAL SCREENER FOR DIVISION WITH 200 LAW ENFORCEMENT AGENTS TO INCLUDE 19 SWAT OPERATORS. TRIPOD WILL BE USED FOR SPOTTING SCOPES FOR SWAT AND SURVEILLANCE OPERATIONS.</t>
  </si>
  <si>
    <t>DUNN PD (2YTDG8)</t>
  </si>
  <si>
    <t>2YTDG861149881</t>
  </si>
  <si>
    <t>THE CITY OF DUNN POLICE DEPARTMENT SEEKS THIS EQUIPMENT TO IMPROVE ITS SEARCH AND RESCUE CAPABILITIES AND DISASTER-RELATED EMERGENCY RESPONSE AND PREPAREDNESS EFFORTS. ACCESS TO THIS EQUIPMENT WILL ENABLE THE AGENCY TO RESPOND EFFECTIVELY TO A WIDE RANGE OF INCIDENTS, ENSURING OFFICERS ARE ABLE TO MEET THE PHYSICAL AND OPERATIONAL DEMANDS OF SUCH SCENARIOS. IT WILL ALSO SUPPORT OFFICER FITNESS AND WELLNESS, IMPROVE READINESS, SAFETY, AND RESILIENCE WHILE REDUCING INJURY, FATIGUE, AND STRESS.</t>
  </si>
  <si>
    <t>ERWIN PD (2YTDUF)</t>
  </si>
  <si>
    <t>2YTDUF61563063</t>
  </si>
  <si>
    <t>THE ERWIN POLICE DEPARTMENT NEEDS THIS EQUIPMENT FOR DISASTER-RELATED EMERGENCY RESPONSE AND PREPAREDNESS AND FOR SEARCH AND RESCUE OPERATIONS AS IT IS FOUR-WHEEL DRIVE. IT WOULD ALSO BE USED FOR COVERT DRUG OPERATIONS AND AS AN UNDERCOVER CAR IN OTHER INVESTIGATIONS. THANK YOU FOR YOUR CONSIDERATION.</t>
  </si>
  <si>
    <t>2YTDUF61148982</t>
  </si>
  <si>
    <t>THE ERWIN POLICE DEPARTMENT NEEDS THIS EQUIPMENT FOR USE ON CRIME SCENES, DRUG SEIZURES, OR ANY SCENE THAT MERITS PHOTOS. OUR INTENT IS FOR EACH SQUAD TO HAVE THE ABILITY TO PHOTOGRAPH SCENES. THANK YOU!</t>
  </si>
  <si>
    <t>FRANKLIN CSO (2YTEAT)</t>
  </si>
  <si>
    <t>2YTEAT61217991</t>
  </si>
  <si>
    <t>ROBOT,EXPLOSIVE ORDNANCE DISPOSAL</t>
  </si>
  <si>
    <t>FRANKLIN COUNTY SO REQUESTS AN EOD ROBOT IN SUPPORT OF COUNTER-TERRORISM AND NARCOTICS MISSIONS. SRT OPERATIONS INCLUDING HIGH-RISK WARRANTS, BARRICADED SUBJECTS, FUGITIVE APPREHENSION, VEHICLE ASSAULTS, AND RURAL OPERATIONS INVOLVE POTENTIAL IEDS, SUSPICIOUS PACKAGES, AND UNKNOWN HAZARDS.  WE WILL USE THE ROBOT FOR REMOTE RECONNAISSANCE AND ASSESSMENT, REDUCING OFFICER EXPOSURE AND ENHANCING SAFE RESPONSE TO EXPLOSIVE OR HAZARDOUS THREATS.</t>
  </si>
  <si>
    <t>FUQUAY VARINA PD (2YTEEK)</t>
  </si>
  <si>
    <t>2YTEEK60937117</t>
  </si>
  <si>
    <t>VIEWER KIT,NIGHT VISION</t>
  </si>
  <si>
    <t>THIS ITEM IS BEING REQUESTED BY THE FUQUAY VARINA POLICE DEPARTMENT TO BE USED BY OFFICERS FOR COUNTER-DRUG AND DISASTER-RELATED EMERGENCY PREPAREDNESS FOR SEARCH AND RESCUE OPERATIONS, SPECIFICALLY FOR SEARCH AND RESCUE OPERATIONS CONDUCTED UNDER LOW-LIGHT CONDITIONS. LEA HAS CONFIRMED AND THE SITE HAS BEEN CONTACTED AND ACCEPT CONDITION OF PROPERTY.</t>
  </si>
  <si>
    <t>2YTEEK61281186</t>
  </si>
  <si>
    <t>LMTS LARGE SUITE</t>
  </si>
  <si>
    <t>FUQUAY-VARINA POLICE DEPARTMENT NEEDS THIS EQUIPMENT TO ASSIST WITH TRAINING PERSONNEL FOR HOSTAGE RESCUE AND ACTIVE SHOOTER INCIDENTS. IT WOULD ALLOW OFFICERS ANOTHER TRAINING TOOL TO ENSURE THAT THEY MAINTAIN A HIGH LEVEL OF PROFICIENCY IN WEAPON HANDLING.</t>
  </si>
  <si>
    <t>GRANITE QUARRY-FAITH PD (2YTERH)</t>
  </si>
  <si>
    <t>2YTERH61499560</t>
  </si>
  <si>
    <t>THE GRANITE QUARRY-FAITH POLICE DEPARTMENT IS REQUESTING UP TO TWO OF THESE UNITS TO BE UTILIZED FOR A VARIETY OF LAW ENFORCEMENT PURPOSES TO INCLUDE SEARCH AND RESCUE OPERATIONS, HAZARDOUS CONDITIONS OBSERVATION, AND INCIDENT INVESTIGATIONS.  WE ARE A SMALL CITY AGENCY THAT IS CURRENTLY EXPANDING OUR RESOURCES AND THE ACQUISITION OF UP TO 2 UNITS WILL ALLOW US TO POSSIBLY MAINTAIN ONE WORKING UNIT.</t>
  </si>
  <si>
    <t>HALIFAX CSO (2YTEZS)</t>
  </si>
  <si>
    <t>2YTEZS61351128</t>
  </si>
  <si>
    <t>THE HALIFAX COUNTY SHERIFF'S OFFICE WILL UTILIZE THESE IN SEARCH AND RESCUE OPERATIONS TO AID IN EXPEDITIOUSLY LOCATING MISSING AND OR INJURED PEOPLE.</t>
  </si>
  <si>
    <t>2YTEZS61633082</t>
  </si>
  <si>
    <t>BOAT,LANDING,INFLATABLE</t>
  </si>
  <si>
    <t>THE HALIFAX COUNTY SHERIFF'S OFFICE WILL UTILIZE THESE IN SEARCH AND RESCUE OPERATIONS CONDUCTED ON THE RIVERS AND LAKES OF HALIFAX COUNTY.</t>
  </si>
  <si>
    <t>2YTEZS61069185</t>
  </si>
  <si>
    <t>VEHICLE,ALL-TERRAIN</t>
  </si>
  <si>
    <t>HALIFAX COUNTY SHERIFF'S OFFICE REQUESTS THIS ATV FOR USE IN SEARCH AND RESCUE OPERATIONS, RURAL PATROL, WOODED AREA RESPONSE, FLOOD EVENTS, AND ACCESS TO LOCATIONS NOT REACHABLE BY PATROL VEHICLES. THE ATV WILL BE OPERATED ONLY BY AGENCY PERSONNEL FOR OFFICIAL LAW ENFORCEMENT PURPOSES.</t>
  </si>
  <si>
    <t>2YTEZS61491922</t>
  </si>
  <si>
    <t>THE HALIFAX COUNTY SHERIFF'S OFFICE WILL UTILIZE THESE FOR PPE PURPOSES IN TACTICAL TRAINING OF SWAT TEAM AND SPECIAL RESPONSE TEAMS</t>
  </si>
  <si>
    <t>2YTEZS61491917</t>
  </si>
  <si>
    <t>2YTEZS61421318</t>
  </si>
  <si>
    <t>CLEANER,STEAM,PRESSURE JET,TRAILER MOUNT</t>
  </si>
  <si>
    <t>THE HALIFAX COUNTY SHERIFF'S OFFICE IS IN NEED OF THIS ITEM TO CLEAN VEHICLE EXTERIOR AND INTERIOR AS WELL AS HAZARDOUS BLOOD DRYING CONTAINMENT UNITS . THIS WILL BE THE PRIMARY PURPOSE OF THIS UNIT</t>
  </si>
  <si>
    <t>2YTEZS61491907</t>
  </si>
  <si>
    <t>THE HALIFAX COUNTY SHERIFF'S OFFICE WILL UTILIZE THIS TO POWER EMERGENCY EQUIPMENT WHICH IS DETRIMENTAL TO SEARCH AND RESCUE, CRIME SCENE MANAGEMENT, AND GENERAL OPERATIONS IN THE RURAL AREAS OF THE COUNTY.</t>
  </si>
  <si>
    <t>2YTEZS61280595</t>
  </si>
  <si>
    <t>THE HALIFAX COUNTY SHERIFF'S OFFICE RESPONDS TO ALL NATURE OF EMERGENCY CALLS WHICH REQUIRE IMMEDIATE MEDICAL ATTENTION. THE FIRST AID KITS WILL BE ISSUED TO PATROL OFFICER AND SWAT MEMBERS TO AID IN FIRST RESPONSE ABILITIES.</t>
  </si>
  <si>
    <t>2YTEZS61281158</t>
  </si>
  <si>
    <t>DSLASERPR</t>
  </si>
  <si>
    <t>PRINTER, LASER</t>
  </si>
  <si>
    <t>THE HALIFAX COUNTY SHERIFF'S OFFICE WILL UTILIZE THESE DEVICES TO PRINT, SCAN, FAX REQUIRED MATERIAL.</t>
  </si>
  <si>
    <t>2YTEZS61492314</t>
  </si>
  <si>
    <t>DSSMTBORD</t>
  </si>
  <si>
    <t>SMART BOARD</t>
  </si>
  <si>
    <t>THE HALIFAX COUNTY SHERIFF'S OFFICE WILL UTILIZE THESE ON THE INCIDENT COMMAND BUS AS WELL AS THE CRIMINAL INVESTIGATIVE DIVISION FOR TRAINING AND TRACKING.</t>
  </si>
  <si>
    <t>2YTEZS61351149</t>
  </si>
  <si>
    <t>THE HALIFAX COUNTY SHERIFF'S OFFICE WILL UTILIZE THIS TO HOUSE EXPENSIVE RADIO EQUIPMENT AND LAW ENFORCEMENT LIGHTING OVERFLOW.</t>
  </si>
  <si>
    <t>2YTEZS61402067</t>
  </si>
  <si>
    <t>THE HALIFAX COUNTY SHERIFF'S OFFICE WILL UTILIZE THESE TO PROTECT DEPUTIES REQUIRED TO WORK IN INCLEMENT WEATHER CONDITIONS.</t>
  </si>
  <si>
    <t>2YTEZS61402066</t>
  </si>
  <si>
    <t>2YTEZS61402064</t>
  </si>
  <si>
    <t>2YTEZS61402065</t>
  </si>
  <si>
    <t>2YTEZS61472640</t>
  </si>
  <si>
    <t>THE HALIFAX COUNTY SHERIFF'S OFFICE WILL UTILIZE THESE TO ACCOMMODATE OFFICERS, INMATES AND CIVILIANS IN THE EVENT OF A CRITICAL INCIDENT.</t>
  </si>
  <si>
    <t>2YTEZS61261129</t>
  </si>
  <si>
    <t>RUCKSACK LARGE FIELD</t>
  </si>
  <si>
    <t>THE HALIFAX COUNTY SHERIFF'S OFFICE WILL UTILIZE THESE ITEMS TO HOUSE A VARIETY OF EQUIPMENT UTILIZED BY THE AGENCY.</t>
  </si>
  <si>
    <t>2YTEZS61472642</t>
  </si>
  <si>
    <t>2YTEZS61472641</t>
  </si>
  <si>
    <t>ENHANCED FRAME SHOU</t>
  </si>
  <si>
    <t>THE HALIFAX COUNTY SHERIFF'S OFFICE WILL UTILIZE THESE TO COMPLETE THE RECENTLY REQUISITIONED RUCKSACKS  WE JUST OBTAINED.</t>
  </si>
  <si>
    <t>2YTEZS61402069</t>
  </si>
  <si>
    <t>THE HALIFAX COUNTY SHERIFF'S OFFICE WILL UTILIZE THESE ITEMS TO STORE A VARIETY OF ISSUED EQUIPMENT TO AID IN ORGANIZATION.</t>
  </si>
  <si>
    <t>HOPE MILLS PD (2YTPHJ)</t>
  </si>
  <si>
    <t>2YTPHJ61703994</t>
  </si>
  <si>
    <t>HOPE MILLS PD NEEDS THIS EQUIPMENT FOR SEARCH AND RESCUE OPERATIONS, AND FOR DISASTER RELATED EMERGENCY RESPONSE AND PREPAREDNESS. WILLING TO ACCEPT IN CURRENT CONDITION.</t>
  </si>
  <si>
    <t>JEFFERSON PD (2YTFYL)</t>
  </si>
  <si>
    <t>2YTFYL61492882</t>
  </si>
  <si>
    <t>THE JEFFERSON POLICE DEPARTMENT REQUESTS THESE ITEMS FOR USE IN COUNTER-DRUG OPERATIONS. THESE RIFLE OPTICS WILL ALLOW OUR OFFICERS TO HAVE AN IMPROVED VIEW OF TARGETS DURING DRUG-RELATED SEARCH AND WARRANT SERVICES. WE HAVE BEEN IN CONTACT WITH THE SITE, WE ARE AWARE OF THEIR CONDITION, AND WILL ACCEPT THEM AS IS.</t>
  </si>
  <si>
    <t>2YTFYL61492881</t>
  </si>
  <si>
    <t>THE JEFFERSON POLICE DEPARTMENT REQUEST THIS ITEM FOR NIGHTTIME COUNTER-DRUG OPERATIONS. THESE NIGHTTIME ILLUMINATORS WILL ALLOW US TO HAVE AN IMPROVED VIEW OF TARGETS DURING DRUG-RELATED SEARCH AND WARRANTS SERVICES. WE HAVE BEEN IN CONTACT WITH THE SITE, WE ARE AWARE OF THEIR CONDITION, WE WILL ACCEPT THEM AS IS.</t>
  </si>
  <si>
    <t>2YTFYL61492880</t>
  </si>
  <si>
    <t>2YTFYL61562883</t>
  </si>
  <si>
    <t>THE JEFFERSON POLICE DEPARTMENT REQUEST THESE ITEMS FOR USE IN SEARCH AND RESCUE OPERATIONS. THESE MEDICAL PACKS WOULD BE CARRIED BY OUR OFFICERS INTO THE FIELD WHEN SEARCHING FOR MISSING PERSONS HERE IN THE MOUNTAINS. THESE PACKS WILL ALLOW OUR OFFICERS TO TREAT WOUNDED CITIZENS OR OTHER RESCUERS. WE HAVE BEEN IN CONTACT WITH THE SITE, WE ARE AWARE OF THEIR CONDITION, AND WILL ACCEPT THEM AS IS.</t>
  </si>
  <si>
    <t>2YTFYL61543144</t>
  </si>
  <si>
    <t xml:space="preserve">THE JEFFERSON POLICE DEPARTMENT REQUEST THESE ITEMS FOR SEARCH AND RESCUE OPERATIONS. THESE PARKA'S WILL ASSIST IN KEEPING OFFICERS WARM AND DRY DURING SEARCHES FOR LOST AND INJURED PERSONS.
</t>
  </si>
  <si>
    <t>2YTFYL61543150</t>
  </si>
  <si>
    <t>THE JEFFERSON POLICE DEPARTMENT REQUEST THESE COLD WEATHER LINERS TO ASSIST WITH SEARCH AND RESCUE OPERATIONS. THESE LINERS WILL ASSIST WITH KEEPING OFFICER WARM DURING MILDER TEMPERATURES WHEN A HEAVY JACKET IS NOT NECESSARY, BUT SOMETHING LIGHTER IS NEEDED AS THEY SEARCH FOR INJURED OR LOST SUBJECTS.</t>
  </si>
  <si>
    <t>2YTFYL61543143</t>
  </si>
  <si>
    <t>THE JEFFERSON POLICE DEPARTMENT REQUEST THESE ITEMS FOR SEARCH AND RESCUE OPERATIONS. OUR OFFICER WILL USE THESE ITEMS TO STAY WARM AND DRY DURING SEARCHING FOR LOST OR INJURED PERSON'S.</t>
  </si>
  <si>
    <t>2YTFYL61543151</t>
  </si>
  <si>
    <t>2YTFYL61543140</t>
  </si>
  <si>
    <t>THE JEFFERSON POLICE DEPARTMENT REQUEST THESE ITEMS FOR SEARCH AND RESCUE OPERATIONS. THESE ITEMS WILL ALLOW OFFICERS TO CARRY NECESSARY FIRST AID ITEMS AND OTHER ITEMS NEED FOR SEARCH AND RESCUE OF INJURED OR LOST SUBJECTS.</t>
  </si>
  <si>
    <t>2YTFYL61543141</t>
  </si>
  <si>
    <t>POUCH,M4 THREE MAG</t>
  </si>
  <si>
    <t>THE JEFFERSON POLICE DEPARTMENT REQUEST THESE ITEMS IN REFERENCE TO COUNTER DRUG OPERATIONS. THESE ITEMS WILL ALLOW THE OFFICERS TO CARRY ADDITIONAL AMMO IF NEED FOR SEARCH AND SEIZURE OF DRUGS.</t>
  </si>
  <si>
    <t>MARTIN CSO (2YTHDE)</t>
  </si>
  <si>
    <t>2YTHDE61078401</t>
  </si>
  <si>
    <t>SEAT,VINYL BUCKET,A</t>
  </si>
  <si>
    <t>THE MARTIN COUNTY SHERIFFS OFFICE WOULD LIKE TO ACQUIRE THE BUCKET SEATS.  THESE SEATS WILL BE USED TO REPLACE WORN AND TORN SEATS ON SEVERAL OF OUR FORKLIFTS, SKID STEER AND OTHER EQUIPMENT THAT WE USE IN STORM RECOVERY AND SEARCH AND RESCUE OPERATIONS.</t>
  </si>
  <si>
    <t>2YTHDE61350886</t>
  </si>
  <si>
    <t>DSMULE000</t>
  </si>
  <si>
    <t>MULE</t>
  </si>
  <si>
    <t>THE MARTIN COUNTY SHERIFFS OFFICE WOULD LIKE TO ACQUIRE THE MULE.  THE MULE WILL BE USED DURING SEARCHES OF WILDERNESS AREAS AND DURING EMERGENCIES.  THE MULE WILL ALSO BE USED TO TRANSPORT OFFICERS WHILE WORKING PARADES AND OTHER SPECIAL EVENTS.</t>
  </si>
  <si>
    <t>2YTHDE60796041</t>
  </si>
  <si>
    <t>THE MARTIN COUNTY SHERIFFS OFFICE WOULD LIKE TO ACQUIRE THE AIR COMPRESSOR.  THIS AIR COMPRESSOR WILL ALLOW US TO MAINTAIN AND KEEP OUR HIGH WATER RESCUE TRUCKS IN SERVICE.  THE COMPRESSOR CAN ALSO BE DEPLOYED WITH OUR TRUCKS DURING EMERGENCIES.  TIRE MAINTENANCE IS ONE OF THE BIGGEST ISSUES WITH OUR HIGH WATER TRUCKS AND THE COMPRESSOR WILL MAKE THAT JOB MUCH EASIER</t>
  </si>
  <si>
    <t>2YTHDE60796042</t>
  </si>
  <si>
    <t>THE MARTIN COUNTY SHERIFFS OFFICE WOULD LIKE TO ACQUIRE THE AIR COMPRESSOR.  THE AIR COMPRESSOR WILL ALLOW US TO QUICKLY MAINTAIN AND KEEP OUR TIRES IN GOOD CONDITION ON OUR HIGH WATER RESCUE TRUCKS.  FLAT TIRES ON THE HIGH WATER TRUCKS IS ALWAYS AN ISSUE AND THE COMPRESSOR WILL MAKE THIS TASK MUCH MORE EFFICIENT.  THE COMPRESSOR CAN ALSO BE DEPLOYED WITH THE TRUCKS DURING DISASDTERS.</t>
  </si>
  <si>
    <t>2YTHDE61350887</t>
  </si>
  <si>
    <t>THE MARTIN COUNTY SHERIFFS OFFICE WOULD LIKE TO ACQUIRE THE PLATFORM LIFT.  THIS LIFT WILL BE USED IN DAY TO DAY OPERATIONS TO REPLACE OUR EMPLOYEES FROM HAVING TO USE LADDERS TO REACH SUPPLIES AND EQUIPMENT THAT IS STORED ON PALLET SHELVING.  THE LIFT MAY ALSO BE USED TO OBSERVE LARGE CROWDS DURING SPECIAL EVENTS.</t>
  </si>
  <si>
    <t>2YTHDE61078963</t>
  </si>
  <si>
    <t>DSNONELEL</t>
  </si>
  <si>
    <t>NONELECTRICAL LIGHTING FIXTURES</t>
  </si>
  <si>
    <t>THE MARTIN COUNTY SHERIFFS OFFICE WOULD LIKE TO ACQUIRE THE LIGHT FIXTURES.  THESE LIGHTBARS CAN BE USED ON OUR HIGH WATER RESCUE AND OTHER VEHICLES.  THE LIGHTBARS WILL ALLOW THE PUBLIC TO RECOGNIZE EMERGENCY VEHICLES EASIER.</t>
  </si>
  <si>
    <t>NEWLAND PD (2YT1JE)</t>
  </si>
  <si>
    <t>2YT1JE61563238</t>
  </si>
  <si>
    <t>THIS ITEM IS BEING REQUESTED BY THE NEWLAND POLICE DEPARTMENT TO BE USED BY OFFICERS FOR LAW ENFORCEMENT PURPOSES. THE TOOL KIT WILL BE USED BY OFFICERS TO CONDUCT PROPER MAINTENANCE AND REPAIRS TO ACQUIRED UTILITY TRUCKS  TO ENSURE ALL EQUIPMENT IS READY TO BE USED AT ANY TIME THERE IS NEED.</t>
  </si>
  <si>
    <t>2YT1JE61563239</t>
  </si>
  <si>
    <t>WRENCH SET,SOCKET</t>
  </si>
  <si>
    <t>2YT1JE61563252</t>
  </si>
  <si>
    <t>REPAIR KIT,DIESEL E</t>
  </si>
  <si>
    <t>THIS ITEM IS BEING REQUESTED BY THE NEWLAND POLICE DEPARTMENT FOR LAW ENFORCEMENT PURPOSES. THE DIESEL REPAIR KIT WILL BE USED TO PERFORM MAINTENANCE AND REPAIRS ON THE ACQUIRED UTILITY TRUCKS TO ENSURE THEY ARE AVAILABLE FOR USE AT ANY TIME THEY ARE NEEDED.</t>
  </si>
  <si>
    <t>2YT1JE61563237</t>
  </si>
  <si>
    <t>NORTHAMPTON CSO (2YT1QG)</t>
  </si>
  <si>
    <t>2YT1QG60938303</t>
  </si>
  <si>
    <t>THE NORTHAMPTON COUNTY SHERIFF'S OFFICE, A LAW ENFORCEMENT AGENCY, REQUEST'S THIS EQUIPMENT SO WE CAN ISSUE IT TO OUR S.W.A.T. TEAM.  WE WILL USE THIS EQUIPMENT FOR NARCOTIC RAIDS, BARRICADED SUSPECTS AND SUSPICIOUS PACKAGES.</t>
  </si>
  <si>
    <t>2YT1QG60866226</t>
  </si>
  <si>
    <t>THE NORTHAMPTON COUNTY SHERIFF'S OFFICE, A LAW ENFORCEMENT AGENCY, REQUEST'S THIS PIECE OF EQUIPMENT BE ISSUED TO OUR AGENCY FOR USE IN NARCOTICS AND CRIMINAL INVESTIGATION.  THIS VEHICLE WILL BE ISSUED TO OUR OFFICERS FOR USE IN SURVEILLANCE AND CRIME SCENE EQUIPMENT RESPONSE.  WE DO NOT CURRENTLY HAVE FUNDS TO PURCHASE A VEHICLE LIKE THIS.  IT WOULD AID US TREMENDOUSLY TO CARRY OUT OUR RESPONSIBILITIES TO OUR CITIZENS.</t>
  </si>
  <si>
    <t>2YT1QG61280811</t>
  </si>
  <si>
    <t>ICE MAKING MACHINE,</t>
  </si>
  <si>
    <t>THE NORTHAMPTON COUNTY SHERIFF'S OFFICE, A LAW ENFORCEMENT AGENCY, REQUEST THIS ICE MAKER BE ISSUED TO OUR AGENCY.  WE WILL USE THIS PIECE OF EQUIPMENT TO PROVIDE REHAB FOR OUR DEPUTIES IN THE SUMMER MONTHS' WHEN THEY ARE INVOLVED IN BUT NOT LIMITED TO SEARCH AND RESCUE.</t>
  </si>
  <si>
    <t>2YT1QG60866281</t>
  </si>
  <si>
    <t>THE NORTHAMPTON COUNTY SHERIFF'S OFFICE, A LAW ENFORCEMENT AGENCY, REQUEST'S THIS EQUIPMENT BE ISSUED TO OUR AGENCY FOR USE IN NARCOTIC AND CRIMINAL INVESTIGATION DOCUMENTATION.  THESE CAMERAS WILL BE ISSUED TO OUR INVESTIGATORS.</t>
  </si>
  <si>
    <t>2YT1QG61078377</t>
  </si>
  <si>
    <t>THE NORTHAMPTON COUNTY SHERIFF'S OFFICE, A LAW ENFORCEMENT AGENCY, REQUEST THIS AGENCY REQUESTS THIS CAMERA BE ISSUED TO OUR AGENCY FOR USE BY OUR CRIMINAL AND NARCOTIC INVESTIGATORS IN CARRYING OUT THEIR DUTIES AS THEY INVESTIGATE VARIOUS CASES.</t>
  </si>
  <si>
    <t>2YT1QG60936912</t>
  </si>
  <si>
    <t>COMPUTER SYSTEM,DIG</t>
  </si>
  <si>
    <t>THE NORTHAMPTON COUNTY SHERIFF'S OFFICE, A LAW ENFORCEMENT AGENCY, REQUEST THIS EQUIPMENT BE ISSUED TO OUR AGENCY.  THESE COMPUTERS WILL REPLACE THE COMPUTERS WE CURRENTLY WE ARE CURRENTLY USING.  OUR CURRENT COMPUTERS ARE VASTLY OUT OF DATE, IN FACT SOME OF THE COMPUTERS WE'RE USING WERE USED COMPUTERS DONATED TO US BY A LOCAL BUSINESS ONCE THEY UPDATED THEIR SYSTEM.  THIS EQUIPMENT WOULD BE INVALUABLE TO OUR AGENCY.</t>
  </si>
  <si>
    <t>2YT1QG61007856</t>
  </si>
  <si>
    <t>FOLDER,FILE</t>
  </si>
  <si>
    <t>HD</t>
  </si>
  <si>
    <t>THE NORTHAMPTON COUNTY SHERIFF'S OFFICE, A LAW ENFORCEMENT AGENCY REQUESTS THESE FILE FOLDERS BE ISSUED TO OUR AGENCY FOR THE USE OF MAINTAINING CRIMINAL AND NARCOTIC CASES IN PREPARATION FOR COURT.</t>
  </si>
  <si>
    <t>ONSLOW CSO (2YT13W)</t>
  </si>
  <si>
    <t>2YT13W60937210</t>
  </si>
  <si>
    <t>THE ONSLOW COUNTY SHERIFF'S OFFICE REQUESTS THIS VEHICLE TO SUPPORT OPERATIONS IN RESPONSE AND RESCUE DURING DISASTER RELATED EMERGENCIES.  WE ARE POSITIONED IN AN AREA PRONE TO HURRICANE AND OTHER MAJOR WEATHER EXTREMES TO INCLUDE FLOODING AND TORNADOS.</t>
  </si>
  <si>
    <t>2YT13W60937213</t>
  </si>
  <si>
    <t>2YT13W60937211</t>
  </si>
  <si>
    <t>PENDER CSO (2YTJH5)</t>
  </si>
  <si>
    <t>2YTJH561491998</t>
  </si>
  <si>
    <t>DSDECONTA</t>
  </si>
  <si>
    <t>DECONTAMINATING AND IMPREGNATING EQUIP</t>
  </si>
  <si>
    <t>THE REQUESTED RESOURCE WILL BE UTILIZED BY THE PENDER COUNTY SHERIFFS OFFICE TO PROCESS EVIDENCE THAT IS TURNED IN AND NEEDS TO BE PROCESSED.</t>
  </si>
  <si>
    <t>2YTJH561633689</t>
  </si>
  <si>
    <t>THE REQUESTED ITEMS WILL BE UTILIZED BY THE PENDER COUNTY SHERIFF'S OFFICE TO WORK ON OUR EQUIPMENT THAT IS IN NEED OF REPAIR TO KEEP IT RUNNING IN THE EVENT IT IS NEEDED.</t>
  </si>
  <si>
    <t>PERSON CSO (2YTJKM)</t>
  </si>
  <si>
    <t>2YTJKM61704114</t>
  </si>
  <si>
    <t>PERSON COUNTY HAS CONTACTED THE SITE AND ACCEPTS THE CONDITION OF THE ITEM. PCSO CAN UTILIZE THIS EQUIPMENT TO BE ABLE TO ACCURATELY RESPOND TO HOSTAGE RESCUE OPERATIONS AND COUNTER NARCOTIC AND COUNTER TERRORISM OPERATIONS FOR BOTH DAY TIME AS WELL AS NIGHT TIME.</t>
  </si>
  <si>
    <t>2YTJKM61210515</t>
  </si>
  <si>
    <t>PCSO CAN UTILIZE THIS TRAILER TO HELP WITH SEARCH AND RESCUE OPERATIONS AND DISASTER RELATED EMERGENCY PREPAREDNESS TO TRANSPORT VITAL EQUIPMENT</t>
  </si>
  <si>
    <t>2YTJKM61078686</t>
  </si>
  <si>
    <t>PCSO CAN USE THIS ITEM TO HELP TRANSPORT LAW ENFORCEMENT EQUITMENT TO INCLUDE SEARCH AND RESCUE OPERATIONS, AND NATURAL DISASTER RESPONSES</t>
  </si>
  <si>
    <t>2YTJKM61280519</t>
  </si>
  <si>
    <t>PCSO CAN UTILIZE THIS EQUIPMENT FOR SEARCH AND RESCUE OPERATIONS AND DISASTER RELATED EMERGENCY RESPONSE AS WELL AS COUNTER TERRORISM CALLS WE RESPOND TO AS WELL AS PROTESTS AND CIVIL UNREST CALLS.</t>
  </si>
  <si>
    <t>2YTJKM61492879</t>
  </si>
  <si>
    <t>CAMERA SYSTEM,DIGITAL</t>
  </si>
  <si>
    <t>PCSO CAN USE THIS ITEM FOR COUNTER NARCOTIC OPERATIONS TO HELP WITH COLLECTING EVIDENCE FOR CASES</t>
  </si>
  <si>
    <t>2YTJKM61008599</t>
  </si>
  <si>
    <t>PCSO CAN USE THIS ITEM TO ASSIST IN INVESTIGATIOINS</t>
  </si>
  <si>
    <t>2YTJKM61008598</t>
  </si>
  <si>
    <t>2YTJKM61008597</t>
  </si>
  <si>
    <t>2YTJKM61078592</t>
  </si>
  <si>
    <t>2YTJKM61008596</t>
  </si>
  <si>
    <t>2YTJKM61078595</t>
  </si>
  <si>
    <t>2YTJKM61078593</t>
  </si>
  <si>
    <t>DSPHOTACC</t>
  </si>
  <si>
    <t>PHOTOGRAPHIC EQUIPMENT AND ACCESSORIES</t>
  </si>
  <si>
    <t>2YTJKM61078588</t>
  </si>
  <si>
    <t>2YTJKM61078590</t>
  </si>
  <si>
    <t>2YTJKM61350996</t>
  </si>
  <si>
    <t>PCSO CAN UTILIZE THESE ITEMS FOR TRAINING FOR VARIOUS SCENARIOS THAT COULD COME FROM CALLS FOR SERVICE TO INCLUDE COUNTER NARCOTIC AND COUNTER TERRORISM OPERATIONS AS WELL AS ACTIVE SHOOTER AND HOSTAGE RESCUE</t>
  </si>
  <si>
    <t>RICHMOND CSO (2YTJ78)</t>
  </si>
  <si>
    <t>2YTJ786091JG10</t>
  </si>
  <si>
    <t>RIVER BEND PD (2YTSZH)</t>
  </si>
  <si>
    <t>2YTSZH60976823</t>
  </si>
  <si>
    <t>DSLIGHT01</t>
  </si>
  <si>
    <t>ELECTRIC PORTABLE, HAND LIGHTING EQUIP</t>
  </si>
  <si>
    <t>THE RIVER BEND POLICE DEPARTMENT NEEDS THIS EQUIPMENT FOR SEARCH AND RESCUE OPERATIONS. THE AREA AROUND TOWN IS WOODED AND THESE LIGHTS CAN ASSIST IN SEARCHING FOR MISSING PERSONS OR WANTED PERSONS</t>
  </si>
  <si>
    <t>2YTSZH60796321</t>
  </si>
  <si>
    <t>THE RIVER BEND POLICE DEPARTMENT NEEDS THIS EQUIPMENT FOR COUNTER DRUG OPERATIONS. WHILE DEALING WITH AGGRESSIVE OFFENDERS THIS EQUIPMENT WILL ALLOW US TO CARRY OC SPRAY ON OUR PERSONS TO EFFECT AN ARREST</t>
  </si>
  <si>
    <t>2YTSZH60866318</t>
  </si>
  <si>
    <t>MARKER,TRAFFIC</t>
  </si>
  <si>
    <t>THE RIVER BEND POLICE DEPARTMENT NEEDS THIS EQUIPMENT FOR NATURAL DISASTER AND EMERGENCY RESPONSE. THERE ARE ROADS THAT NEED TO BE CLOSED DURING THESE TYPES OF EMERGENCIES AND THIS EQUIPMENT WILL HELP US FREE UP MANPOWER</t>
  </si>
  <si>
    <t>SCOTLAND NECK PD (2YTKUM)</t>
  </si>
  <si>
    <t>2YTKUM61219562</t>
  </si>
  <si>
    <t>THE SCOTLAND NECK POLICE DEPARTMENT IT ENHANCES OPERATIONAL EFFICIENCY OFFICER SAFETY AND EMERGENCY RESPONSE CAPABILITIE THE ELEVATED PLATFORM ALLOWS OFFICERS TO SAFELY CONDUCT TRAFFIC CRASH INVESTIGATIONS DEPLOY SCENE LIGHTING ACCESS AND MAINTAIN SURVEILLANCE EQUIPMENT</t>
  </si>
  <si>
    <t>2YTKUM61007907</t>
  </si>
  <si>
    <t>DSGRILL01</t>
  </si>
  <si>
    <t>GRILL, OUTDOOR</t>
  </si>
  <si>
    <t>THE SCOTLAND NECK POLICE DEPT WOULD UTILIZE THIS RESOURCE TO DIRECTLY SUPPORTS COMMUNITY ENGAGEMENT OFFICER WELLNESS AND OPERATIONAL READINESS DURING EXTENDED INCIDENTS LAW ENFORCEMENT AGENCIES ROUTINELY HOST PUBLIC EVENTS SUCH AS COMMUNITY APPRECIATION DAYS NATIONAL NIGHT OUT GATHERINGS CHARITY FUNDRAISERS AND INTERAGENCY TRAININGS HAVING THE ABILITY TO PREPARE AND SERVE FOOD ON SITE ALLOWS THE DEPARTMENT TO FOSTER POSITIVE RELATIONSHIPS WITH THE COMMUNITY IN A WELCOMING AND INFORMAL SETTING WH</t>
  </si>
  <si>
    <t>TAYLORSVILLE PD (2YTLQQ)</t>
  </si>
  <si>
    <t>2YTLQQ61350814</t>
  </si>
  <si>
    <t>THE TAYLORSVILLE POLICE DEPARTMENT IS REQUESTING THE RADAR TRAILER TO BE UTILIZED DURING DISASTER-RELATED EMERGENCY RESPONSE. DURING SEVERE WEATHER EVENTS, NATURAL DISASTERS, EMERGENCY INCIDENTS, ROAD CLOSURES, EVACUATION OPERATIONS, AND LARGE-SCALE PUBLIC SAFETY RESPONSES, CONTROLLING VEHICLE SPEED IS CRITICAL TO PROTECTING EMERGENCY RESPONDERS AND THE PUBLIC.</t>
  </si>
  <si>
    <t>2YTLQQ60937020</t>
  </si>
  <si>
    <t>THE TAYLORSVILLE POLICE DEPARTMENT IS REQUESTING THE PROCUREMENT OF A MOTORIZED CART TO ENHANCE OPERATIONAL CAPABILITY AND SUPPORT SEARCH AND RESCUE OPERATIONS AND DISASTER-RELATED EMERGENCY RESPONSE AND PREPAREDNESS. A MOTORIZED CART PROVIDES A HIGHLY MOBILE, OFF-ROAD PLATFORM THAT ALLOWS OFFICERS TO SAFELY ACCESS AREAS THAT ARE DIFFICULT OR IMPOSSIBLE TO REACH WITH TRADITIONAL PATROL VEHICLES.</t>
  </si>
  <si>
    <t>2YTLQQ60937022</t>
  </si>
  <si>
    <t>2YTLQQ60795612</t>
  </si>
  <si>
    <t>MANIKIN,RESUSCITATI</t>
  </si>
  <si>
    <t>THE TAYLORSVILLE POLICE DEPARTMENT IS REQUESTING THE RESUSCITATION TRAINING MANIKINS TO ENHANCE OFFICER PREPAREDNESS AND LIFESAVING RESPONSE CAPABILITIES.</t>
  </si>
  <si>
    <t>2YTLQQ60795927</t>
  </si>
  <si>
    <t>THE TAYLORSVILLE POLICE DEPARTMENT IS REQUESTING THE LASER PRINTER TO SUPPORT CRITICAL DOCUMENTATION AND OPERATIONAL NEEDS ASSOCIATED WITH COUNTER-DRUG INVESTIGATIONS. LAW ENFORCEMENT OPERATIONS REQUIRE THE CONSISTENT PRODUCTION OF ACCURATE AND TIMELY PRINTED MATERIALS THAT SUPPORT INVESTIGATIONS, OFFICER BRIEFINGS, AND OPERATIONAL COORDINATION.</t>
  </si>
  <si>
    <t>2YTLQQ60795613</t>
  </si>
  <si>
    <t>THE TAYLORSVILLE POLICE DEPARTMENT IS REQUESTING THE TENTS TO ENHANCE OPERATIONAL CAPABILITIES DURING DISASTER-RELATED EMERGENCY RESPONSE AND PREPAREDNESS. THESE TENTS WILL PROVIDE A MOBILE, TEMPORARY SHELTER THAT CAN BE RAPIDLY DEPLOYED TO SUPPORT LAW ENFORCEMENT OPERATIONS, INCIDENT COMMAND FUNCTIONS, AND COMMUNITY ASSISTANCE DURING EMERGENCIES.</t>
  </si>
  <si>
    <t>WAKE FOREST PD (2YTM4Z)</t>
  </si>
  <si>
    <t>2YTM4Z61499979</t>
  </si>
  <si>
    <t>THE WAKE FOREST POLICE DEPARTMENT NEEDS THIS EQUIPMENT FOR ENHANCING RESPONSE CAPABILITIES TO ACTS OF TERRORISM AND COUNTER NARCOTICS OPERATIONS DURING HIGH RISK SEARCH WARRANTS. MULTIPLE REQUESTED DUE TO G CONDITION CODE TO MAKE A COUPLE OF OPERABLE UNITS.</t>
  </si>
  <si>
    <t>2YTM4Z61499978</t>
  </si>
  <si>
    <t>2YTM4Z61421637</t>
  </si>
  <si>
    <t>THE WAKE FOREST POLICE DEPARTMENT NEEDS THIS EQUIPMENT TO ENHANCE COUNTER NARCOTICS OPERATIONS AND ENHANCE RESPONSE TO ACTS OF TERRORISM. SITE CONTACTED WILLING TO ACCEPT AS IS.</t>
  </si>
  <si>
    <t>WARREN CSO (2YTM71)</t>
  </si>
  <si>
    <t>2YTM7160866434</t>
  </si>
  <si>
    <t>WARREN COUNTY SHERIFF'S OFFICE NEEDS THIS VEHICLE FOR SEARCH AND RESCUE OPERATIONS</t>
  </si>
  <si>
    <t>2YTM7160866432</t>
  </si>
  <si>
    <t>WARREN COUNTY SHERIFF'S OFFICE NEEDS THIS VEHICLE FOR COUNTER-DRUG</t>
  </si>
  <si>
    <t>WILKESBORO PD (2YTNPG)</t>
  </si>
  <si>
    <t>2YTNPG61562733</t>
  </si>
  <si>
    <t>THE WILKESBORO POLICE DEPARTMENT REQUEST THESE ITEMS FOR USE IN COUNTER DRUG AND TERRORISM OPERATIONS. THE WILKESBORO POLICE DEPARTMENT WILL UTILIZE THESE ITEMS FOR DE-ESCALATION TOOLS.</t>
  </si>
  <si>
    <t>2YTNPG61704004</t>
  </si>
  <si>
    <t>THE WILKESBORO POLICE DEPARTMENT REQUEST THESE ITEMS TO BE USED IN COUNTER DRUG OPERATIONS. THE ITEMS WILL BE USED BY SWORN OFFICER DURING SEARCH WARRANT OPERATIONS. WE HAVE CONTACTED THE SITE AND ACCEPT ITEMS IN CURRENT CONDITION.</t>
  </si>
  <si>
    <t>2YTNPG60725814</t>
  </si>
  <si>
    <t>THE WILKESBORO POLICE DEPARTMENT REQUEST THESE ITEMS TO BE USED IN COUNTER DRUG OPERATIONS. WE HAVE CONTACTED THE SITE AND WILL EXCEPT THESE ITEMS IN THEIR CURRENT CONDITION.</t>
  </si>
  <si>
    <t>2YTNPG61351529</t>
  </si>
  <si>
    <t>THE WILKESBORO POLICE DEPARTMENT IS REQUESTING THESE ITEMS TO BE USED BY SWORN LAW ENFORCEMENT OFFICERS DURING COUNTER DRUG OPERATIONS DURING SEARCH WARRANT OPERATIONS. WE HAVE CONTACTED THE SITE AND ACCEPT THE ITEMS AS IS.</t>
  </si>
  <si>
    <t>2YTNPG61562710</t>
  </si>
  <si>
    <t>THE WILKESBORO POLICE DEPARTMENT REQUEST THIS ITEM FOR USE BY SWORN OFFICERS IN COUNTER DRUG OPERATIONS TO BE USED DURING NIGHT OPERATIONS. WE HAVE CONTACTED THE SITE AND ACCEPT THE ITEM IN ITS CURRENT CONDITION.</t>
  </si>
  <si>
    <t>2YTNPG61562711</t>
  </si>
  <si>
    <t>2YTNPG61492708</t>
  </si>
  <si>
    <t>THE WILKESBORO POLICE DEPARTMENT REQUESTS THESE ITEMS TO BE USED BY SWORN OFFICERS DURING COUNTER DRUG OPERATIONS AND SEARCH AND RESCUE OPERATIONS. THE ITEMS REQUESTED WILL BE USED DURING SEARCH WARRANT AND RESCUE OPERATIONS. WE HAVE CONTACTED THE SITE AND ACCEPT THE ITEMS IN THIER CURRENT CONDITION.</t>
  </si>
  <si>
    <t>2YTNPG60796509</t>
  </si>
  <si>
    <t>THE WILKESBORO POLICE DEPARTMENT REQUEST THESE ITEMS TO BE USED BY SWORN LAW ENFORCEMENT OFFICERS FOR COUNTER DRUG OPERATIONS. THE ITEMS WILL BE ATTACHED TO DEPARTMENT OWNED AND ISSUED WEAPONS FOR USE IN SEARCH WARRANTS.</t>
  </si>
  <si>
    <t>2YTNPG61492732</t>
  </si>
  <si>
    <t>SPINAL KIT,IMMOBILI</t>
  </si>
  <si>
    <t>THE WILKESBORO POLICE DEPARTMENT REQUEST THESE ITEMS BY SWORN OFFICERS DURING COUNTER DRUG, TERRORISM AND SEARCH AND RESCUE OPERATIONS. WILL BE USED DURING SEARCH WARRANT OPERATIONS.</t>
  </si>
  <si>
    <t>2YTNPG61562824</t>
  </si>
  <si>
    <t>DEFIBRILLATOR/MONITOR-RECORDER SYSTEM</t>
  </si>
  <si>
    <t>THE WILKESBORO POLICE DEPARTMENT IS REQUESTING THIS ITEM FOR USE BY TACTICAL MEDICS ON COUNTER NARCOTICS OPERATIONS AND SEARCH AND RESCUE OPERATIONS.</t>
  </si>
  <si>
    <t>2YTNPG61562823</t>
  </si>
  <si>
    <t>2YTNPG61562826</t>
  </si>
  <si>
    <t>BODY,CAMERA,STILL PICTURE</t>
  </si>
  <si>
    <t>THE WILKESBORO POLICE DEPARTMENT IS REQUESTING THESE ITEMS FOR USE IN COUNTER DRUG AND SURVEILLANCE OPERATIONS. THE WILKESBORO POLICE DEPARTMENT WILL UTILIZE THESE ITEMS FOR COLLECTING EVIDENCE AND PHOTOGRAPHING SCENES.</t>
  </si>
  <si>
    <t>WILSONS MILLS PD (2YTQT2)</t>
  </si>
  <si>
    <t>2YTQT261280610</t>
  </si>
  <si>
    <t>WILSON'S MILLS POLICE DEPARTMENT NEEDS THIS EQUIPMENT FOR COUNTER-DRUG, COUNTER-TERRORISM OPERATIONS.  THIS CREEPER WILL ALLOW MEMBERS OF THE DEPARTMENT TO WORK ON PATROL CARS AND KEEP THEM RUNNING.</t>
  </si>
  <si>
    <t>2YTQT261280616</t>
  </si>
  <si>
    <t>JACK,SCISSORS,HAND</t>
  </si>
  <si>
    <t>WILSON'S MILLS POLICE DEPARTMENT NEEDS THIS EQUIPMENT FOR COUNTER-DRUG, COUNTER-TERRORISM OPERATIONS.  THIS JACK WILL ALLOW MEMBERS OF THE DEPARTMENT TO CHANGE TIRES ON PATROL CARS AND KEEP THEM RUNNING.</t>
  </si>
  <si>
    <t>2YTQT261280636</t>
  </si>
  <si>
    <t>DSPUNCH00</t>
  </si>
  <si>
    <t>HAND PUNCH, NON-POWERED</t>
  </si>
  <si>
    <t>WILSON'S MILLS POLICE DEPARTMENT NEEDS THIS EQUIPMENT FOR COUNTER-DRUG, COUNTER-TERRORISM OPERATIONS.  THESE TOOLS WILL ALLOW OFFICERS TO KEEP PATROL CARS RUNNING.</t>
  </si>
  <si>
    <t>2YTQT261280603</t>
  </si>
  <si>
    <t>BAG,TOOL</t>
  </si>
  <si>
    <t>WILSON'S MILLS POLICE DEPARTMENT NEEDS THIS TOOL BAG FOR COUNTER-DRUG, COUNTER-TERRORISM OPERATIONS.  THE TOOL KIT IT WILL HOLD WILL ALLOW OFFICERS TO KEEP PATROL CARS RUNNING.</t>
  </si>
  <si>
    <t>2YTQT261280617</t>
  </si>
  <si>
    <t>WILSON'S MILLS POLICE DEPARTMENT NEEDS THIS EQUIPMENT FOR COUNTER-DRUG, COUNTER-TERRORISM OPERATIONS FOR OFFICERS TO PRINT WARRANTS AND REPORTS.  THEY WILL BE ISSUED TO VARIOUS DIVISIONS AND OFFICERS.</t>
  </si>
  <si>
    <t>2YTQT261281016</t>
  </si>
  <si>
    <t>DSATHSPOR</t>
  </si>
  <si>
    <t>ATHLETIC AND SPORTING EQUIPMENT</t>
  </si>
  <si>
    <t>WILSON'S MILLS POLICE DEPARTMENT NEEDS THIS EQUIPMENT FOR COUNTER-DRUG, COUNTER-TERRORISM OPERATIONS.  WILSON'S MILLS POLICE DEPARTMENT OFFICERS WILL USE THIS IN THE POLICE DEPARTMENT'S GYM FOR PHYSICAL FITNESS.</t>
  </si>
  <si>
    <t>2YTQT261281017</t>
  </si>
  <si>
    <t>2YTQT261280604</t>
  </si>
  <si>
    <t>2YTQT261280605</t>
  </si>
  <si>
    <t>2YTQT261280618</t>
  </si>
  <si>
    <t>WILSON'S MILLS POLICE DEPARTMENT NEEDS THIS TENT FOR A PERSONNEL STAGING AREA FOR RESCUE OPERATIONS.</t>
  </si>
  <si>
    <t>2YTQT261280615</t>
  </si>
  <si>
    <t>WILSON'S MILLS POLICE DEPARTMENT NEEDS THIS TENT FOR AN EQUIPMENT STAGING AREA FOR RESCUE OPERATIONS.</t>
  </si>
  <si>
    <t>ND</t>
  </si>
  <si>
    <t>JAMESTOWN POLICE DEPARTMENT (2YTPUC)</t>
  </si>
  <si>
    <t>2YTPUC61351451</t>
  </si>
  <si>
    <t>REQUESTING AGENCY HAS CONFIRMED WITH THE DLA DS LOCATION REGARDING THE LISTED ITEM CONDITION AND IS SATISFIED THAT THE ITEM REQUESTED IS OF OPERATIONAL AND OR SERVICEABLE CONDITION. MAGAZINES WILL BE UTILIZED FOR DEPARTMENT PATROL AND SWAT WEAPONS BY AGENCY PERSONNEL WHICH WILL ENHANCE EFFECTIVENESS AND ENSURE FOR CONSISTENT RELIABLE FUNCTION WHILE EMPLOYING WEAPON SYSTEMS IN SUPPORT OF PUBLIC SAFETY MISSIONS.</t>
  </si>
  <si>
    <t>2YTPUC61219812</t>
  </si>
  <si>
    <t>TRIGGER ASSEMBLY</t>
  </si>
  <si>
    <t>REQUESTING AGENCY HAS CONFIRMED WITH THE DLA DS LOCATION REGARDING THE LISTED ITEM CONDITION AND IS SATISFIED THAT THE ITEM REQUESTED IS OF OPERATIONAL AND OR SERVICEABLE CONDITION. THESE WEAPON PARTS WILL BE USED BY AGENCY PERSONNEL DURING HIGH RISK PUBLIC SAFETY INCIDENTS AND TRAININGS AND WILL SUSTAIN VITAL EQUIPMENT WHICH PROVIDES JOB PERTINENT CAPABILITIES TO THOSE ENTRUSTED WITH KEEPING THE COMMUNITY SAFE AND FREE OF HARM IN SUCH EVENTS AS COUNTER TERRORISM AND ACTIVE THREAT RESPONSE.</t>
  </si>
  <si>
    <t>2YTPUC61219806</t>
  </si>
  <si>
    <t>ADAPTER RAIL,WEAPON</t>
  </si>
  <si>
    <t>REQUESTING AGENCY HAS CONFIRMED WITH THE DLA DS LOCATION REGARDING THE LISTED ITEM CONDITION AND IS SATISFIED THAT THE ITEM REQUESTED IS OF OPERATIONAL AND OR SERVICEABLE CONDITION. THIS ADAPTER RAIL WILL BE USED BY AGENCY PERSONNEL DURING HIGH RISK PUBLIC SAFETY INCIDENTS AND TRAININGS AND WILL SUSTAIN VITAL EQUIPMENT WHICH PROVIDES JOB PERTINENT CAPABILITIES TO THOSE ENTRUSTED WITH KEEPING THE COMMUNITY SAFE AND FREE OF HARM IN SUCH EVENTS AS COUNTER TERRORISM AND ACTIVE THREAT RESPONSE.</t>
  </si>
  <si>
    <t>2YTPUC61149902</t>
  </si>
  <si>
    <t>GRIP,PISTOL</t>
  </si>
  <si>
    <t>REQUESTING AGENCY HAS CONFIRMED WITH THE DLA DS LOCATION REGARDING THE LISTED ITEM CONDITION AND IS SATISFIED THAT THE ITEM REQUESTED IS OF OPERATIONAL AND OR SERVICEABLE CONDITION.THESE WEAPON PARTS WILL BE USED BY AGENCY PERSONNEL DURING HIGH RISK PUBLIC SAFETY INCIDENTS AND TRAININGS AND WILL SUSTAIN VITAL EQUIPMENT WHICH PROVIDES JOB PERTINENT CAPABILITIES TO THOSE ENTRUSTED WITH KEEPING THE COMMUNITY SAFE AND FREE OF HARM IN SUCH EVENTS AS COUNTER TERRORISM AND ACTIVE THREAT RESPONSE.</t>
  </si>
  <si>
    <t>2YTPUC61703621</t>
  </si>
  <si>
    <t>INTERFACE MOUNT</t>
  </si>
  <si>
    <t>REQUESTING AGENCY HAS CONFIRMED WITH THE DLA DS LOCATION REGARDING THE LISTED ITEM CONDITION AND IS SATISFIED THAT THE ITEM REQUESTED IS OF OPERATIONAL AND OR SERVICEABLE CONDITION. MOUNTS WILL BE USED FOR OPTICS AND WILL ALLOW USERS HANDSFREE OPERATION DURING HIGH RISK PUBLIC SAFETY INCIDENTS. MOUNTS WILL INCREASE SAFETY AND AWARENESS WHILE PROVIDING ENHANCED OBSERVATION AND IDENTIFICATION CAPABILITY.</t>
  </si>
  <si>
    <t>2YTPUC61219813</t>
  </si>
  <si>
    <t>CHARGING HANDLE ASS</t>
  </si>
  <si>
    <t>2YTPUC61492188</t>
  </si>
  <si>
    <t>REQUESTING AGENCY HAS CONFIRMED WITH THE DLA DS LOCATION REGARDING THE LISTED ITEM CONDITION AND IS SATISFIED THAT THE ITEM REQUESTED IS OF OPERATIONAL AND OR SERVICEABLE CONDITION. TOOLS WILL BE USED BY AGENCY PERSONNEL FOR MULTIPLE DIFFERENT SCENARIOS AND TASKS WHILE IN SUPPORT OF PUBLIC SAFETY MISSIONS.</t>
  </si>
  <si>
    <t>2YTPUC61137408</t>
  </si>
  <si>
    <t>BATTERY,STORAGE</t>
  </si>
  <si>
    <t>REQUESTING AGENCY HAS CONFIRMED WITH THE DLA DS LOCATION REGARDING THE LISTED ITEM CONDITION AND IS SATISFIED THAT THE ITEM REQUESTED IS OF OPERATIONAL AND OR SERVICEABLE CONDITION. STORAGE DEVICES WILL BE USED BY AGENCY PERSONNEL FOR POWERING LESO OBTAINED TWO WAY RADIOS FOR CRUCIAL COMMUNICATIONS DURING HIGH RISK PUBLIC SAFETY INCIDENTS SUCH AS COUNTER TERRORISM AND SEARCH AND RESCUE. THE ITEMS WILL ASSIST IN SHARING CRITICAL INFORMATION EFFICIENTLY ALLOWING FOR SUCCESSFUL OUTCOMES.</t>
  </si>
  <si>
    <t>2YTPUC61149905</t>
  </si>
  <si>
    <t>DSCOMPASS</t>
  </si>
  <si>
    <t>COMPASS, DEMIL A</t>
  </si>
  <si>
    <t>REQUESTING AGENCY HAS CONFIRMED WITH THE DLA DS LOCATION REGARDING THE LISTED ITEM CONDITION AND IS SATISFIED THAT THE ITEM REQUESTED IS OF OPERATIONAL AND OR SERVICEABLE CONDITION. COMPASSES WILL BE USED BY AGENCY PERSONNEL DURING HIGH RISK INCIDENTS SUCH AS COUNTER TERRORISM AND SEARCH AND RESCUE AND WILL AID IN DIRECTION FINDING, NAVIGATING, AND COORDINATING UNITS TO ACHIEVE A SUCCESSFUL OUTCOME.</t>
  </si>
  <si>
    <t>2YTPUC61421581</t>
  </si>
  <si>
    <t>DSBINOCUL</t>
  </si>
  <si>
    <t>BINOCULARS</t>
  </si>
  <si>
    <t>REQUESTING AGENCY HAS CONFIRMED WITH THE DLA DS LOCATION REGARDING THE LISTED ITEM CONDITION AND IS SATISFIED THAT THE ITEM REQUESTED IS OF OPERATIONAL AND OR SERVICEABLE CONDITION. BINOCULARS WILL BE UTILIZED BY AGENCY PERSONNEL DURING VARIOUS PUBLIC SAFETY MISSIONS AND JOB-RELATED TASKS AND WILL ENHANCE SITUATIONAL AWARENESS ASSISTING IN SURVEILLANCE AND SUBJECT IDENTIFICATION WHICH WILL ULTIMATELY INCREASE OFFICER SAFETY AND EFFICIENCY.</t>
  </si>
  <si>
    <t>2YTPUC61139891</t>
  </si>
  <si>
    <t>REQUESTING AGENCY HAS CONFIRMED WITH THE DLA DS LOCATION REGARDING THE LISTED ITEM CONDITION AND IS SATISFIED THAT THE ITEM REQUESTED IS OF OPERATIONAL AND OR SERVICEABLE CONDITION. TROUSERS WILL BE USED BY AGENCY PERSONNEL FOR COLD AND WET WEATHER PROTECTION DURING HIGH RISK PUBLIC SAFETY INCIDENTS SUCH AS SEARCH AND RESCUE AND COUNTER TERRORISM. THE CLOTHING WILL AID IN COMFORT AND EFFICIENCY DURING PERTINENT JOB TASKS, CREATING ENHANCED EFFICIENCY AND EFFECTIVENESS.</t>
  </si>
  <si>
    <t>2YTPUC61219893</t>
  </si>
  <si>
    <t>2YTPUC61219894</t>
  </si>
  <si>
    <t>REQUESTING AGENCY HAS CONFIRMED WITH THE DLA DS LOCATION REGARDING THE LISTED ITEM CONDITION AND IS SATISFIED THAT THE ITEM REQUESTED IS OF OPERATIONAL AND OR SERVICEABLE CONDITION. JACKET WILL BE USED BY AGENCY PERSONNEL FOR COLD AND WET WEATHER PROTECTION DURING HIGH RISK PUBLIC SAFETY INCIDENTS SUCH AS SEARCH AND RESCUE AND COUNTER TERRORISM. THE CLOTHING WILL AID IN COMFORT AND EFFICIENCY DURING PERTINENT JOB TASKS, CREATING ENHANCED EFFICIENCY AND EFFECTIVENESS.</t>
  </si>
  <si>
    <t>2YTPUC61219895</t>
  </si>
  <si>
    <t>2YTPUC61219896</t>
  </si>
  <si>
    <t>2YTPUC61219897</t>
  </si>
  <si>
    <t>2YTPUC61219898</t>
  </si>
  <si>
    <t>2YTPUC61219899</t>
  </si>
  <si>
    <t>2YTPUC61219900</t>
  </si>
  <si>
    <t>PARKA,SNOW CAMOUFLA</t>
  </si>
  <si>
    <t>REQUESTING AGENCY HAS CONFIRMED WITH THE DLA DS LOCATION REGARDING THE LISTED ITEM CONDITION AND IS SATISFIED THAT THE ITEM REQUESTED IS OF OPERATIONAL AND OR SERVICEABLE CONDITION. TROUSERS WILL BE USED BY AGENCY PERSONNEL FOR COLD AND WET WEATHER PROTECTION DURING HIGH RISK PUBLIC SAFETY INCIDENTS SUCH AS SEARCH AND RESCUE AND COUNTER TERRORISM. PARKAS WILL AID IN COMFORT AND EFFICIENCY DURING PERTINENT JOB TASKS, CREATING ENHANCED EFFICIENCY AND EFFECTIVENESS.</t>
  </si>
  <si>
    <t>2YTPUC61219906</t>
  </si>
  <si>
    <t>2YTPUC61219907</t>
  </si>
  <si>
    <t>REQUESTING AGENCY HAS CONFIRMED WITH THE DLA DS LOCATION REGARDING THE LISTED ITEM CONDITION AND IS SATISFIED THAT THE ITEM REQUESTED IS OF OPERATIONAL AND OR SERVICEABLE CONDITION. JACKETS WILL BE USED BY AGENCY PERSONNEL FOR COLD AND WET WEATHER PROTECTION DURING HIGH RISK PUBLIC SAFETY INCIDENTS SUCH AS SEARCH AND RESCUE AND COUNTER TERRORISM. THE CLOTHING WILL AID IN COMFORT AND EFFICIENCY DURING PERTINENT JOB TASKS, CREATING ENHANCED EFFICIENCY AND EFFECTIVENESS.</t>
  </si>
  <si>
    <t>2YTPUC61219908</t>
  </si>
  <si>
    <t>2YTPUC61219909</t>
  </si>
  <si>
    <t>2YTPUC61492193</t>
  </si>
  <si>
    <t>REQUESTING AGENCY HAS CONFIRMED WITH THE DLA DS LOCATION REGARDING THE LISTED ITEM CONDITION AND IS SATISFIED THAT THE ITEM REQUESTED IS OF OPERATIONAL AND OR SERVICEABLE CONDITION. TROUSERS WILL BE USED BY AGENCY PERSONNEL FOR LOAD CARRIAGE, UNIFORMITY AND PROTECTION DURING HIGH RISK PUBLIC SAFETY EVENTS SUCH AS SEARCH AND RESCUE AND COUNTER TERRORISM AND WILL AID IN COMFORT AND EFFICIENCY DURING PERTINENT JOB TASKS, CREATING ENHANCED EFFICIENCY AND EFFECTIVENESS.</t>
  </si>
  <si>
    <t>2YTPUC61492192</t>
  </si>
  <si>
    <t>REQUESTING AGENCY HAS CONFIRMED WITH THE DLA DS LOCATION REGARDING THE LISTED ITEM CONDITION AND IS SATISFIED THAT THE ITEM REQUESTED IS OF OPERATIONAL AND OR SERVICEABLE CONDITION. PARKAS WILL BE USED BY AGENCY PERSONNEL FOR LOAD CARRIAGE, UNIFORMITY AND PROTECTION DURING HIGH RISK PUBLIC SAFETY EVENTS SUCH AS SEARCH AND RESCUE AND COUNTER TERRORISM AND WILL AID IN COMFORT AND EFFICIENCY DURING PERTINENT JOB TASKS, CREATING ENHANCED EFFICIENCY AND EFFECTIVENESS.</t>
  </si>
  <si>
    <t>2YTPUC61492190</t>
  </si>
  <si>
    <t>MITTEN SHELLS,EXTRE</t>
  </si>
  <si>
    <t>REQUESTING AGENCY HAS CONFIRMED WITH THE DLA DS LOCATION REGARDING THE LISTED ITEM CONDITION AND IS SATISFIED THAT THE ITEM REQUESTED IS OF OPERATIONAL AND OR SERVICEABLE CONDITION. MITTENS WILL BE USED BY AGENCY PERSONNEL FOR COLD WEATHER PROTECTION DURING HIGH RISK PUBLIC SAFETY EVENTS SUCH AS SEARCH AND RESCUE AND COUNTER TERRORISM AND WILL AID IN COMFORT AND EFFICIENCY DURING PERTINENT JOB TASKS, CREATING ENHANCED EFFICIENCY AND EFFECTIVENESS.</t>
  </si>
  <si>
    <t>2YTPUC61492186</t>
  </si>
  <si>
    <t>2YTPUC61492185</t>
  </si>
  <si>
    <t>2YTPUC61492184</t>
  </si>
  <si>
    <t>2YTPUC61492183</t>
  </si>
  <si>
    <t>REQUESTING AGENCY HAS CONFIRMED WITH THE DLA DS LOCATION REGARDING THE LISTED ITEM CONDITION AND IS SATISFIED THAT THE ITEM REQUESTED IS OF OPERATIONAL AND OR SERVICEABLE CONDITION. JACKETS WILL BE USED BY AGENCY PERSONNEL FOR LOAD CARRIAGE, UNIFORMITY AND PROTECTION DURING HIGH RISK PUBLIC SAFETY EVENTS SUCH AS SEARCH AND RESCUE AND COUNTER TERRORISM AND WILL AID IN COMFORT AND EFFICIENCY DURING PERTINENT JOB TASKS, CREATING ENHANCED EFFICIENCY AND EFFECTIVENESS.</t>
  </si>
  <si>
    <t>2YTPUC61492182</t>
  </si>
  <si>
    <t>2YTPUC61492173</t>
  </si>
  <si>
    <t>2YTPUC61492170</t>
  </si>
  <si>
    <t>2YTPUC61219910</t>
  </si>
  <si>
    <t>2YTPUC61421461</t>
  </si>
  <si>
    <t>REQUESTING AGENCY HAS CONFIRMED WITH THE DLA DS LOCATION REGARDING THE LISTED ITEM CONDITION AND IS SATISFIED THAT THE ITEM REQUESTED IS OF OPERATIONAL AND OR SERVICEABLE CONDITION. BAGS WILL BE USED BY AGENCY PERSONNEL DURING HIGH RISK LAW ENFORCEMENT INCIDENTS AND PROVIDE ORGANIZED EQUIPMENT CARRIAGE, WHICH WILL ENHANCE EFFECTIVENESS BY CREATING A SCALABLE SYSTEM TO CARRY VITAL EQUIPMENT IN SUPPORT OF PUBLIC SAFETY.</t>
  </si>
  <si>
    <t>2YTPUC61421462</t>
  </si>
  <si>
    <t>SUSPENDERS,INDIVIDUAL EQUIPMENT BELT</t>
  </si>
  <si>
    <t>REQUESTING AGENCY HAS CONFIRMED WITH THE DLA DS LOCATION REGARDING THE LISTED ITEM CONDITION AND IS SATISFIED THAT THE ITEM REQUESTED IS OF OPERATIONAL AND OR SERVICEABLE CONDITION. 
SUSPENDERS WILL BE USED BY AGENCY PERSONNEL DURING HIGH RISK LAW ENFORCEMENT INCIDENTS AND PROVIDE ORGANIZED EQUIPMENT CARRIAGE, WHICH WILL ENHANCE EFFECTIVENESS BY CREATING A SCALABLE SYSTEM TO CARRY VITAL EQUIPMENT IN SUPPORT OF PUBLIC SAFETY.</t>
  </si>
  <si>
    <t>2YTPUC61421463</t>
  </si>
  <si>
    <t>PATCH POCKET,UTILITY</t>
  </si>
  <si>
    <t>REQUESTING AGENCY HAS CONFIRMED WITH THE DLA DS LOCATION REGARDING THE LISTED ITEM CONDITION AND IS SATISFIED THAT THE ITEM REQUESTED IS OF OPERATIONAL AND OR SERVICEABLE CONDITION. POCKETS WILL BE USED BY AGENCY PERSONNEL DURING HIGH RISK LAW ENFORCEMENT INCIDENTS AND PROVIDE ORGANIZED EQUIPMENT CARRIAGE, WHICH WILL ENHANCE EFFECTIVENESS BY CREATING A SCALABLE SYSTEM TO CARRY VITAL EQUIPMENT IN SUPPORT OF PUBLIC SAFETY.</t>
  </si>
  <si>
    <t>2YTPUC61421464</t>
  </si>
  <si>
    <t>2YTPUC61421466</t>
  </si>
  <si>
    <t>2YTPUC61562559</t>
  </si>
  <si>
    <t>POCKET AMMUNITION MAGAZINE,VEST SMALL AR</t>
  </si>
  <si>
    <t>REQUESTING AGENCY HAS CONFIRMED WITH THE DLA DS LOCATION REGARDING THE LISTED ITEM CONDITION AND IS SATISFIED THAT THE ITEM REQUESTED IS OF OPERATIONAL AND OR SERVICEABLE CONDITION. POUCHES WILL BE USED BY AGENCY PERSONNEL DURING PUBLIC SAFETY EVENTS, SPECIFICALLY HIGH-RISK LAW ENFORCEMENT EVENTS IN WHICH VITAL EQUIPMENT MUST BE CARRIED AND DEPLOYED TO AFFECT MISSION SUCCESS. THE POUCH WILL ALSO AID IN ORGANIZATION AND STORAGE OF EQUIPMENT.</t>
  </si>
  <si>
    <t>2YTPUC61562560</t>
  </si>
  <si>
    <t>POCKET,AMMUNITION MAGAZINE</t>
  </si>
  <si>
    <t>2YTPUC61562562</t>
  </si>
  <si>
    <t>CARRIER,GRENADE</t>
  </si>
  <si>
    <t>2YTPUC61562566</t>
  </si>
  <si>
    <t>REQUESTING AGENCY HAS CONFIRMED WITH THE DLA DS LOCATION REGARDING THE LISTED ITEM CONDITION AND IS SATISFIED THAT THE ITEM REQUESTED IS OF OPERATIONAL AND OR SERVICEABLE CONDITION. BAG WILL BE USED BY AGENCY PERSONNEL DURING PUBLIC SAFETY EVENTS, SPECIFICALLY HIGH-RISK LAW ENFORCEMENT EVENTS IN WHICH VITAL EQUIPMENT MUST BE CARRIED AND DEPLOYED TO AFFECT MISSION SUCCESS. THE BAGS WILL ALSO AID IN ORGANIZATION AND STORAGE OF EQUIPMENT.</t>
  </si>
  <si>
    <t>2YTPUC61562567</t>
  </si>
  <si>
    <t>2YTPUC61492194</t>
  </si>
  <si>
    <t>2YTPUC61421454</t>
  </si>
  <si>
    <t>2YTPUC61421456</t>
  </si>
  <si>
    <t>2YTPUC61421458</t>
  </si>
  <si>
    <t>2YTPUC61421460</t>
  </si>
  <si>
    <t>NE</t>
  </si>
  <si>
    <t>HOWARD CSO (2YTFKS)</t>
  </si>
  <si>
    <t>2YTFKS61078491</t>
  </si>
  <si>
    <t>ENHANCE DISASTER RESPONSE WITHIN AGENCY. ENABLE INTEL GATHERING, ENHANCING SAFETY.</t>
  </si>
  <si>
    <t>2YTFKS61008488</t>
  </si>
  <si>
    <t>TELESCOPE,ELBOW</t>
  </si>
  <si>
    <t>ENHANCE OBSERVATION AND INTEL GATHERING FOR OUR AGENCY. THUS LEADING TO ENHANCED SAFETY.</t>
  </si>
  <si>
    <t>2YTFKS61008490</t>
  </si>
  <si>
    <t>ENHANCE DISASTER RESPONSE WITHIN THE AGENCY. ENABLE ASSISTING WITH FLOOD CONTROL AND SANDBAG FILLING.</t>
  </si>
  <si>
    <t>2YTFKS60725791</t>
  </si>
  <si>
    <t>ANTENNA</t>
  </si>
  <si>
    <t>INCREASE COMMUNICATIONS CAPABILITY FOR RADIOS USED WITHIN THE SHERIFF'S OFFICE. ALLOW FOR INCREASED RANGE AND FUNCTIONALITY ON COMMUNICATIONS EQUIPMENT.</t>
  </si>
  <si>
    <t>2YTFKS61219927</t>
  </si>
  <si>
    <t>CANNULA,NASAL,OXYGE</t>
  </si>
  <si>
    <t>ASSIST EMS AND OTHER LOCAL AGENCIES DURING DISASTER RESPONSE.</t>
  </si>
  <si>
    <t>2YTFKS61219932</t>
  </si>
  <si>
    <t>SPLINT ASSEMBLY,FUL</t>
  </si>
  <si>
    <t>ASSIST WITH MEDICAL CARE DURING DISASTER RESPONSE.</t>
  </si>
  <si>
    <t>2YTFKS61219931</t>
  </si>
  <si>
    <t>BLOOD-FLUID WARMER</t>
  </si>
  <si>
    <t>ASSIST MEDICAL STAFF DURING DISASTER RESPONSE AND SUSTAINMENT. PROVIDE A BETTER RESPONSE DURING EMERGENCIES.</t>
  </si>
  <si>
    <t>2YTFKS61219928</t>
  </si>
  <si>
    <t>BAG,COMBAT CASUALTY</t>
  </si>
  <si>
    <t>MEDICAL SUSTAINMENT DURING DISASTER RESPONSE.</t>
  </si>
  <si>
    <t>2YTFKS61078486</t>
  </si>
  <si>
    <t>MEDICAL KIT,STANDAR</t>
  </si>
  <si>
    <t>ASSIST IN MEDICAL CARE ON ACCIDENTS AND OTHER SCENES AS WE USUALLY ARRIVE BEFORE MEDICAL CARE. ENHANCE OUR ABILITIES IN DISASTER RESPONSE.</t>
  </si>
  <si>
    <t>2YTFKS61219929</t>
  </si>
  <si>
    <t>ASSIST MEDICAL PROVIDERS DURING DISASTER RESPONSE AND SUSTAINMENT.</t>
  </si>
  <si>
    <t>2YTFKS61078492</t>
  </si>
  <si>
    <t>ENHANCE COMMUNCATION AND ACCOUNTABILITY DURING CRITICAL RESPONSES WITHIN AGENCY. ASSIST IN DISASTER PLANNING AND RESPONSE.</t>
  </si>
  <si>
    <t>2YTFKS61219930</t>
  </si>
  <si>
    <t>ASSIST WITH DISASTER RESPONSE AND SUSTAINMENT.</t>
  </si>
  <si>
    <t>2YTFKS61219585</t>
  </si>
  <si>
    <t>WITH EXTENDED EXPOSURE TO THE ELEMENTS AND OUR BEING UTILIZED IN SEARCH AND RESCUE OPERATIONS, ALONGSIDE MULTIPLE EMS PERSONNEL, THESE PANTS ARE INCREDIBLY VALUABLE TO US WHEN SPENDING TIME IN AUSTERE ENVIRONMENTS FOR PROLONGED PERIODS OF TIME.</t>
  </si>
  <si>
    <t>2YTFKS61008145</t>
  </si>
  <si>
    <t>WE HAVE RECEIVED SEVERAL OF THESE PARKAS AND THEY HAVE SERVED US INCREDIBLY WELL DURING THIS PAST WINTER.  WE HAVE HAD SEVERAL THAT WERE DAMAGED DURING THE COURSE OF OUR DUTIES AND WE ARE LOOKING TO REPLACE THEM.</t>
  </si>
  <si>
    <t>2YTFKS61008143</t>
  </si>
  <si>
    <t>WE HAVE RECEIVED SEVERAL OF THESE PARKAS FOR OUR DEPUTIES AND THEY HAVE SERVED US EXTREMELY WELL IN THE PURSUIT OF OUR DUTIES DURING THIS WINTER.  WE HAVE HAD SOME THAT WERE DAMAGED WHILE WORKING AND ARE REPLACING THEM IF POSSIBLE.</t>
  </si>
  <si>
    <t>2YTFKS61008144</t>
  </si>
  <si>
    <t>2YTFKS61078489</t>
  </si>
  <si>
    <t>ENHANCE COLD WEATHER DISASTER RESPONSE AND SUSTAINMENT.</t>
  </si>
  <si>
    <t>2YTFKS61219819</t>
  </si>
  <si>
    <t>WE HAVE RECEIVED SEVERAL OF THESE JACKETS AND THEY HAVE PROVEN INVALUABLE IN COLD WEATHER ENVIRONMENTS WHERE WE HAVE BEEN REQUIRED TO STAY OUTSIDE FOR EXTENDED PERIODS OF TIME.  SOME OF THE JACKETS CAME DAMAGED AND WE ARE CONTINUING TO REQUEST THEM IN ORDER TO GET MORE WITHOUT DAMAGE.</t>
  </si>
  <si>
    <t>2YTFKS61219584</t>
  </si>
  <si>
    <t>2YTFKS61008147</t>
  </si>
  <si>
    <t>WE HAVE EXPANDED OUR SNIPER ELEMENT AND ARE LOOKING FOR A PACK THAT THEY CAN USE SPOTTING EQUIPMENT AND OTHER NECESSARY ITEMS.  THIS WOULD SERVE US WELL IN THAT USE CASE.</t>
  </si>
  <si>
    <t>2YTFKS61219935</t>
  </si>
  <si>
    <t>ASSIST IN DISASTER SUSTAINMENT AND RESPONSE.</t>
  </si>
  <si>
    <t>2YTFKS61219934</t>
  </si>
  <si>
    <t>2YTFKS61219926</t>
  </si>
  <si>
    <t>POUCH,FIRST AID KIT</t>
  </si>
  <si>
    <t>STORAGE AND TRANSPORT OF MEDICAL SUPPLIES FOR DISASTER RESPONSE.</t>
  </si>
  <si>
    <t>2YTFKS61219924</t>
  </si>
  <si>
    <t>WAIST PACK</t>
  </si>
  <si>
    <t>STORAGE AND TRANSPORT OF SUPPLIES OF DISASTER RESPONSE AND SUSTAINMENT.</t>
  </si>
  <si>
    <t>2YTFKS61219925</t>
  </si>
  <si>
    <t>STORAGE AND TRANSPORT OF SUPPLIES FOR DISASTER RESPONSE.</t>
  </si>
  <si>
    <t>2YTFKS61219923</t>
  </si>
  <si>
    <t>DISASTER RESPONSE AND PREPAREDNESS. TRANSPORT SUPPLIES FOR DISASTER RESPONSE.</t>
  </si>
  <si>
    <t>2YTFKS61219922</t>
  </si>
  <si>
    <t>DISASTER RESPONSE AND PREPAREDNESS FOR SUSTAINMENT.</t>
  </si>
  <si>
    <t>2YTFKS61219921</t>
  </si>
  <si>
    <t>STORAGE OF CLOTHING AND SUPPLIES FOR EMERGENCY RESPONSE.</t>
  </si>
  <si>
    <t>2YTFKS61219920</t>
  </si>
  <si>
    <t>STORE AND TRANSPORT SUPPLIES FOR DISASTER RESPONSE. MEDICAL AND IFAK SUPPLIES.</t>
  </si>
  <si>
    <t>2YTFKS61219919</t>
  </si>
  <si>
    <t>PACK,ASSAULT,MOLLE</t>
  </si>
  <si>
    <t>STORAGE AND TRANSPORT OF GEAR FOR DISASTER RESPONSE AND SUSTAINMENT.</t>
  </si>
  <si>
    <t>2YTFKS61219581</t>
  </si>
  <si>
    <t>WE ARE CONTINUING TO UTILIZE THESE BAGS AS MEDICAL BAGS FOR OUR TEMS RESPONDERS.  THEY HAVE BEEN INCREDIBLY USEFUL IN HELPING OUR MEDICS MOVE LARGE AMOUNTS OF MEDICAL EQUIPMENT DURING TACTICAL OPERATIONS.</t>
  </si>
  <si>
    <t>2YTFKS61008487</t>
  </si>
  <si>
    <t>DISASTER RESPONSE AND ENHANCE EXTENDED SUSTAINMENT DURING.</t>
  </si>
  <si>
    <t>STATE PATROL (2YT1DY)</t>
  </si>
  <si>
    <t>2YT1DY61492799</t>
  </si>
  <si>
    <t>THE NEBRASKA STATE PATROLS BOMB SQUADS WILL IMPLEMENT THIS ITEM INTO THEIR STATEWIDE RESPONSE TO SAFELY SECURE TRANSPORT AND DETONATE SUSPECTED EXPLOSIVE OR CHEMICAL BIOLOGICAL DEVICES IT WILL MITIGATE BLAST EFFECTS FLYING DEBRIS AND HAZARDOUS GASES PROTECTING NEARBY PEOPLE PROPERTY AND THE ENVIRONMENT</t>
  </si>
  <si>
    <t>2YT1DY61008151</t>
  </si>
  <si>
    <t>USE FOR RESPONSE TO FLOODS, FIRE, TORNADO SUPPORT. DRONE RESPONSE AND TRANSPORTING OF PERSONNEL.</t>
  </si>
  <si>
    <t>2YT1DY61008150</t>
  </si>
  <si>
    <t>NJ</t>
  </si>
  <si>
    <t>BERGEN COUNTY PROSECUTORS OFFICE (2YTA5P)</t>
  </si>
  <si>
    <t>2YTA5P60866584</t>
  </si>
  <si>
    <t>FOR USE BY THIS LEA ONLY. TO BE USED BY LEOS OF THIS AGENCY. THESE NIGHT VISION GOGGLES WILL BE UTILIZED DURING LAW ENFORCEMENT OPERATIONS THAT REQUIRE LOW-LIGHT OR NO-LIGHT CAPABILITIES, INCLUDING SEARCH AND RESCUE, SURVEILLANCE, AND TACTICAL RESPONSE. I REACHED OUT TO THE BASE AND AM SATISFIED THAT THE ITEMS ARE USABLE OR CAN BE MADE TO BE USABLE BY MY AGENCY.</t>
  </si>
  <si>
    <t>DEAL POLICE DEPT (2YTC6Y)</t>
  </si>
  <si>
    <t>2YTC6Y60866156</t>
  </si>
  <si>
    <t>THIS ITEM IS BEING REQUESTED FOR LAW ENFORCEMENT USE ONLY. POLICE OFFICERS WILL USE THIS ALL TERRAIN VEHICLES  FOR RESPONDING TO EMERGENCY CALLS ON THE BEACH FRONT WHERE VEHICLES WILL HAVE A HARD TIME TO ACCESS. THIS WILL BE USED TO TRANSPORT EMERGENCY EQUIPMENT TO THOSE LOCATIONS</t>
  </si>
  <si>
    <t>DOJ/FBI NEWARK (2YTRW5)</t>
  </si>
  <si>
    <t>2YTRW560867516</t>
  </si>
  <si>
    <t>REQUESTED BY FBI NEWARK SWAT TO ENHANCE OFFICER SAFETY DURING ENFORCEMENT OPERATIONS.</t>
  </si>
  <si>
    <t>2YTRW561421468</t>
  </si>
  <si>
    <t>REQUESTED BY FBI NEWARK SWAT TO ENHANCE OFFICER SAFETY DURING LOW LIGHT ENFORCEMENT OPERATIONS AND TRAINING.</t>
  </si>
  <si>
    <t>2YTRW561491997</t>
  </si>
  <si>
    <t>REQUESTED BY FBI NEWARK SWAT TO ENHANCE AGENT COMFORT DURING ENFORCEMENT AND TRAINING OPERATIONS IN AUSTERE ENVIRONMENTS.</t>
  </si>
  <si>
    <t>2YTRW561351471</t>
  </si>
  <si>
    <t>REQUESTED BY FBI NEWARK SWAT TO ENHANCE OFFICER ABILITY TO CARRY SIDEARM EFFICIENTLY DURING ENFORCEMENT AND TRAINING OPERATIONS.</t>
  </si>
  <si>
    <t>FRANKLIN LAKES POLICE DEPT (2YTQPZ)</t>
  </si>
  <si>
    <t>2YTQPZ60796586</t>
  </si>
  <si>
    <t>TO BE USED BY THIS LEA ONLY. TO BE USED BY THE LEOS OF THIS LEA TO PATROL AND RESPOND TO CALLS IN OUR JURISDICTION.</t>
  </si>
  <si>
    <t>2YTQPZ60796587</t>
  </si>
  <si>
    <t>FREEHOLD TOWNSHIP POLICE DEPT (2YTECD)</t>
  </si>
  <si>
    <t>2YTECD61149867</t>
  </si>
  <si>
    <t>WILL BE UTILIZED FOR LAW ENFORCEMENT USE ONLY. LEA WILL USE THE UNINTERRUPTIBLE POWER SUPPLY TO COMPUTERS THAT LEOS OPERATE ON A DAILY BASIS SO WORK IS NOT LOST DURING WORK AND CAN POWER SERVERS WHEN POWER GOES OUT.</t>
  </si>
  <si>
    <t>2YTECD61281184</t>
  </si>
  <si>
    <t>DSTAPE000</t>
  </si>
  <si>
    <t>TAPE, COMPUTER</t>
  </si>
  <si>
    <t>THIS IWLL BE USED BY LEOS ONLY. LEOS WILL USE THESE WHILE BUILDING CAMERA, INSTALLING MVR SYSTEMS INTO PATROL VEHICLES AND USE IN CASE OF AN EMERGENCY TO MARK DOORS.</t>
  </si>
  <si>
    <t>2YTECD61219901</t>
  </si>
  <si>
    <t>STRAP,CARGO</t>
  </si>
  <si>
    <t>THIS EQUIPMENT WILL BE UTILIZED FOR LAW ENFORCEMENT USE ONLY. LEA WILL ISSUE TO LEOS IS A GO BAG FOR EMERGENCY ISSUES.</t>
  </si>
  <si>
    <t>HACKENSACK POLICE DEPT (2YTEY4)</t>
  </si>
  <si>
    <t>2YTEY461491846</t>
  </si>
  <si>
    <t>FOR USE BY THIS LEA ONLY. TO BE USED BY THE LEOS OF THIS AGENCY. THIS PICKUP TRUCK WILL BE UTILIZED FOR LAW ENFORCEMENT OPERATIONS, TRANSPORT OF EQUIPMENT, PERSONNEL MOVEMENT, AND RESPONSE TO CRITICAL INCIDENTS AND EMERGENCIES.</t>
  </si>
  <si>
    <t>2YTEY460937169</t>
  </si>
  <si>
    <t>FOR USE BY THIS LEA ONLY. TO BE USED BY THE LEOS OF THIS AGENCY. THIS TRAILER WILL BE UTILIZED TO TRANSPORT LAW ENFORCEMENT EQUIPMENT, SUPPLIES, AND RESOURCES IN SUPPORT OF OPERATIONS, TRAINING, AND CRITICAL INCIDENT RESPONSE.</t>
  </si>
  <si>
    <t>2YTEY460866873</t>
  </si>
  <si>
    <t>MIRROR HEAD,VEHICUL</t>
  </si>
  <si>
    <t>FOR USE BY THIS LEA ONLY. TO BE USED BY THE LEOS OF THIS AGENCY. THIS SIDE MIRROR WILL BE UTILIZED TO REPLACE DAMAGED VEHICLE COMPONENTS AND MAINTAIN SAFE OPERATION OF LAW ENFORCEMENT VEHICLES DURING DUTIES.</t>
  </si>
  <si>
    <t>2YTEY461492518</t>
  </si>
  <si>
    <t>DSSAFERES</t>
  </si>
  <si>
    <t>SAFETY AND RESCUE EQUIPMENT</t>
  </si>
  <si>
    <t>FOR USE BY THIS LEA ONLY. TO BE USED BY THE LEOS OF THIS AGENCY. THIS RAPPELLING HARNESS WILL BE UTILIZED DURING LAW ENFORCEMENT RESCUE OPERATIONS, TACTICAL DEPLOYMENTS, AND CRITICAL INCIDENT RESPONSE.</t>
  </si>
  <si>
    <t>2YTEY461492519</t>
  </si>
  <si>
    <t>2YTEY461492520</t>
  </si>
  <si>
    <t>2YTEY461351622</t>
  </si>
  <si>
    <t>FOR USE BY THIS LEA ONLY. TO BE USED BY THE EMERGENCY SERVICES UNIT. THIS RAPPELLING RESCUE EQUIPMENT WILL BE UTILIZED DURING LAW ENFORCEMENT RESCUE OPERATIONS, TACTICAL DEPLOYMENTS, AND CRITICAL INCIDENT RESPONSE.</t>
  </si>
  <si>
    <t>2YTEY461491988</t>
  </si>
  <si>
    <t>TOOL KIT,ELECTRONIC SYSTEM</t>
  </si>
  <si>
    <t>FOR USE BY THIS LEA ONLY. TO BE USED BY THE LEOS OF THIS AGENCY. THIS TOOL KIT WILL BE UTILIZED TO SUPPORT MAINTENANCE AND REPAIRS OF LAW ENFORCEMENT EQUIPMENT AND VEHICLES DURING OPERATIONS AND TRAINING.</t>
  </si>
  <si>
    <t>2YTEY460937811</t>
  </si>
  <si>
    <t>LADDER,EXTENSION</t>
  </si>
  <si>
    <t>FOR USE BY THIS LEA ONLY. TO BE USED BY THE LEOS OF THIS AGENCY. THIS LADDER WILL BE UTILIZED DURING LAW ENFORCEMENT OPERATIONS, RESCUE RESPONSE, AND SCENE MANAGEMENT TO SUPPORT PUBLIC SAFETY.</t>
  </si>
  <si>
    <t>2YTEY460937813</t>
  </si>
  <si>
    <t>2YTEY461422128</t>
  </si>
  <si>
    <t>FOR USE BY THIS LEA ONLY. TO BE USED BY THE LEOS OF THIS AGENCY. THIS IR ILLUMINATOR WILL BE UTILIZED DURING LAW ENFORCEMENT OPERATIONS, TACTICAL DEPLOYMENTS, AND NIGHT OPERATIONS TO SUPPORT NIGHT VISION CAPABILITIES. I REACHED OUT TO THE BASE AND AM SATISFIED THAT THE ITEMS ARE USABLE OR CAN BE MADE TO BE USABLE BY MY AGENCY.</t>
  </si>
  <si>
    <t>2YTEY461421697</t>
  </si>
  <si>
    <t>FOR USE BY THIS LEA ONLY. TO BE USED BY THE LEOS OF THIS AGENCY. THIS METAL WAND DETECTOR WILL BE UTILIZED DURING LAW ENFORCEMENT OPERATIONS, EVENT SECURITY, AND PUBLIC SAFETY SCREENINGS TO SUPPORT OFFICER AND COMMUNITY SAFETY.</t>
  </si>
  <si>
    <t>2YTEY461219937</t>
  </si>
  <si>
    <t>DSDETECTA</t>
  </si>
  <si>
    <t>DETECTORS DEMIL A</t>
  </si>
  <si>
    <t>FOR USE BY THIS LEA ONLY. TO BE USED BY THE LEOS OF THIS AGENCY. THIS PERSONAL RADIATION UNIT WILL BE UTILIZED DURING LAW ENFORCEMENT OPERATIONS, HAZMAT INCIDENTS, AND HOMELAND SECURITY MISSIONS TO SUPPORT OFFICER SAFETY AND INCIDENT RESPONSE.</t>
  </si>
  <si>
    <t>2YTEY461219820</t>
  </si>
  <si>
    <t>2YTEY461219839</t>
  </si>
  <si>
    <t>FOR USE BY THIS LEA ONLY. TO BE USED BY THE LEOS OF THIS AGENCY. THIS PERSONAL DETECTION UNIT WILL BE UTILIZED DURING LAW ENFORCEMENT OPERATIONS, HAZMAT INCIDENTS, AND HOMELAND SECURITY MISSIONS TO SUPPORT OFFICER SAFETY AND INCIDENT RESPONSE.</t>
  </si>
  <si>
    <t>2YTEY461492797</t>
  </si>
  <si>
    <t>HOLOGRAPHIC GLASSES</t>
  </si>
  <si>
    <t>FOR USE BY THIS LEA ONLY. TO BE USED BY THE LEOS OF THIS AGENCY. THESE HOLOGRAPHIC GLASSES WILL BE UTILIZED DURING LAW ENFORCEMENT TRAINING, PUBLIC SAFETY OUTREACH, AND EDUCATION INITIATIVES.</t>
  </si>
  <si>
    <t>2YTEY460937887</t>
  </si>
  <si>
    <t>DISPLAY UNIT</t>
  </si>
  <si>
    <t>FOR USE BY THIS LEA ONLY. TO BE USED BY THE LEOS OF THIS AGENCY. THIS SMART PODIUM MONITOR WILL BE UTILIZED TO SUPPORT LAW ENFORCEMENT TRAINING, BRIEFINGS, AND OPERATIONAL PRESENTATIONS.</t>
  </si>
  <si>
    <t>2YTEY461219974</t>
  </si>
  <si>
    <t>DSOFFURN0</t>
  </si>
  <si>
    <t>OFFICE FURNITURE</t>
  </si>
  <si>
    <t>FOR USE BY THIS LEA ONLY. TO BE USED BY THE LEOS OF THIS AGENCY. THIS PODIUM WILL BE UTILIZED TO SUPPORT LAW ENFORCEMENT BRIEFINGS, TRAINING, AND OPERATIONAL COMMUNICATION.</t>
  </si>
  <si>
    <t>2YTEY460937394</t>
  </si>
  <si>
    <t>DSCABINE5</t>
  </si>
  <si>
    <t>CABINET, OFFICE</t>
  </si>
  <si>
    <t>FOR USE BY THIS LEA ONLY. TO BE USED BY THE LEOS OF THIS AGENCY. THESE CABINETS WILL BE UTILIZED FOR STORAGE OF TRAINING EQUIPMENT AND SUPPLIES IN SUPPORT OF LAW ENFORCEMENT TRAINING AND OPERATIONAL READINESS.</t>
  </si>
  <si>
    <t>2YTEY460937368</t>
  </si>
  <si>
    <t>2YTEY460937363</t>
  </si>
  <si>
    <t>FOR USE BY THIS LEA ONLY. TO BE USED BY THE LEOS OF THIS AGENCY. THESE OFFICE CABINETS WILL BE UTILIZED TO SECURELY STORE LAW ENFORCEMENT DOCUMENTS, EQUIPMENT, AND RECORDS IN SUPPORT OF DAILY OPERATIONS AND ADMINISTRATIVE FUNCTIONS.</t>
  </si>
  <si>
    <t>2YTEY460938022</t>
  </si>
  <si>
    <t>2YTEY461200537</t>
  </si>
  <si>
    <t>2YTEY461200536</t>
  </si>
  <si>
    <t>2YTEY461492862</t>
  </si>
  <si>
    <t>DSGLOVESS</t>
  </si>
  <si>
    <t>GLOVES, SAFETY</t>
  </si>
  <si>
    <t>FOR USE BY THIS LEA ONLY. TO BE USED BY THE LEOS OF THIS AGENCY. THESE GLOVES WILL BE UTILIZED DURING LAW ENFORCEMENT OPERATIONS, RESCUE MISSIONS, RAPPELLING, AND TRAINING INVOLVING ROPE OPERATIONS.</t>
  </si>
  <si>
    <t>LINDENWOLD POLICE DEPT (2YTGSY)</t>
  </si>
  <si>
    <t>2YTGSY60937242</t>
  </si>
  <si>
    <t>WILL BE USED BY LINDENWOLD POLICE OFFICERS TO ACCESS WOODED AREAS CURRENTLY INACCESSIBLE BY OUR CURRENT FLEET OF VEHICLES DURING MISSING PERSONS INVESTIGATIONS AND CERTAIN SEARCH AND RESCUE SITUATIONS. ADDITIONALLY, IT WILL BE USED AS A TRANSPORT VEHICLE FOR COMMUNITY POLICING EVENTS.</t>
  </si>
  <si>
    <t>MAHWAH TWP POLICE DEPT (2YTG6V)</t>
  </si>
  <si>
    <t>2YTG6V60937150</t>
  </si>
  <si>
    <t>TO BE USED BY THIS LEA ONLY. TO BE USED BY THE LEOS OF THIS LEA TO PATROL AND RESPOND TO CALLS IN OUR JURISDICTION AND ASSIST IN SPECIAL OPERATIONS -EMERGENCY SERVICES,  DRONE, TRAFFIC UNITS.</t>
  </si>
  <si>
    <t>NORTH BERGEN POLICE DEPT (2YT1NW)</t>
  </si>
  <si>
    <t>2YT1NW6114JG50</t>
  </si>
  <si>
    <t>2YT1NW60866385</t>
  </si>
  <si>
    <t>FOR THIS LEA ONLY. THE NORTH BERGEN POLICE DEPARTMENT WOULD LIKE TO REQUEST THIS VEHICLE FOR OUR TRAFFIC UNIT. THIS WILL ALLOW US TO DEPLOY TRAFFIC CONTROL DEVICES TO INCREASE COMMUNITY SAFETY. THANK YOU FOR YOUR CONSIDERATION.</t>
  </si>
  <si>
    <t>2YT1NW60866395</t>
  </si>
  <si>
    <t>FOR THIS LEA ONLY. THE NORTH BERGEN POLICE DEPARTMENT WOULD LIKE TO REQUEST THESE COMPUTERS FOR OUR ADMINISTRATIVE SERVICES. THIS WILL ALLOW US TO UPGRADE OUR TECHNOLOGY. THANK YOU FOR YOUR CONSIDERATION.</t>
  </si>
  <si>
    <t>OAKLAND PD (2YT1WQ)</t>
  </si>
  <si>
    <t>2YT1WQ61078355</t>
  </si>
  <si>
    <t>TOOL KIT,AIRCRAFT MAINTENANCE</t>
  </si>
  <si>
    <t>TO BE UTILIZED BY LEOS OF THIS LEA IN THE MAINTENANCE AND REPAIR OF DEPARTMENTAL EQUIPMENT</t>
  </si>
  <si>
    <t>2YT1WQ60866578</t>
  </si>
  <si>
    <t>TO BE UTILIZED BY LEOS OF THIS LEA IN THE REPAIR OF DEPARTMENTAL FIREARMS AND VEHICLES</t>
  </si>
  <si>
    <t>2YT1WQ61078359</t>
  </si>
  <si>
    <t>TO BE UTILIZED BY LEOS OF THIS LEA IN THE RENDERING OF FIRST AID OR SELF AID</t>
  </si>
  <si>
    <t>2YT1WQ61078358</t>
  </si>
  <si>
    <t>2YT1WQ61078357</t>
  </si>
  <si>
    <t>GLOVES,COLD WEATHER</t>
  </si>
  <si>
    <t>TO BE UTILIZED BY LEOS OF THIS LEA AS A WARMING LAYER DURING INCLEMENT WEATHER</t>
  </si>
  <si>
    <t>ORANGE POLICE DEPARTMENT (2YT15D)</t>
  </si>
  <si>
    <t>2YT15D60866262</t>
  </si>
  <si>
    <t>FOR THE USE BY THIS LAW ENFORCEMENT AGENCY, ORANGE POLICE ONLY. THE COMPUTER WORKSTATION WILL REPLACE OUTDATED UNITS CURRENTLY IN SERVICE. THESE UPGRADES WILL SUPPORT MULTIPLE DIVISIONS, INCLUDING COMMUNICATIONS AND IT, BY IMPROVING OPERATIONAL EFFICIENCY, EXPANDING SOFTWARE CAPABILITIES, AND PROVIDING MORE RELIABLE WORKSTATIONS TO SUPPORT DAILY LAW ENFORCEMENT OPERATIONS.</t>
  </si>
  <si>
    <t>2YT15D60866153</t>
  </si>
  <si>
    <t>FOR THE USE BY THIS LAW ENFORCEMENT AGENCY, ORANGE POLICE ONLY. CASES WILL BE PLACED IN VEHICLES TO ENSURE THE SECURE STORAGE AND PROTECTION OF VARIOUS MATERIALS. THESE CASES WILL CONTAIN TOOLS, FIELD PAPERWORK, AND OTHER ESSENTIAL ITEMS REQUIRED FOR INVESTIGATIVE WORK. THE DURABLE AND SECURE DESIGN OF CASES WILL HELP MAINTAIN ORGANIZATION AND PROTECT THE CONTENTS FROM DAMAGE DURING TRANSPORT AND FIELD OPERATIONS.</t>
  </si>
  <si>
    <t>PERTH AMBOY POLICE DEPT (2YTJKN)</t>
  </si>
  <si>
    <t>2YTJKN60937172</t>
  </si>
  <si>
    <t>FOR USE BY THE PERTH AMBOY POLICE DEPARTMENT AS A HIGH WATER RESCUE VEHICLE TO BE DEPLOYED DURING FLOOD CONDITIONS, AND OTHER RESCUE NEEDS AND WILL BE OPERATED BY POLICE OFFICERS.</t>
  </si>
  <si>
    <t>ROSELLE POLICE DEPARTMENT (2YTKFS)</t>
  </si>
  <si>
    <t>2YTKFS61351061</t>
  </si>
  <si>
    <t>FOR USE BY THIS LEA ONLY. THE FOLLOWING CIVILIAN VARIANT VEHICLE WILL DIRECTLY SUPPORT THE ROSELLE POLICE DEPARTMENT WITH IMMEDIATE ON SCENE INCIDENT COMMAND OPERATIONS SUPPORT AND SECURED STORAGE OF RESPONSE EQUIPMENT.</t>
  </si>
  <si>
    <t>2YTKFS61281161</t>
  </si>
  <si>
    <t>DSNOWBLOW</t>
  </si>
  <si>
    <t>SNOW BLOWER</t>
  </si>
  <si>
    <t>FOR USE BY THIS LEA ONLY. TO BE USED BY THE STAFF OF THIS PD TO MAINTAIN POLICE STATION PERSONNEL DOOR AND SALLY PORT OFFICER EGRESS EXCLUSIVELY BY MEMBERS OF THIS LEA ONLY. THIS EMERGENT REQUIREMENT WAS IDENTIFIED DURING THE BLIZZARD OF FEBRUARY 22, 2026 WHEN SNOW REMOVAL WAS DELAYED BEYOND 8 HOURS.</t>
  </si>
  <si>
    <t>2YTKFS61351162</t>
  </si>
  <si>
    <t>FOR USE BY THIS LEA ONLY. THE FOLLOWING TRAILER MOUNTED 5KW DIESEL GENERATOR WILL BE UTILIZED BY THE STAFF OF THIS PD TO SUPPORT EMERGENCY POWER WITHIN THE POLICE HEADQUARTERS DISPATCH OFFICE, AND ON SITE POLICE MOBILE COMMAND POST OPERATIONS.</t>
  </si>
  <si>
    <t>2YTKFS61281160</t>
  </si>
  <si>
    <t>DSPROJEC1</t>
  </si>
  <si>
    <t>PHOTOGRAPHIC PROJECTION EQUIPMENT</t>
  </si>
  <si>
    <t>FOR USE BY THIS LEA ONLY. THE FOLLOWING THREE PROJECTOR SYSTEMS WILL CONCURRENTLY SUPPORT THREE BUREAUS WITHIN THE ROSELLE POLICE DEPARTMENT - 1. COMMUNITY POLICING JUNIOR POLICE ACADEMY, 2.TRAINING DIVISION, AND 3.OPERATIONS. PROJECTS WILL ENHANCE COMMUNICATION EXCLUSIVELY USED BY MEMBERS OF THIS LEA ONLY.</t>
  </si>
  <si>
    <t>SHIP BOTTOM POLICE DEPT (2YTK20)</t>
  </si>
  <si>
    <t>2YTK2061280123</t>
  </si>
  <si>
    <t>THIS VEHICLE WILL BE USED EXCLUSIVELY BY LEOS FROM THIS LEA. THIS VEHICLE WILL BE UTILIZED TO ASSIST OFFICERS TO RESPOND TO EMERGENCIES DURING NATURAL DISASTERS DUE TO THIS AGENCY BEING LOCATED ON AN ISLAND AND SUBJECT TO EXTREME FLOODING.</t>
  </si>
  <si>
    <t>2YTK2061421271</t>
  </si>
  <si>
    <t>THIS ITEM WILL BE USED EXCLUSIVELY BY LEOS FROM THIS LEA. THIS VEHICLE WILL ASSIST LEOS FROM THIS LEA IN RESPONDING TO EMERGENCIES DURING NATURAL DISASTERS AND FLOOD CONDITIONS.</t>
  </si>
  <si>
    <t>UPPER SADDLE RIVER POLICE DEPT (2YTMAP)</t>
  </si>
  <si>
    <t>2YTMAP61078285</t>
  </si>
  <si>
    <t>TRUCK TO BE USED BY UPPER SADDLE RIVER POLICE OFFICERS FOR EMERGENCY RESPONSE, DRUG INTERDICTION AND UNDERCOVER SURVEILLANCE OPERATIONS.</t>
  </si>
  <si>
    <t>2YTMAP61280176</t>
  </si>
  <si>
    <t>SEDAN TO BE USED BY UPPER SADDLE RIVER POLICE OFFICERS FOR DRUG AND CRIMINAL INTERDICTION AND UNDER COVER SURVEILLANCE OPERATIONS.</t>
  </si>
  <si>
    <t>2YTMAP61280175</t>
  </si>
  <si>
    <t>DSSEDAN00</t>
  </si>
  <si>
    <t>SEDAN</t>
  </si>
  <si>
    <t>NV</t>
  </si>
  <si>
    <t>LAS VEGAS METRO POLICE DEPT (2YTGJS)</t>
  </si>
  <si>
    <t>2YTGJS61149884</t>
  </si>
  <si>
    <t>SLING,SMALL ARMS</t>
  </si>
  <si>
    <t>PG</t>
  </si>
  <si>
    <t>ITEMS WOULD BE ISSUED TO OUR PATROL RIFLE CARRIERS ON LAS VEGAS METROPOLITAN POLICE DEPT FOR USE DURING RIFLE DEPLOYMENTS AND TRAINING, CERTIFICATION, AND RANGE QUALIFICATIONS. A SLING IS A REQUIRED ITEM ON LVMPD DUTY RIFLES FOR SAFETY AND SECURITY OF THE RIFLE AND THE OFFICER CARRYING IT.</t>
  </si>
  <si>
    <t>NY</t>
  </si>
  <si>
    <t>ERIE COUNTY SHERIFF OFFICE (2YTDTZ)</t>
  </si>
  <si>
    <t>2YTDTZ61351681</t>
  </si>
  <si>
    <t>THE ECSO HAS 180 SWORN POLICE PERSONNEL ALL WHICH ARE ISSUED A PATROL RIFLE.  THE PATROL RIFLES ARE AR15 PLATFORMS.  THESE RACKS WILL BE USED AT THE ARMORY FOR STORAGE AND AT THE RANGE FOR SAFE RACKING WHILE TRAINING.</t>
  </si>
  <si>
    <t>2YTDTZ61281114</t>
  </si>
  <si>
    <t>LAW ENFORCEMENT FLEET OF OVER 160 VEHICLES WITH ONLY 1 POINT OF MAINTENANCE.  THESE WOULD BE DISPERSED WITHING THE COUNTY SO VEHICLES AND EQUIPMENT CAN WITH TORQUED TO SPECS FOR SAFETY AT MULTIPLE LOCATIONS MAKING IT MORE EFFICIENT</t>
  </si>
  <si>
    <t>2YTDTZ61421671</t>
  </si>
  <si>
    <t>ECSO HAS A VIRTRA SIMULATOR SYSTEM THAT USES SMALL ARMS FOR NON LIVE FIRE TRAINING.  THIS KIT WILL BE USED TO MAINTAIN THE SMALL ARMS FOR THAT SYSTEM PROLONGING THE SERVICE LIFE</t>
  </si>
  <si>
    <t>2YTDTZ61281118</t>
  </si>
  <si>
    <t>LARYNGOSCOPE</t>
  </si>
  <si>
    <t>EC SHERIFF'S OFFICE  MEDICAL RESPONSE UNIT STAFFED WITH POLICE OFFICERS TRAINED AS EMT PARAMEDICS AS RESPONDERS TO FIRST AID UP TO MASS CASUALTY EVENTS.  THIS ITEM WOULD BE USED FOR NOT ONLY ACTIVE CALLS BUT ALSO FOR TRAINING OF CERTIFIED POLICE OFFICERS, WHO DO INTUBATION OF PATIENTS.</t>
  </si>
  <si>
    <t>2YTDTZ61281116</t>
  </si>
  <si>
    <t>ECSO MEDICAL RESPONSE UNIT STAFFED WITH POLICE OFFICERS TRAINED AS EMT PARAMEDICS AS RESPONDERS TO FIRST AID UP TO MASS CASUALTY EVENTS.  THIS ITEM WOULD BE USED FOR NOT ONLY ACTIVE CALLS BUT ALSO FOR TRAINING OF CERTIFIED POLICE OFFICERS WHO DO INTUBATION OF PATIENTS.</t>
  </si>
  <si>
    <t>2YTDTZ61281117</t>
  </si>
  <si>
    <t>2YTDTZ61281119</t>
  </si>
  <si>
    <t>2YTDTZ61351122</t>
  </si>
  <si>
    <t>180 SWORN POLICE AGENCY.  THIS ITEM WILL BE USED TO SUPPLEMENT OFFICERS' RESPONSE BAGS FOR MASS CASUALTY INCIDENTS OR MEDICAL EMERGENCIES.  MEDICAL RESPONSE OFFICERS WILL ALSO USE ITEM FOR TRAINING AND DEPLOYMENT</t>
  </si>
  <si>
    <t>2YTDTZ61421675</t>
  </si>
  <si>
    <t>VEST,SURVIVAL</t>
  </si>
  <si>
    <t>ECSO HAS AN AVIATION DIVISION AND HAS RECENTLY ADDED  5 TACTICAL FLIGHT OFFICERS.  THESE VESTS WOULD BE USED FOR TACTICAL FLIGHT OFFICERS DURING PATROL AND RESCUE OPERATIONS.</t>
  </si>
  <si>
    <t>OLEAN CITY POLICE DEPARTMENT (2YT12Q)</t>
  </si>
  <si>
    <t>2YT12Q60866315</t>
  </si>
  <si>
    <t>THE OLEAN POLICE DEPARTMENT WILL USE THIS FOR OUR EMERGENCY RESPONSE TEAM FOR TRANSPORTATION TO TRAINING AND RESPONSES AS WE DO NOT CURRENTLY HAVE A VEHICLE.</t>
  </si>
  <si>
    <t>ROCHESTER POLICE DEPT (2YTKCC)</t>
  </si>
  <si>
    <t>2YTKCC61219821</t>
  </si>
  <si>
    <t>COMPRESSOR,DIVE TYPE II</t>
  </si>
  <si>
    <t>THE ROCHESTER POLICE DEPARTMENT WILL USE THIS ITEM AS AN AIR SUPPLY SOURCE FOR THE DEPARTMENT DIVE TEAM.</t>
  </si>
  <si>
    <t>SCHUYLER COUNTY SHERIFF OFFICE (2YTKT6)</t>
  </si>
  <si>
    <t>2YTKT661421307</t>
  </si>
  <si>
    <t>TO BE USED BY THE SCHUYLER COUNTY SHERIFF'S OFFICE TO STORE SEARCH AND RESCUE EQUIPMENT AS WE DO NOT HAVE A TRAILER AND CANNOT AFFORD TO PURCHASE ONE.</t>
  </si>
  <si>
    <t>YONKERS POLICE DEPT (2YTNZL)</t>
  </si>
  <si>
    <t>2YTNZL61421249</t>
  </si>
  <si>
    <t>MEMBERS OF THE YONKERS POLICE DEPARTMENT WILL USE THIS TRAILER TO TRANSPORT EQUIPMENT, SUPPLIES AND MOTORCYCLES TO EVENTS.</t>
  </si>
  <si>
    <t>2YTNZL61421248</t>
  </si>
  <si>
    <t>2YTNZL61421255</t>
  </si>
  <si>
    <t>MEMBERS OF THE YONKERS POLICE DEPARTMENT WILL USE THIS ATV TO MOVE OFFICERS AROUND LARGE SCALE EVENTS WHERE A FULL SIZE POLICE CAR CAN'T FIT</t>
  </si>
  <si>
    <t>2YTNZL61421250</t>
  </si>
  <si>
    <t>2YTNZL60937033</t>
  </si>
  <si>
    <t>MEMBERS OF THE YONKERS POLICE DEPARTMENT WILL USE THIS TRACTOR TO PLOW AND LEAVE OUR TRAINING CENTER. ALSO TO TOW EQUIPMENT AROUND THE TRAINING SITE</t>
  </si>
  <si>
    <t>2YTNZL61007578</t>
  </si>
  <si>
    <t>DSLAWNMOW</t>
  </si>
  <si>
    <t>LAWN MOWER</t>
  </si>
  <si>
    <t>MEMBERS OF THE YONKERS POLICE WILL USE THIS LAWN MOWER AT K9 TRAINING FIELD TO KEEP THE GRASS AND WEEDS SHORT. IMPROVING SAFETY FOR THE DOGS AND HANDLERS</t>
  </si>
  <si>
    <t>2YTNZL60938049</t>
  </si>
  <si>
    <t>MEMBERS OF THE YONKERS POLICE DEPARTMENT WILL USE THIS LANDSCAPE RAKE TO RAKE THE VEHICLE EXTRICATION AREA. THIS WILL HELP PICK UP GLASS AND METAL SHARDS THAT COULD CAUSE AN INJURY TO OFFICERS</t>
  </si>
  <si>
    <t>2YTNZL60936909</t>
  </si>
  <si>
    <t>DSHOIST00</t>
  </si>
  <si>
    <t>WINCHES, HOISTS, CRANES, AND DERRICKS</t>
  </si>
  <si>
    <t>MEMBERS OF THE YONKERS POLICE DEPARTMENT WILL USE THIS HOIST TO MOVE AND STABILIZE VEHICLES AT THE SCENE OF CAR ACCIDENTS AND OTHER EMERGENCES</t>
  </si>
  <si>
    <t>2YTNZL60866298</t>
  </si>
  <si>
    <t>COOLER,AIR,EVAPORAT</t>
  </si>
  <si>
    <t>MEMBERS OF THE YONKERS POLICE DEPARTMENT WILL USE THE AIR EVAPORATOR COOLER AT PROLONGED EMERGENCY SCENES DURING HOT WEATHER. IT WILL HELP TO KEEP OFFICERS FROM OVER HEATING</t>
  </si>
  <si>
    <t>2YTNZL61421251</t>
  </si>
  <si>
    <t>MEMBERS OF THE YONKERS POLICE DEPARTMENT WILL USE THIS FAN TO HELP COOL AND MOVE AIR IN OUR TACTICAL TRAINING WAREHOUSE.</t>
  </si>
  <si>
    <t>2YTNZL61421676</t>
  </si>
  <si>
    <t>FLOTATION KIT</t>
  </si>
  <si>
    <t>MEMBERS OF THE YONKERS POLICE DEPARTMENT WILL USE THIS FLOATATION KITS ON YOUR STOKES LITTERS DURING FLOOD EMERGENCY TO HELP MOVE INJURED OR DISABLED PEOPLE THROUGH FLOOD WATERS</t>
  </si>
  <si>
    <t>2YTNZL60866302</t>
  </si>
  <si>
    <t>SAFETY GLASSES,REVI</t>
  </si>
  <si>
    <t>MEMBERS OF THE YONKERS POLICE DEPARTMENT WILL USE THESE SAFETY GLASS TO PROTECT OFFICERS EYES WHILE TRAINING AND DURING EMERGENCIES SCENES</t>
  </si>
  <si>
    <t>2YTNZL61007962</t>
  </si>
  <si>
    <t>DSHEATER0</t>
  </si>
  <si>
    <t>SPACE AND WATER HEATING EQUIPMENT</t>
  </si>
  <si>
    <t>MEMBERS OF THE YONKERS POLICE DEPARTMENT WILL USE THE HEATER TO HEAT THE TRAINING CENTER AND ALSO BE MADE AVAIBLE TO USE AS A HEATING SOURCE AT THE SCENE OF EMERGENCIES DURING COLD WEATHER</t>
  </si>
  <si>
    <t>2YTNZL61007964</t>
  </si>
  <si>
    <t>2YTNZL61007963</t>
  </si>
  <si>
    <t>2YTNZL61007961</t>
  </si>
  <si>
    <t>2YTNZL61007848</t>
  </si>
  <si>
    <t>MEMBERS OF THE YONKERS POLICE DEPARTMENT WILL USE THIS PRESSURE WASHER TO WASH DEPARTMENT VEHICLES AND DECON DEPARTMENT GEAR</t>
  </si>
  <si>
    <t>2YTNZL61007847</t>
  </si>
  <si>
    <t>2YTNZL60937391</t>
  </si>
  <si>
    <t>GRINDER,ELECTRIC,PORTABLE</t>
  </si>
  <si>
    <t>MEMBERS OF THE YONKERS POLICE DEPARTMENT WILL USE THESE GRINDERS TO REPAIR DEPARTMENT EQUIPMENT AND VEHICLES.  OFFICER WILL ALSO USE THESE GRINDERS AT THE SCENE OF EMERGENCIES TO CUT LOCK AND OTHER METAL ITEMS</t>
  </si>
  <si>
    <t>2YTNZL61351254</t>
  </si>
  <si>
    <t>MEMBERS OF THE YONKERS POLICE DEPARTMENT WILL USE THESE TOOLS TO REPAIR DEPARTMENT VEHICLES AND EQUIPMENT.</t>
  </si>
  <si>
    <t>2YTNZL61351256</t>
  </si>
  <si>
    <t>TOOL KIT,ELECTRICIAN'S</t>
  </si>
  <si>
    <t>MEMBERS OF THE YONKERS POLICE DEPARTMENT WILL USE THESE TOOLS TO REPAIR POLICE EQUIPMENT AND VEHICLES</t>
  </si>
  <si>
    <t>2YTNZL61008059</t>
  </si>
  <si>
    <t>DSSPEAKE1</t>
  </si>
  <si>
    <t>SPEAKERS, COMMUNICATIONS, PAIR</t>
  </si>
  <si>
    <t>MEMBERS OF THE YONKERS POLICE DEPARTMENT WILL USE THESE SPEAKERS AT LARGE PUBLIC EVENTS TO MAKE ANNOUNCEMENTS</t>
  </si>
  <si>
    <t>2YTNZL60867202</t>
  </si>
  <si>
    <t>POWER SUPPLY</t>
  </si>
  <si>
    <t>MEMBERS OF THE YONKERS POLICE DEPARTMENT WILL USE THE POWER SUPPLY TO BACK UP DEPARTMENT COMPUTERS AND LAPTOPS</t>
  </si>
  <si>
    <t>2YTNZL61421514</t>
  </si>
  <si>
    <t>MEMBERS OF THE YONKERS POLICE DEPARTMENT WILL USE THESE BINOCULARS TO OBSERVE PEOPLE AT LARGE SCALE EVENTS, PARADES AND OTHER GATHERING. OFFICERS WILL BE ABLE TO SEE ANY POSSIBLE DANGEROUS OR SUSPICIOUS BEHAVIORS</t>
  </si>
  <si>
    <t>2YTNZL61287938</t>
  </si>
  <si>
    <t>ANALYZER,HAZARDOUS</t>
  </si>
  <si>
    <t>MEMBERS OF THE YONKERS POLICE DEPARTMENT WILL USE THE HAZARDOUS MATERIAL ANALYZER AT LARGE SCALE EVENTS TO MONITOR AIR SAMPLES</t>
  </si>
  <si>
    <t>2YTNZL61351252</t>
  </si>
  <si>
    <t>MEMBERS OF THE YONKERS POLICE DEPARTMENT WILL USE THIS TRAINING MANNEQUIN TO HELP TRAIN FOR MEDICAL EMERGENCES</t>
  </si>
  <si>
    <t>2YTNZL61007926</t>
  </si>
  <si>
    <t>COT,FOLDING</t>
  </si>
  <si>
    <t>MEMBERS OF THE YONKERS DEPARTMENT WILL USE THESE COTS TO HAVE OFFICERS SLEEP ON DURING WEATHER AND OTHER STATE OF EMERGENCY</t>
  </si>
  <si>
    <t>2YTNZL61007928</t>
  </si>
  <si>
    <t>2YTNZL61007917</t>
  </si>
  <si>
    <t>2YTNZL61007916</t>
  </si>
  <si>
    <t>2YTNZL61007920</t>
  </si>
  <si>
    <t>2YTNZL61007923</t>
  </si>
  <si>
    <t>2YTNZL61007924</t>
  </si>
  <si>
    <t>2YTNZL61007925</t>
  </si>
  <si>
    <t>2YTNZL61007921</t>
  </si>
  <si>
    <t>2YTNZL61007922</t>
  </si>
  <si>
    <t>2YTNZL61007854</t>
  </si>
  <si>
    <t>MEMBERS OF THE YONKERS POLICE DEPARTMENT SNIPER TEAM WILL USE THESE LINERS TO PROTECT THEMSELVES AND THEIR GEAR DURING OPERATIONS</t>
  </si>
  <si>
    <t>2YTNZL61007851</t>
  </si>
  <si>
    <t>MEMBERS OF THE YONKERS POLICED DEPARTMENT SNIPER TEAM WILL USE THE LINER TO LAY ON AND PROTECT THEIR GEAR WHILE OPERATING IN A WOODED AREA</t>
  </si>
  <si>
    <t>2YTNZL61421936</t>
  </si>
  <si>
    <t>MEMBERS OF THE YONKERS POLICE DEPARTMENT SNIPER TEAM WILL USE THESE SHIRTS DURING COLD WEATHER TO HELP KEEP THEM WARM WHILE WORKING</t>
  </si>
  <si>
    <t>2YTNZL60866404</t>
  </si>
  <si>
    <t>BOOTS,SAFETY,MEN'S</t>
  </si>
  <si>
    <t>MEMBERS OF THE YONKERS POLICE DEPARTMENT WILL USE THESE BOOTS DURING EMERGENCIES TO PROTECT THEIR FEET AND TOES FROM INJURY</t>
  </si>
  <si>
    <t>2YTNZL60796067</t>
  </si>
  <si>
    <t>MEMBERS OF THE POLICE DEPARTMENT WILL USE THESE BOOTS AROUND CRIME SCENE TO PROTECT THEIR FEET AND TO KEEP FROM SLIPPING AND FALLING</t>
  </si>
  <si>
    <t>2YTNZL61351253</t>
  </si>
  <si>
    <t>MEMBERS OF THE YONKERS POLICE DEPARTMENT WILL USE THESE SHOES WHILE WEARING THEIR DRESS UNIFORMS FOR PARADES AND OTHER SPECIAL OCCASIONS</t>
  </si>
  <si>
    <t>2YTNZL60796069</t>
  </si>
  <si>
    <t>MEMBERS OF THE YONKERS POLICE DEPARTMENT WILL USE THESE SLEEPING BAGS DURING EMERGENCIES WHEN HAVE TO STAY OVER AT WORK FOR AN EXTENDED PERIOD OF TIME</t>
  </si>
  <si>
    <t>OH</t>
  </si>
  <si>
    <t>ASHTABULA POLICE DEPT (2YTA07)</t>
  </si>
  <si>
    <t>2YTA0761148970</t>
  </si>
  <si>
    <t>CARTRIDGE,ELECTRICA</t>
  </si>
  <si>
    <t>THE DEPARTMENT UTILIZES CONDUCTED ENERGY WEAPONS AS A CRITICAL LESS-LETHAL OPTION. TO ENSURE CONTINUED OPERATIONAL READINESS, AN ADEQUATE SUPPLY OF COMPATIBLE CARTRIDGES IS REQUIRED FOR BOTH DEPLOYMENT AND REQUIRED TRAINING. EXISTING INVENTORY IS LIMITED DUE TO REGULAR USE AND EXPIRATION. OUR CURRENT SUPPLY IS LESS THAN 20.  ACQUIRING ADDITIONAL CARTRIDGES THROUGH THE SURPLUS PROGRAM WILL SUPPORT SAFE, EFFECTIVE USE-OF-FORCE PRACTICES AND PROPER OFFICER TRAINING.</t>
  </si>
  <si>
    <t>2YTA0761078665</t>
  </si>
  <si>
    <t>THE DEPARTMENT CURRENTLY DEPLOYS CONDUCTED ENERGY WEAPONS AS A LESS-LETHAL OPTION TO SAFELY RESOLVE INCIDENTS AND REDUCE THE RISK OF INJURY TO OFFICERS AND THE PUBLIC. SEVERAL EXISTING UNITS ARE DAMAGED OR NO LONGER SERVICEABLE. ACQUIRING FIVE REPLACEMENT TASERS THROUGH THE SURPLUS PROGRAM WILL MAINTAIN OPERATIONAL READINESS, ENSURE ADEQUATE EQUIPMENT FOR PATROL OFFICERS, AND SUPPORT SAFE, EFFECTIVE USE-OF-FORCE PRACTICES.</t>
  </si>
  <si>
    <t>2YTA0761703504</t>
  </si>
  <si>
    <t>TRUCK,HAND</t>
  </si>
  <si>
    <t>OUR AGENCY RECENTLY ACQUIRED 20 BALLISTIC SHIELDS COMPATIBLE WITH THESE CARTS.  THESE WILL BE USED AS A REGIONAL RESOURCE AS OUR AGENCY HOSTS A REGIONAL SWAT TEAM.  THEY WILL ALSO BE INTEGRATED INTO OUR ACTIVE THREAT TRAINING PLAN AS WELL AS A RESOURCE FOR SCHOOL THREATS.</t>
  </si>
  <si>
    <t>2YTA0761288097</t>
  </si>
  <si>
    <t>SHIELD,PERSONAL PROTECTIVE</t>
  </si>
  <si>
    <t>THESE SHIELDS ARE ESSENTIAL TO IMPROVING OFFICER AND CIVILIAN SAFETY DURING HIGH-RISK INCIDENTS,ACTIVE SHOOTER EVENTS,BARRICADED SUSPECTS,AND HIGH-RISK WARRANT SERVICE. SHIELDS ALLOW OFFICERS TO APPROACH THREATS, RESCUE VICTIMS, AND ESTABLISH CONTROL IN VOLATILE ENVIRONMENTS. THEY WILL SUPPORT REGIONAL SWAT AND MUTUAL AID RESPONSES, ENHANCING OUR ABILITY TO PREVENT, PREPARE FOR, MITIGATE, AND RESPOND TO CRITICAL INCIDENTS ACROSS JURISDICTIONS. 20 SHIELDS WILL PUT 1 IN EVERY MARKED PATROL CAR.</t>
  </si>
  <si>
    <t>AUGLAIZE COUNTY SHERIFF'S OFFICE (2YTPFN)</t>
  </si>
  <si>
    <t>2YTPFN61078792</t>
  </si>
  <si>
    <t>TO BE USED BY OUR SNIPER TEAM FOR THEM TO BECOME MORE PROFICIENT. THEY WOULD BE ISSUED TO EACH MEMBER TO BE USED ONLY FOR OFFICIAL DUTIES. THEY WOULD BE SECURED IN A SECURE LOCATION WHEN NOT IN USE.</t>
  </si>
  <si>
    <t>BREWSTER POLICE DEPT (2YTPF0)</t>
  </si>
  <si>
    <t>2YTPF061562900</t>
  </si>
  <si>
    <t>HANDGUARD,UPPER</t>
  </si>
  <si>
    <t>BREWSTER POLICE WILL USE TO UPGRADE OUR CURRENT WEAPONS.</t>
  </si>
  <si>
    <t>2YTPF061562899</t>
  </si>
  <si>
    <t>FIRING ATTACHMENT,BLANK AMMUNITION</t>
  </si>
  <si>
    <t>BREWSTER POLICE WILL USE THIS FOR TRAINING</t>
  </si>
  <si>
    <t>CLARK CTY SHERIFF DEPT (2YTCFQ)</t>
  </si>
  <si>
    <t>2YTCFQ61421477</t>
  </si>
  <si>
    <t>TRAINING USED FOR FIRST AID, TESTING, AND SCENARIO BASED TRAINING.</t>
  </si>
  <si>
    <t>DOJ/FBI CLEVELAND DIV (2YTMRH)</t>
  </si>
  <si>
    <t>2YTMRH60584099</t>
  </si>
  <si>
    <t>REQUEST FOR SHIRTS FOR FBI CLEVELAND PERSONNEL. WOULD BE USED AND ISSUED TO ACTIVE MEMBERS OF OPERATION AND TRAINING.</t>
  </si>
  <si>
    <t>FAIRFIELD COUNTY SHERIFFS OFFICE (2YTDXH)</t>
  </si>
  <si>
    <t>2YTDXH61351111</t>
  </si>
  <si>
    <t>FOR FCSO SWAT USE AT THE TRAINING FACILITY AND COMPLEX TO SET UP FOR SCENARIOS FOR TRAINING REGARDING HIGH RISK MISSIONS AND OPERATIONS</t>
  </si>
  <si>
    <t>2YTDXH61563212</t>
  </si>
  <si>
    <t>SHIPPING AND STORAGE CONTAINER,MISCELLAN</t>
  </si>
  <si>
    <t>FOR USE BY FCSO OFFICERS IN STORING SENSITIVE EQUIPMENT</t>
  </si>
  <si>
    <t>2YTDXH60793303</t>
  </si>
  <si>
    <t>CAPABILITIES SET,NO</t>
  </si>
  <si>
    <t>FOR USE BY FCSO SWAT AND PATROL OFFICERS IN LESS LETHAL LAW ENFORCEMENT OPERATIONS</t>
  </si>
  <si>
    <t>2YTDXH61491950</t>
  </si>
  <si>
    <t>FOR USE BY FCSO COMMUNICATIONS OFFICERS IN REMOTE TACTICAL COMMUNICATIONS DURING CRITICAL INCIDENTS AND NATURAL DISASTERS</t>
  </si>
  <si>
    <t>2YTDXH61491948</t>
  </si>
  <si>
    <t>2YTDXH61491945</t>
  </si>
  <si>
    <t>FOR USE BY FCSO DIVE RESCUE OFFICERS IN CONDUCTING DIVE RESCUE OPS</t>
  </si>
  <si>
    <t>2YTDXH60795737</t>
  </si>
  <si>
    <t>CONTAINER,20 FT ISO</t>
  </si>
  <si>
    <t>FOR USE BY FCSO OFFICERS AS TRAINING AND STORAGE AT OUR ACADEMY FACILITY</t>
  </si>
  <si>
    <t>2YTDXH61351109</t>
  </si>
  <si>
    <t>FOR USE OF FCSO RANGE AND TRAINING COMPLEX TO USE WITH EQUIPMENT THAT WAS PREVIOUSLY GOT FROM DRMO. FOR MAINTAIN RANGE AND TRAINING COMPLEX</t>
  </si>
  <si>
    <t>2YTDXH61008520</t>
  </si>
  <si>
    <t>DSSHELTER</t>
  </si>
  <si>
    <t>RIGID WALL SHELTERS</t>
  </si>
  <si>
    <t>FOR USE BY FCSO SWAT AND TRAINING OFFICERS AS STORAGE AND TRAINING STRUCTURES AT ACADEMY, HOSTAGE AND CRIMES SCENE SCENARIO TRAINING</t>
  </si>
  <si>
    <t>2YTDXH6161JG10</t>
  </si>
  <si>
    <t>FLOODLIGHT SET,ELECTRIC</t>
  </si>
  <si>
    <t>2YTDXH61280650</t>
  </si>
  <si>
    <t>FOR USE BY INDIVIDUAL FAIRFIELD COUNTY SHERIFF SWAT DEPUTIES FOR USE TO HOLD MEDICAL EQUIPMENT FOR LIFE SAVING EQUIPMENT MEASURES THAT MAYBE NEEDED DURING HIGH RISK SWAT DRUG WARRANTS AND SEARCH AND RESCUE MISSIONS</t>
  </si>
  <si>
    <t>2YTDXH61281105</t>
  </si>
  <si>
    <t>DSATHSPTP</t>
  </si>
  <si>
    <t>ATHLETIC AND SPORTING EQUIPMENT IN PAIR</t>
  </si>
  <si>
    <t>FOR USE BY INDIVIDUAL USE BY FCSO SWAT DEPUTIES FOR READINESS AND FITNESS</t>
  </si>
  <si>
    <t>2YTDXH61281106</t>
  </si>
  <si>
    <t>FOR INDIVIDUAL USE BY SWAT DEPUTIES FOR FITNESS AND READINESS FOR INTENSE OPERATIONS OR DEMANDING OPERATIONS</t>
  </si>
  <si>
    <t>2YTDXH61280648</t>
  </si>
  <si>
    <t>CAP,WORKING, WOODLAND</t>
  </si>
  <si>
    <t>FOR USE BY INDIVIDUAL FAIRFIELD COUNTY SHERIFFS DEPUTIES FOR USE IN RURAL HOSTAGE RESCUE AND EVEIDNECE RECOVERY MISSIONS TO KEEP HEAD COOL AND SAFE</t>
  </si>
  <si>
    <t>2YTDXH61351467</t>
  </si>
  <si>
    <t>FOR USE BY FCSO SWAT AND PATROL OFFICERS DURING INCLEMENT WEATHER RURAL SAFETY OPERATIONS</t>
  </si>
  <si>
    <t>2YTDXH61280646</t>
  </si>
  <si>
    <t>FOR USE BY INDIVIDUAL FAIRIFELD COUNTY SHERIFF SWAT DEPUTIES FOR USE DURING COLD WEATHER SEARCH AND RESCUE MISSIONS AND HIGH RISK DRUG SEARCH WARRANTS</t>
  </si>
  <si>
    <t>2YTDXH61280649</t>
  </si>
  <si>
    <t>FOR USE BY INDIVUDAL FAIRFIELD COUNTY SHERIFFS DEPUTIES AND SWAT DEPUTIES TO STORE EQUIPMENT FOR READINESS FOR BEING ACTIVATED FOR HIGH RISK SWAT WARRANTS, DRUG WARRANTS, AND SEARCH AND RESCUE MISSIONS</t>
  </si>
  <si>
    <t>2YTDXH61563211</t>
  </si>
  <si>
    <t>DSCASECAR</t>
  </si>
  <si>
    <t>INDIVIDUAL CASE</t>
  </si>
  <si>
    <t>FOR USE BY FCSO OFFICERS IN CARRYING AND STORING SENSITIVE LAW ENFEORCMENT EQUIPMENT</t>
  </si>
  <si>
    <t>2YTDXH61281104</t>
  </si>
  <si>
    <t>FOR FCSO SWAT DEPUTIES IN THE FIELD WHILE CONDUCTING EXTENDED MISSIONS FOR MISSING PERSONS OR DRUG RELATED MISSIONS</t>
  </si>
  <si>
    <t>2YTDXH61351112</t>
  </si>
  <si>
    <t>FOR INDIVIDUAL USE FOR FCSO SWAT MEMBERS FOR OVERNIGHT OPERATIONS FOR MISSING PERSONS AND DRUG RAIDS.</t>
  </si>
  <si>
    <t>FRANKLIN COUNTY SHERIFF OFFICE (2YTEA4)</t>
  </si>
  <si>
    <t>2YTEA460443414</t>
  </si>
  <si>
    <t>WE ARE A PUBLIC SAFETY BOMB SQUAD AND THIS TYPE OF ROBOT WILL BE USED DURING DAILY OPERATIONS. THIS SYSTEM IS NEEDED TO SUPPORT ONE OF OUR THREE TRUCKS THAT WE RUN TO COVER RESPOND TO EXPLOSIVE THREATS IN 36 OF THE 88 COUNTIES IN OHIO.</t>
  </si>
  <si>
    <t>2YTEA460934424</t>
  </si>
  <si>
    <t>WE ARE A PUBLIC SAFETY BOMB SQUAD AND THIS ITEM WILL BE USED DURING DAILY OPERATIONS.</t>
  </si>
  <si>
    <t>2YTEA460723416</t>
  </si>
  <si>
    <t>WE ARE A PUBLIC SAFETY BOMB SQUAD AND CURRENTLY DO NOT HAVE A TCV. THIS WOULD BE USED DURING OUR CALLS TO SERVICE IN THE 36 OF THE 88 COUNTIES THAT WE COVER IN OHIO. THIS EQUIPMENT WOULD BE GREATLY BENEFICIAL.</t>
  </si>
  <si>
    <t>FULTON CTY SHERIFF DEPT (2YTEED)</t>
  </si>
  <si>
    <t>2YTEED61069186</t>
  </si>
  <si>
    <t>THE FULTON COUNTY SHERIFF'S OFFICE IS REQUESTING THIS TRAILER SO WE CAN USE IT TOM TRANSPORT EMERGENCY GEAR TO AND FROM SCENES.</t>
  </si>
  <si>
    <t>2YTEED61422288</t>
  </si>
  <si>
    <t>THE FULTON COUNTY SHERIFFS OFFICE IS REQUESTING THIS TRAILER SO WE CAN HAUL ESSENTIAL EQUIPMENT FOR SRT TEAM TO EMERGENCY SCENES.</t>
  </si>
  <si>
    <t>2YTEED61492223</t>
  </si>
  <si>
    <t>THE FULTON COUNTY SHERIFFS OFFICE IS REQUESTING THIS COMMUNICATION TRAILER SO WE CAN USE IT AS A DEPLOYABLE TOWER FOR EMERGENCY SITUATIONS. THIS WILL ALLOW COMMUNICATION IF OUR MAIN TOWER GOES DOWN.</t>
  </si>
  <si>
    <t>2YTEED61491815</t>
  </si>
  <si>
    <t>THE FULTON COUNTY SHERIFFS OFFICE IS REQUESTING THIS TRAILER SO WE CAN USE THE COMMUNICATION TOWER FOR EMERGENCY OPERATIONS. THIS WILL PROVIDE EXTENSION OF COMMUNICATIONS</t>
  </si>
  <si>
    <t>2YTEED61069188</t>
  </si>
  <si>
    <t>2YTEED60936939</t>
  </si>
  <si>
    <t>THE FULTON COUNTY SHERIFFS OFFICE IS REQUESTING THIS TRACTOR SO WE CAN USE IT TO HELP MAINTAIN OUR OUTDOOR TRAINING AREA.</t>
  </si>
  <si>
    <t>2YTEED61350673</t>
  </si>
  <si>
    <t>THE FULTON COUNTY SHERIFFS OFFICE IS REQUESTING THIS KUBOTA TRACTOR SO WE CAN USE IT WITH ATTACHMENTS TO MAINTAIN OUR OUTDOOR RANGE, ALONG WITH OUR IMPOUND PARKING LOT.</t>
  </si>
  <si>
    <t>2YTEED60936934</t>
  </si>
  <si>
    <t>THE FULTON COUNTY SHERIFFS OFFICE IS REQUESTING THIS EXCAVATOR SO WE CAN USED IT TO MAINTAIN AND BUILD OUR SHOOTING RANGE AND OUTDOOR TRAINING AREA</t>
  </si>
  <si>
    <t>2YTEED61351470</t>
  </si>
  <si>
    <t>THE FULTON COUNTY SHERIFFS OFFICE IS REQUESTING THIS SNOW BLADE SO WE CAN USE IT TO CLEAR OUR PARKING LOT AND IMPOUND LOT TO ALLOW DEPUTIES ACCESS DURING SNOW.</t>
  </si>
  <si>
    <t>2YTEED61350695</t>
  </si>
  <si>
    <t>THE FULTON COUNTY SHERIFFS OFFICE IS REQUESTING THIS ITEM SO WE CAN USE IT TO MAINTAIN OUR IMPOUND LOT AND OUTDOOR SHOOTING RANGE</t>
  </si>
  <si>
    <t>2YTEED61491813</t>
  </si>
  <si>
    <t>THE FULTON COUNTY SHERIFFS OFFICE IS REQUESTING THIS FORK LIFT SO WE CAN USE IT TO MOVE LARGE EVIDENCE AND ITEMS AROUND THE OFFICE IMPOUND LOT</t>
  </si>
  <si>
    <t>2YTEED61219740</t>
  </si>
  <si>
    <t>THE FULTON COUNTY SHERIFFS OFFICE IS REQUESTING THESE PUBLIC ADDRESS SETS SO OUR OFFICE CAN USE THEM WITH OUR SPECIAL RESPONSE TEAM. THESE WILL ALLOW COMMUNICATIONS TO BE ESTABLISHED ON SCENE DURING EMERGENCIES</t>
  </si>
  <si>
    <t>2YTEED61148827</t>
  </si>
  <si>
    <t>THE FULTON COUNTY SHERIFFS OFFICE IS REQUESTING THESE PUBLIC ADDRESS SETS SO DEPUTIES CAN USE THE DURING EMERGENCY OPERATIONS. THESE WILL PROVIDE OUR SRT TEAM WITH POPPER COMMUNICATION CAPABILITIES DURING ACTIVE SCENES.</t>
  </si>
  <si>
    <t>2YTEED61007531</t>
  </si>
  <si>
    <t>THE FULTON COUNTY SHERIFFS OFFICE IS REQUESTING THESE SMALL GENERATORS SO WE CAN USE THEM FOR EMERGENCY OPERATIONS. THESE WILL BE ABLE TO BE PLACED ON VARIOUS VEHICLES AND PROVIDE PORTABLE POWER WHEN NEEDED</t>
  </si>
  <si>
    <t>2YTEED61271152</t>
  </si>
  <si>
    <t>METAL DETECTOR</t>
  </si>
  <si>
    <t>THE FULTON COUNTY SHERIFFS OFFICE IS REQUESTING THESE METAL DETECTORS SO DEPUTIES CAN USE THEM TO SEARCH AND LOCATE PROPERTY IN RURAL AREAS</t>
  </si>
  <si>
    <t>2YTEED61007564</t>
  </si>
  <si>
    <t>THE FULTON COUNTY SHERIFFS OFFICE IS REQUESTING THIS ITEM SO IT CAN BE USED BY OUR SPECIAL RESPONSE TEAM. THIS WILL PROVIDE COVER TO OUR MARKSMAN</t>
  </si>
  <si>
    <t>2YTEED61271153</t>
  </si>
  <si>
    <t>PADS,TACTICAL PROTECTIVE,ASSAULT</t>
  </si>
  <si>
    <t>THE FULTON COUNTY SHERIFFS OFFICE IS REQUESTING THESE PADS SO DEPUTIES CAN USE THEM WITH THEIR TACTICAL PANTS</t>
  </si>
  <si>
    <t>GEORGETOWN PD (2YTEJX)</t>
  </si>
  <si>
    <t>2YTEJX61008424</t>
  </si>
  <si>
    <t>RACK, STORAGE, SMALL ARMS</t>
  </si>
  <si>
    <t>THIS STORAGE CABINET WILL BE USED FOR SECURE STORAGE OF SENSITIVE ITEMS AND EQUIPMENT</t>
  </si>
  <si>
    <t>2YTEJX61078383</t>
  </si>
  <si>
    <t>THIS TRUCK WILL BE USED BY THE POLICE DEPARTMENT AS A TRANSPORT VEHICLE FOR THE DRONE UNIT.</t>
  </si>
  <si>
    <t>2YTEJX61078493</t>
  </si>
  <si>
    <t>THIS CAR WILL BE USED BE THE POLICE DEPARTMENT AS A UNMARKED UNDER COVER VEHICLE FOR SURVIELANCE AND PLAIN CLOTHES POLICE OPERATIONS.</t>
  </si>
  <si>
    <t>2YTEJX61078382</t>
  </si>
  <si>
    <t>THIS ITEM WILL BE USED BY THE POLICE DEPARTMENT TO TRANSPORT EQUIPMENT AND SUPPLIES IN SUPPORT OF POLICE OPERATIONS FOR DRONE OPERATIONS AND CRIME SCENES.</t>
  </si>
  <si>
    <t>2YTEJX61704090</t>
  </si>
  <si>
    <t>THIS ITEM WILL BE USED BY POLICE OFFICERS TO PATROL RURAL AREAS AND DURING THE COUNTY FAIR TO ALLOW FOR BETTER AND FASTER RESPONSE DURING HEAVY TRAFFIC PERIODS.</t>
  </si>
  <si>
    <t>2YTEJX61281028</t>
  </si>
  <si>
    <t>DSANIMPEN</t>
  </si>
  <si>
    <t>ANIMAL PEN/CAGE</t>
  </si>
  <si>
    <t>THIS ITEM WILL BE USED BY THE POLICE DEPARTMENT AS A PORTABLE POLICE K9 KENNEL WITH THE K9 PROGRAM DURING OFFICIAL DUTIES.</t>
  </si>
  <si>
    <t>2YTEJX61219418</t>
  </si>
  <si>
    <t>THIS ITEM WILL BE USED TO CLEAR THE SIDEWALKS, DRIVEWAYS AND PARKING LOT OF THE POLICE DEPARTMENT IN ORDER TO IMPROVE SAFTEY AND INCEASE POLICE EFFECTIVMENSS DURING SNOWY WEATHER CONDITIONS.</t>
  </si>
  <si>
    <t>2YTEJX61280361</t>
  </si>
  <si>
    <t>THESE ITEMS WILL BE PLACE INTO ALL POLICE VEHICLE FOR USE IN FORCIBLE ENTRY USES.</t>
  </si>
  <si>
    <t>2YTEJX60937867</t>
  </si>
  <si>
    <t>FLOORING SHEET,MODULAR</t>
  </si>
  <si>
    <t>THESE WILL BE USED BY THE POLICE DEPARTMENT IN OUR GARAGE TO PARK VEHICLES ON THE PREVENT OIL AND WATER FROM DAMAGING THE FACILITY.</t>
  </si>
  <si>
    <t>2YTEJX61562687</t>
  </si>
  <si>
    <t>THIS ITEM WILL BE USED TO SEND INFORMATION TO THE PUBLIC DURING EMERGENCY EVENTS AND OTHER COMMUNITY EVENTS TO INCREASE SAFTEY AND EFFIECENCY OF POLICE DEPARTMENT ACTIVIES.</t>
  </si>
  <si>
    <t>2YTEJX61007879</t>
  </si>
  <si>
    <t>THIS ITEM WILL BE USED BY THE POLICE DEPARTMENT TO PROVIDE POWER AT THE POLICE DEPARTMENT DURING WEATHER RELATED EMERGENCIES TO SUPPORT POLICE FUNCTIONS.</t>
  </si>
  <si>
    <t>2YTEJX61007880</t>
  </si>
  <si>
    <t>THIS ITEM WILL BE USED BY THE POLICE DEPARTMENT TO PROVIDE POWER AT OUR TRAINING RANGE PROJECT.</t>
  </si>
  <si>
    <t>2YTEJX61350926</t>
  </si>
  <si>
    <t>DSFLASHLA</t>
  </si>
  <si>
    <t>FLASHLIGHTS AND RELATED EQUIPMENT</t>
  </si>
  <si>
    <t>THESE ITEMS WILL BE USED BY THE POLICE DEPARTMENT AS LIGHTING TOOLS FOR CRIME SCENSE, EMERGENCY INCIDENTS, TRAINING EVENST AND ALL OTHER POLICE FUNCTIONS WHICH REQUIRE  LIGHTING.</t>
  </si>
  <si>
    <t>2YTEJX61078423</t>
  </si>
  <si>
    <t>THIS LIGHT FIXTURE WILL BE USED BY THE POLICE DEPARTMENT FOR MULTIPLE PURPOSES IN SUPPORT OF POLICE OPERATIONS.</t>
  </si>
  <si>
    <t>2YTEJX60866494</t>
  </si>
  <si>
    <t>DSCHAIR02</t>
  </si>
  <si>
    <t>CHAIR, OFFICE</t>
  </si>
  <si>
    <t>THESE CHAIRS WILL BE USED TO REPLACE THE POLICE DEPARTMENT OFFICE CHAIRS.</t>
  </si>
  <si>
    <t>2YTEJX60866496</t>
  </si>
  <si>
    <t>2YTEJX61350838</t>
  </si>
  <si>
    <t>THESE ITEMS WILL BE USED BY THE POLICE TRAINING UNIT FOR INSERVICE TRAINING FUNCTIONS. THIS WILL INCREASE OFFICER AND PUBLIC SAFTEY BY INCREASING OFFICER SKILLS.</t>
  </si>
  <si>
    <t>2YTEJX61633265</t>
  </si>
  <si>
    <t>THIS ITEM WILL BE USED BY THE POLICE DEPARTMENT AT COMMUNITY EVENTS AS A POSITIVE INTERACTION OPPORTUNITY TO IMPROVE COMMUNITY RELATIONS.</t>
  </si>
  <si>
    <t>HUBBARD POLICE DEPT (2YTFK7)</t>
  </si>
  <si>
    <t>2YTFK761563262</t>
  </si>
  <si>
    <t>WOULD BE USED TO SECURE HUBBARD POLICE DEPARTMENT WEAPONS IN THE POLICE DEPARTMENT ARMORY.</t>
  </si>
  <si>
    <t>2YTFK761563263</t>
  </si>
  <si>
    <t>BAG,RADIO,CARRIER</t>
  </si>
  <si>
    <t>WOULD BE USED BY HUBBARD POLICE OFFICERS TO HOLD THEIR RADIO ON THEIR RIFLE PLATE CARRIER WHEN RESPONDING TO HIGH RISK CALLS.</t>
  </si>
  <si>
    <t>MONTVILLE POLICE DEPT (2YTHZ8)</t>
  </si>
  <si>
    <t>2YTHZ861008341</t>
  </si>
  <si>
    <t>DSSAWFILE</t>
  </si>
  <si>
    <t>SAWS AND FILING MACHINES</t>
  </si>
  <si>
    <t>FOR POLICE USE IN MAINTAINING AND REPAIRING EQUIPMENT.</t>
  </si>
  <si>
    <t>2YTHZ861008342</t>
  </si>
  <si>
    <t>DSSAW0002</t>
  </si>
  <si>
    <t>SAW, POWER</t>
  </si>
  <si>
    <t>FOR POLICE USE IN REPAIRING AND MAINTAINING EQUIPMENT.</t>
  </si>
  <si>
    <t>2YTHZ861280188</t>
  </si>
  <si>
    <t>FOR POLICE USE IN POWERING MISSION ESSENTIAL EQUIPMENT WHEN ON SCENE WITHOUT ACCESS TO LOCAL POWER GRIDS.</t>
  </si>
  <si>
    <t>2YTHZ861280187</t>
  </si>
  <si>
    <t>FOR POLICE USE IN POWERING MISSION ESSENTIAL EQUIPMENT WHEN ON SCENE AND WITHOUT ACCESS TO A STABILE POWER GRID.</t>
  </si>
  <si>
    <t>2YTHZ861078958</t>
  </si>
  <si>
    <t>FOR POLICE USE IN OBSERVING INDIVIDUALS FROM AFAR.</t>
  </si>
  <si>
    <t>2YTHZ861210664</t>
  </si>
  <si>
    <t>FOR POLICE USE IN GIVING WARM OPTIONS TO THOSE INVOLVED IN MOTOR VEHICLE ACCIDENTS WHEN COLD WEATHER ARISES.</t>
  </si>
  <si>
    <t>2YTHZ861280189</t>
  </si>
  <si>
    <t>FOR POLICE USE IN MAINTAINING FITNESS LEVELS.</t>
  </si>
  <si>
    <t>2YTHZ861280867</t>
  </si>
  <si>
    <t>FOR POLICE USE IN COMMUNITY OUTREACH THROUGH RECREATION.</t>
  </si>
  <si>
    <t>2YTHZ861210662</t>
  </si>
  <si>
    <t>FOR POLICE USE IN CONJUNCTION WITH PONCHOS DURING COLD AND WET CLIMATE TO KEEP PERSONNEL WARM AND DRY SIMULTANEOUSLY.</t>
  </si>
  <si>
    <t>2YTHZ861008340</t>
  </si>
  <si>
    <t>FOR POLICE USE IN KEEPING PERSONNEL DRY DURING INCLEMENT WEATHER.</t>
  </si>
  <si>
    <t>2YTHZ861078955</t>
  </si>
  <si>
    <t>FOR POLICE USE IN PROTECTING OFFICERS FEET DURING OPERATIONS.</t>
  </si>
  <si>
    <t>2YTHZ861078957</t>
  </si>
  <si>
    <t>MOUNT ORAB POLICE DEPT (2YTH5S)</t>
  </si>
  <si>
    <t>2YTH5S61219711</t>
  </si>
  <si>
    <t>THE MT. ORAB POLICE DEPARTMENT WOULD LIKE TO ACQUIRE THIS DUMP TRUCK. WE HAVE CONTINUED TO MOVE DIRT AND GRAVEL TO OUR OUTDOOR RANGE, TO CONTINUE EXPANDING IT. WE CURRENTLY HAVE TO PAY A 3RD PARTY TO MOVE THESE MATERIALS. THIS WOULD ALLOW US TO USE OUR OWN TRUCK AND OFF DUTY OFFICER TO SAVE A LARGE AMOUNT. THIS WOULD ALSO BE ABLE TO HAUL OUR EQUIPMENT TRAILER THAT COULD MOVE OUR DOZER TO AND FROM THE RANGE AS NEEDED.</t>
  </si>
  <si>
    <t>2YTH5S61280073</t>
  </si>
  <si>
    <t>THE MT. ORAB POLICE DEPARTMENT WOULD LIKE TO ACQUIRE THIS BOX TRUCK. WE WOULD UTILIZE THIS AS A TRANSPORT VEHICLE FOR OUR SRT TEAM TO SCENES. WITH THE AC UNIT, THIS WOULD HELP KEEPING THE TEAM COOL IN THE SUMMER AND PROVIDE A LARGE AMOUNT OF ROOM FOR GEAR.</t>
  </si>
  <si>
    <t>2YTH5S61703441</t>
  </si>
  <si>
    <t>THE MT. ORAB POLICE DEPARTMENT WOULD LIKE TO ACQUIRE THIS 6 WHEELED UTV. WE WOULD UTILIZE THIS AT OUR OUTDOOR RANGE TO TRANSPORT TARGETS AND EQUIPMENT BACK AND FORTH. WITH OUR RANGE BEING 300 YARDS LONG, THIS WOULD BE A GREAT ADDITION.</t>
  </si>
  <si>
    <t>2YTH5S61492084</t>
  </si>
  <si>
    <t>THE MT. ORAB POLICE DEPARTMENT WOULD LIKE TO ACQUIRE THIS SKID STEER ATTACHMENT. WE WOULD UTILIZE THIS GRABBER TO HELP MAINTAIN OUR OUTDOOR RANGE BUT CLEARING TREES FROM THE ROOTS AND CLEARING MORE SECTIONS FOR FUTURE EXPANSION.</t>
  </si>
  <si>
    <t>2YTH5S60937984</t>
  </si>
  <si>
    <t>THE MT. ORAB POLICE DEPARTMENT WOULD LIKE TO ACQUIRE THIS SKID STEER ATTACHMENTS. WE WILL BE ADDING A FENCE ROW AT OUR OUTDOOR RANGE THIS YEAR AND THIS AUGER WOULD BE A LARGE HELP IN THAT BY NOT HAVING TO DIG EACH SEPARATE HOLE FOR THE 4X4 POST.</t>
  </si>
  <si>
    <t>2YTH5S61351265</t>
  </si>
  <si>
    <t>THE MT. ORAB POLICE DEPARTMENT WOULD LIKE TO ACQUIRE THIS DIESEL FORK LIFT. WE WOULD UTILIZE THIS AT OUR IMPOUND LOT FOR DELIVERIES AND MOVING ITEMS AROUND THE LOT. THIS WOULD BE USEFUL AS ITS SIZE WOULD FIT IN OUR SHOP DOORS BUT STILL BE ABLE TO PICK UP LARGE WEIGHTS.</t>
  </si>
  <si>
    <t>SWANTON POLICE DEPARTMENT (2YTLN0)</t>
  </si>
  <si>
    <t>2YTLN061633648</t>
  </si>
  <si>
    <t>THE SWANTON POLICE DEPARTMENT IS REQUESTING A CARGO TRAILER THROUGH THE 1033 PROGRAM TO SUPPORT TRANSPORT AND SECURE STORAGE OF POLICE EQUIPMENT, TRAINING SUPPLIES, EMERGENCY RESPONSE GEAR, AND OPERATIONAL ASSETS. THE TRAILER WILL BE USED DURING SPECIAL EVENTS, EMERGENCY INCIDENTS, TRAINING ACTIVITIES, AND RECOVERY OPERATIONS, IMPROVING MOBILITY, ORGANIZATION, AND OVERALL OPERATIONAL READINESS.</t>
  </si>
  <si>
    <t>2YTLN061280426</t>
  </si>
  <si>
    <t>THE SWANTON POLICE DEPARTMENT IS REQUESTING A MOTORIZED UTILITY CART THROUGH THE 1033 PROGRAM TO ENHANCE MOBILITY IN PARKS, TRAILS, AND PEDESTRIAN-HEAVY AREAS. THIS VEHICLE WILL BE USED FOR PATROL, EVENT SECURITY, AND RAPID RESPONSE WHERE STANDARD VEHICLES ARE IMPRACTICAL. IT WILL IMPROVE OFFICER ACCESSIBILITY, VISIBILITY, AND OVERALL EFFICIENCY DURING DAILY OPERATIONS AND COMMUNITY EVENTS.</t>
  </si>
  <si>
    <t>2YTLN061704037</t>
  </si>
  <si>
    <t>THE SWANTON POLICE DEPARTMENT IS REQUESTING MOTORCYCLES THROUGH THE 1033 PROGRAM TO SUPPORT OFFICER TRAINING AND DEVELOPMENT OF A MOTORCYCLE PATROL CAPABILITY. THE MOTORCYCLES WILL BE UTILIZED FOR OPERATOR TRAINING, LOW-SPEED MANEUVERING, TRAFFIC ENFORCEMENT INSTRUCTION, AND SPECIAL EVENT OPERATIONS. ESTABLISHING THIS CAPABILITY WILL IMPROVE OFFICER SKILL DEVELOPMENT, MOBILITY, TRAFFIC MANAGEMENT, AND OVERALL OPERATIONAL READINESS FOR COMMUNITY POLICING AND PUBLIC SAFETY FUNCTIONS.</t>
  </si>
  <si>
    <t>2YTLN061350801</t>
  </si>
  <si>
    <t>THE SWANTON POLICE DEPARTMENT IS REQUESTING AN ALL-TERRAIN VEHICLE ATV TO PATROL PARKS, TRAILS, AND OTHER AREAS NOT ACCESSIBLE BY STANDARD VEHICLES. IT WILL SUPPORT SPECIAL EVENTS, SEARCH EFFORTS, AND EMERGENCY RESPONSE IN DIFFICULT TERRAIN, IMPROVING MOBILITY, RESPONSE TIMES, AND OVERALL PUBLIC SAFETY.</t>
  </si>
  <si>
    <t>2YTLN061704033</t>
  </si>
  <si>
    <t>THE SWANTON POLICE DEPARTMENT IS REQUESTING DIRT BIKES THROUGH THE 1033 PROGRAM TO SUPPORT OFFICER TRAINING AND EXPAND OFF-ROAD PATROL CAPABILITIES. THE DIRT BIKES WILL BE UTILIZED FOR MOTORCYCLE OPERATOR TRAINING, PATROL IN PARKS AND UNDEVELOPED AREAS, SEARCH OPERATIONS, AND SPECIAL EVENT RESPONSE. THIS EQUIPMENT WILL IMPROVE OFFICER MOBILITY, TRAINING OPPORTUNITIES, AND OPERATIONAL READINESS IN AREAS NOT ACCESSIBLE BY STANDARD PATROL VEHICLES.</t>
  </si>
  <si>
    <t>2YTLN061704036</t>
  </si>
  <si>
    <t>2YTLN061351530</t>
  </si>
  <si>
    <t>THE SWANTON POLICE DEPARTMENT IS REQUESTING AN AIR COMPRESSOR THROUGH THE 1033 PROGRAM FOR USE IN THE POLICE MAINTENANCE GARAGE. THE AIR COMPRESSOR WILL SUPPORT VEHICLE AND EQUIPMENT MAINTENANCE, TIRE INFLATION, REPAIR WORK, AND GENERAL OPERATIONAL UPKEEP. THIS EQUIPMENT WILL IMPROVE EFFICIENCY, REDUCE DOWNTIME, AND ASSIST WITH MAINTAINING DEPARTMENT VEHICLES AND EMERGENCY RESPONSE EQUIPMENT.</t>
  </si>
  <si>
    <t>2YTLN061633259</t>
  </si>
  <si>
    <t>THE SWANTON POLICE DEPARTMENT IS REQUESTING NON-EDGED HAND TOOLS THROUGH THE 1033 PROGRAM TO SUPPORT VEHICLE MAINTENANCE, EQUIPMENT REPAIRS, FACILITY UPKEEP, AND DAILY OPERATIONS. THESE TOOLS WILL ASSIST WITH INSTALLATION, ADJUSTMENT, AND MAINTENANCE OF DEPARTMENT EQUIPMENT AND TRAINING RESOURCES, IMPROVING EFFICIENCY, REDUCING DOWNTIME, AND MAINTAINING OPERATIONAL READINESS.</t>
  </si>
  <si>
    <t>2YTLN061633256</t>
  </si>
  <si>
    <t>THE SWANTON POLICE DEPARTMENT IS REQUESTING HAND AND POWER TOOLS THROUGH THE 1033 PROGRAM TO SUPPORT MAINTENANCE, REPAIR, AND OPERATIONAL NEEDS OF DEPARTMENT FACILITIES, VEHICLES, AND EQUIPMENT. THESE TOOLS WILL BE USED FOR INSTALLATION AND UPKEEP OF POLICE EQUIPMENT, MINOR BUILDING REPAIRS, RANGE MAINTENANCE, AND EMERGENCY RESPONSE SUPPORT. ACCESS TO THESE TOOLS WILL IMPROVE EFFICIENCY, REDUCE DOWNTIME, AND ENHANCE OVERALL OPERATIONAL READINESS.</t>
  </si>
  <si>
    <t>2YTLN061633257</t>
  </si>
  <si>
    <t>2YTLN061694188</t>
  </si>
  <si>
    <t>THE REQUESTED GENERATOR WILL IMPROVE EMERGENCY PREPAREDNESS BY SUPPLYING PORTABLE POWER FOR INCIDENT SCENES, DISASTER RESPONSE, AND OUTAGES. IT SUPPORTS COMMUNICATIONS, LIGHTING, AND CRITICAL EQUIPMENT IN AREAS WITHOUT RELIABLE ELECTRICAL ACCESS.</t>
  </si>
  <si>
    <t>TOLEDO POLICE DEPT (2YTLV3)</t>
  </si>
  <si>
    <t>2YTLV361563042</t>
  </si>
  <si>
    <t>CASE,SOFT-PAK</t>
  </si>
  <si>
    <t>WE WOULD USE THESE ITEMS ON OUR POLICE DEPARTMENT.  THESE ITEMS WOULD BE USED BY MEMBERS OF OUR SWAT TEAM FOR WEAPON MAINTENANCE</t>
  </si>
  <si>
    <t>2YTLV361492446</t>
  </si>
  <si>
    <t>WE WOULD USE THIS ITEM ON OUR POLICE DEPARTMENT.  THIS ITEM WILL BE ISSUED TO OUR SWAT TEAM SNIPERS.  THIS ITEM WILL BE USED DURING TRAINING, BARRICADED SUSPECTS AND EMERGENCY SITUATIONS.</t>
  </si>
  <si>
    <t>2YTLV361563167</t>
  </si>
  <si>
    <t>WE WOULD USE THIS ITEM ON OUR POLICE DEPARTMENT.  THIS ITEM WOULD BE USED BY OUR RANGE ARMORERS TO FIX WEAPONS AND PERFORM WEAPONS MAINTENANCE.</t>
  </si>
  <si>
    <t>2YTLV361149085</t>
  </si>
  <si>
    <t>WE WOULD USE THIS ON OUR POLICE DEPARTMENT.  WE WOULD ISSUE THESE ITEMS TO THE SWAT TEAM.  THESE ITEMS WOULD BE USED FOR WINDOW BREACHING OPERATIONS AND TRAINING.</t>
  </si>
  <si>
    <t>2YTLV361492436</t>
  </si>
  <si>
    <t>WE WOULD USE THESE ITEMS ON OUR POLICE DEPARTMENT.  WE WOULD ISSUE THESE ITEMS TO MEMBERS OF OUR SWAT TEAM.  THEY WOULD USE THESE ITEMS DURING TRAINING, BARRICADED SUSPECTS AND EMERGENCY SITUATIONS.</t>
  </si>
  <si>
    <t>2YTLV361149093</t>
  </si>
  <si>
    <t>WE WOULD USE THIS ON OUR POLICE DEPARTMENT.  WE WOULD USE THIS ITEM IN OUR POLICE DEPARTMENT WORKOUT AREA.  OFFICERS WOULD UTILIZE THIS ITEM TO IMPROVE OVERALL HEALTH AND FITNESS.</t>
  </si>
  <si>
    <t>2YTLV361079064</t>
  </si>
  <si>
    <t>2YTLV361492454</t>
  </si>
  <si>
    <t>WE WOULD USE THESE ITEMS ON OUR POLICE DEPARTMENT.  THESE ITEMS WILL BE ISSUED TO OUR SWAT TEAM AND OTHER SPECIALIZED UNITS.  THESE ITEMS WILL BE USED DURING TRAINING, BARRICADED SUSPECTS AND EMERGENCY SITUATIONS.</t>
  </si>
  <si>
    <t>2YTLV361562438</t>
  </si>
  <si>
    <t>WE WOULD USE THESE ITEMS ON OUR POLICE DEPARTMENT.  THESE ITEMS WILL BE ISSUED TO OUR SWAT TEAM SNIPERS.  THEY WOULD USE THESE DURING TRAINING, BARRICADED SUSPECTS, AND EMERGENCY SITUATIONS.</t>
  </si>
  <si>
    <t>2YTLV361562453</t>
  </si>
  <si>
    <t>WE WOULD USE THESE ITEMS ON OUR POLICE DEPARTMENT.  THESE ITEMS WILL BE ISSUED TO OUR SWAT TEAM SNIPERS.  THESE ITEMS WILL BE USED DURING TRAINING, BARRICADED SUSPECTS AND EMERGENCY SITUATIONS.</t>
  </si>
  <si>
    <t>2YTLV361562452</t>
  </si>
  <si>
    <t>2YTLV361492463</t>
  </si>
  <si>
    <t>WE WOULD USE THIS ITEM ON OUR POLICE DEPARTMENT.  THIS ITEM WILL BE ISSUED TO OUR SWAT TEAM SNIPERS.  THIS ITEM  WILL BE USED DURING TRAINING, BARRICADED SUSPECTS AND EMERGENCY SITUATIONS.</t>
  </si>
  <si>
    <t>2YTLV361562464</t>
  </si>
  <si>
    <t>2YTLV361562465</t>
  </si>
  <si>
    <t>2YTLV361562466</t>
  </si>
  <si>
    <t>2YTLV361562467</t>
  </si>
  <si>
    <t>WE WOULD USE THESE ITEMS ON OUR POLICE DEPARTMENT.  THESE ITEMS WILL BE ISSUED TO OUR SWAT TEAM.  THESE ITEMS WILL BE USED DURING TRAINING, BARRICADED SUSPECTS AND EMERGENCY SITUATIONS.</t>
  </si>
  <si>
    <t>2YTLV361492468</t>
  </si>
  <si>
    <t>2YTLV361079082</t>
  </si>
  <si>
    <t>WE WOULD USE THIS ON OUR POLICE DEPARTMENT.  WE WOULD ISSUE THESE ITEMS TO MEMBERS OF OUR SWAT TEAM.  THEY WOULD USE THESE ITEMS DURING COLD WEATHER TRAINING AND COLD WEATHER OPERATIONS.</t>
  </si>
  <si>
    <t>2YTLV361079083</t>
  </si>
  <si>
    <t>2YTLV361079084</t>
  </si>
  <si>
    <t>WE WOULD USE THIS ON OUR POLICE DEPARTMENT.  WE WOULD ISSUE THIS ITEM TO MEMBERS OF OUR SWAT TEAM.  THEY WOULD USE THIS ITEM DURING COLD WEATHER TRAINING AND COLD WEATHER OPERATIONS.</t>
  </si>
  <si>
    <t>2YTLV361492481</t>
  </si>
  <si>
    <t>THIS ITEM WILL BE USED BY OUR POLICE DEPARTMENT.  THIS ITEM WILL BE ISSUED TO OUR SWAT TEAM SNIPERS.  THIS ITEM WILL BE USED DURING TRAINING, BARRICADED SUSPECTS AND EMERGENCY SITUATIONS</t>
  </si>
  <si>
    <t>2YTLV361562482</t>
  </si>
  <si>
    <t>2YTLV361492484</t>
  </si>
  <si>
    <t>2YTLV361492486</t>
  </si>
  <si>
    <t>THESE ITEMS WILL BE USED BY OUR POLICE DEPARTMENT.  THESE ITEMS WILL BE ISSUED TO OUR SWAT TEAM SNIPERS.  THESE ITEMS WILL BE USED DURING TRAINING, BARRICADED SUSPECTS AND EMERGENCY SITUATIONS</t>
  </si>
  <si>
    <t>2YTLV361562487</t>
  </si>
  <si>
    <t>2YTLV361492488</t>
  </si>
  <si>
    <t>2YTLV361562490</t>
  </si>
  <si>
    <t>2YTLV361562491</t>
  </si>
  <si>
    <t>THESE ITEMS WILL BE USED BY OUR POLICE DEPARTMENT.  THESE ITEMS WILL BE ISSUED TO OUR SWAT TEAM.  THESE ITEMS WILL BE USED DURING TRAINING, BARRICADED SUSPECTS AND EMERGENCY SITUATIONS</t>
  </si>
  <si>
    <t>2YTLV361562492</t>
  </si>
  <si>
    <t>2YTLV361492493</t>
  </si>
  <si>
    <t>2YTLV361492494</t>
  </si>
  <si>
    <t>2YTLV361492495</t>
  </si>
  <si>
    <t>2YTLV361492496</t>
  </si>
  <si>
    <t>2YTLV361492497</t>
  </si>
  <si>
    <t>2YTLV361492498</t>
  </si>
  <si>
    <t>2YTLV361492499</t>
  </si>
  <si>
    <t>2YTLV361079065</t>
  </si>
  <si>
    <t>2YTLV361079069</t>
  </si>
  <si>
    <t>2YTLV361079070</t>
  </si>
  <si>
    <t>2YTLV361149074</t>
  </si>
  <si>
    <t>2YTLV361149076</t>
  </si>
  <si>
    <t>2YTLV361079077</t>
  </si>
  <si>
    <t>TROUSERS,EXTREME COLD WEATHER</t>
  </si>
  <si>
    <t>2YTLV361079078</t>
  </si>
  <si>
    <t>2YTLV361079079</t>
  </si>
  <si>
    <t>2YTLV361492462</t>
  </si>
  <si>
    <t>2YTLV361492461</t>
  </si>
  <si>
    <t>WE WOULD USE THESE ITEMS ON OUR POLICE DEPARTMENT.  THESE ITEMS WILL BE ISSUED TO OUR SWAT TEAM SNIPERS.  THESE ITEMS  WILL BE USED DURING TRAINING, BARRICADED SUSPECTS AND EMERGENCY SITUATIONS.</t>
  </si>
  <si>
    <t>2YTLV361492460</t>
  </si>
  <si>
    <t>2YTLV361492459</t>
  </si>
  <si>
    <t>2YTLV361492458</t>
  </si>
  <si>
    <t>2YTLV361492457</t>
  </si>
  <si>
    <t>2YTLV361492455</t>
  </si>
  <si>
    <t>2YTLV361492476</t>
  </si>
  <si>
    <t>2YTLV361562473</t>
  </si>
  <si>
    <t>2YTLV361492472</t>
  </si>
  <si>
    <t>2YTLV361492470</t>
  </si>
  <si>
    <t>2YTLV361149080</t>
  </si>
  <si>
    <t>2YTLV361492469</t>
  </si>
  <si>
    <t>OR</t>
  </si>
  <si>
    <t>BURNS POLICE DEPARTMENT (2YTR70)</t>
  </si>
  <si>
    <t>2YTR7061078710</t>
  </si>
  <si>
    <t>BURNS POLICE DEPARTMENT REQUESTS THE SMALL STORAGE RACK TO IMPROVE ORGANIZATION, ACCOUNTABILITY, AND SECURE STORAGE OF EQUIPMENT AND SUPPLIES. PROPER STORAGE ENHANCES OPERATIONAL EFFICIENCY, PROTECTS DEPARTMENT ASSETS, AND ENSURES QUICK ACCESS TO CRITICAL GEAR DURING EMERGENCY RESPONSES, WHICH IS ESPECIALLY IMPORTANT FOR A RURAL AGENCY WITH LIMITED RESOURCES.</t>
  </si>
  <si>
    <t>2YTR7061350976</t>
  </si>
  <si>
    <t>BURNS POLICE DEPARTMENT REQUESTS A NONLETHAL FIRING DEVICE TO SUPPORT DEPLOYMENT OF LESS LETHAL MUNITIONS DURING CRITICAL INCIDENTS. THIS EQUIPMENT PROVIDES OFFICERS WITH ADDITIONAL OPTIONS TO SAFELY RESOLVE SITUATIONS REDUCE RESISTANCE AND DE ESCALATE ENCOUNTERS. FOR A RURAL AGENCY IT ENHANCES OFFICER AND PUBLIC SAFETY WHILE MINIMIZING THE NEED FOR HIGHER LEVELS OF FORCE.</t>
  </si>
  <si>
    <t>2YTR7061350959</t>
  </si>
  <si>
    <t>BURNS POLICE DEPARTMENT REQUESTS A NON LETHAL FIRING DEVICE TO SUPPORT DEPLOYMENT OF LESS LETHAL MUNITIONS DURING CRITICAL INCIDENTS. THIS EQUIPMENT PROVIDES OFFICERS WITH ADDITIONAL OPTIONS TO SAFELY RESOLVE SITUATIONS REDUCE RESISTANCE AND DE ESCALATE ENCOUNTERS. FOR A RURAL AGENCY IT ENHANCES OFFICER AND PUBLIC SAFETY WHILE MINIMIZING THE NEED FOR HIGHER LEVELS OF FORCE.</t>
  </si>
  <si>
    <t>2YTR7061078711</t>
  </si>
  <si>
    <t>BURNS POLICE DEPARTMENT REQUESTS THE SMALL ARMS STORAGE RACK TO ENSURE SAFE, SECURE, AND ORGANIZED STORAGE OF DEPARTMENT FIREARMS. THIS EQUIPMENT SUPPORTS ACCOUNTABILITY, PREVENTS UNAUTHORIZED ACCESS, AND HELPS MAINTAIN COMPLIANCE WITH EVIDENCE AND WEAPON STORAGE STANDARDS. IT ENHANCES OFFICER READINESS AND SAFETY BY ENSURING QUICK, CONTROLLED ACCESS WHEN NEEDED.</t>
  </si>
  <si>
    <t>2YTR7061350935</t>
  </si>
  <si>
    <t>BURNS POLICE DEPARTMENT REQUESTS AN UNMANNED AIRCRAFT SYSTEM TO ENHANCE SITUATIONAL AWARENESS OFFICER SAFETY AND RESPONSE EFFICIENCY. THIS EQUIPMENT CAN BE USED FOR SEARCH AND RESCUE LOCATING MISSING PERSONS SCENE ASSESSMENT AND MONITORING HAZARDOUS OR HIGH RISK SITUATIONS FROM A SAFE DISTANCE. FOR A RURAL AGENCY COVERING LARGE AND REMOTE AREAS IT SIGNIFICANTLY IMPROVES RESPONSE CAPABILITY WHILE REDUCING RISK TO PERSONNEL AND THE PUBLIC.</t>
  </si>
  <si>
    <t>2YTR7061562675</t>
  </si>
  <si>
    <t>TRUCK,TANK</t>
  </si>
  <si>
    <t>BURNS POLICE DEPARTMENT REQUESTS A TANK TRUCK TO SUPPORT EMERGENCY RESPONSE WILDFIRE SUPPORT DISASTER OPERATIONS AND RURAL PUBLIC SAFETY MISSIONS. THIS VEHICLE CAN PROVIDE TRANSPORT AND DELIVERY OF WATER OR OTHER ESSENTIAL RESOURCES DURING EXTENDED INCIDENTS SEARCH AND RESCUE OPERATIONS AND EMERGENCIES IN REMOTE AREAS WITH LIMITED INFRASTRUCTURE. FOR A RURAL JURISDICTION PRONE TO WILDLAND FIRE AND LONG RESPONSE DISTANCES THIS ASSET ENHANCES OPERATIONAL READINESS INTERAGENCY SUPPORT COMMUNITY.</t>
  </si>
  <si>
    <t>2YTR7060795799</t>
  </si>
  <si>
    <t>THE BURNS POLICE DEPARTMENT REQUESTS A CARGO TRUCK TO SUPPORT THE TRANSPORTATION OF EQUIPMENT, SUPPLIES, AND MATERIALS NECESSARY FOR PUBLIC SAFETY OPERATIONS, EMERGENCY RESPONSE, AND FACILITY MAINTENANCE. THIS VEHICLE WILL IMPROVE THE DEPARTMENTS ABILITY TO EFFICIENTLY DEPLOY AND MOVE ESSENTIAL EQUIPMENT DURING INCIDENTS, TRAINING ACTIVITIES, AND COMMUNITY SUPPORT OPERATIONS THROUGHOUT BURNS AND SURROUNDING AREAS.</t>
  </si>
  <si>
    <t>2YTR7061350936</t>
  </si>
  <si>
    <t>BURNS POLICE DEPARTMENT REQUESTS A TRAILER TO SUPPORT TRANSPORT OF EQUIPMENT SUPPLIES AND SPECIALIZED GEAR FOR PATROL SEARCH AND RESCUE AND EMERGENCY RESPONSE OPERATIONS. THIS ASSET IMPROVES OPERATIONAL EFFICIENCY AND READINESS BY ALLOWING SAFE AND ORGANIZED MOVEMENT OF EQUIPMENT ACROSS OUR LARGE RURAL JURISDICTION WHERE DISTANCES AND TERRAIN PRESENT UNIQUE CHALLENGES.</t>
  </si>
  <si>
    <t>2YTR7061280934</t>
  </si>
  <si>
    <t>BURNS POLICE DEPARTMENT REQUESTS AN UNMANNED GROUND VEHICLE TO ENHANCE OFFICER SAFETY AND OPERATIONAL CAPABILITY DURING HIGH RISK INCIDENTS. THIS EQUIPMENT CAN BE USED FOR REMOTE ASSESSMENT SEARCH AND RESCUE AND HANDLING POTENTIALLY DANGEROUS SITUATIONS WITHOUT PLACING OFFICERS IN HARMS WAY. FOR A RURAL AGENCY WITH LIMITED SPECIALIZED RESOURCES IT PROVIDES A CRITICAL TOOL TO IMPROVE RESPONSE EFFECTIVENESS WHILE REDUCING RISK TO PERSONNEL AND THE PUBLIC.</t>
  </si>
  <si>
    <t>2YTR7060795797</t>
  </si>
  <si>
    <t>THE BURNS POLICE DEPARTMENT REQUESTS MISCELLANEOUS CONSTRUCTION EQUIPMENT TO SUPPORT MAINTENANCE, REPAIR, AND IMPROVEMENT OF DEPARTMENT FACILITIES AND PUBLIC SAFETY INFRASTRUCTURE. THIS EQUIPMENT WILL ASSIST WITH ROUTINE UPKEEP, MINOR CONSTRUCTION PROJECTS, AND EMERGENCY REPAIRS, ENSURING POLICE FACILITIES REMAIN OPERATIONAL, SAFE, AND CAPABLE OF SUPPORTING LAW ENFORCEMENT SERVICES FOR THE COMMUNITY.</t>
  </si>
  <si>
    <t>2YTR7061491971</t>
  </si>
  <si>
    <t>BURNS POLICE DEPARTMENT REQUESTS INDUSTRIAL SAFETY GOGGLES TO ENHANCE OFFICER PROTECTION DURING TRAINING EMERGENCY RESPONSE SEARCH AND RESCUE OPERATIONS AND HAZARDOUS SITUATIONS. THIS PROTECTIVE EQUIPMENT HELPS SAFEGUARD OFFICERS FROM DEBRIS DUST BODILY FLUIDS AND OTHER ENVIRONMENTAL HAZARDS IMPROVING SAFETY AND OPERATIONAL READINESS IN OUR RURAL SERVICE AREA.</t>
  </si>
  <si>
    <t>2YTR7061351151</t>
  </si>
  <si>
    <t>BURNS POLICE DEPARTMENT REQUESTS SAFETY AND RESCUE EQUIPMENT TO SUPPORT EMERGENCY RESPONSE SEARCH AND RESCUE OPERATIONS AND OFFICER PROTECTION DURING HAZARDOUS INCIDENTS. THIS EQUIPMENT ENHANCES THE DEPARTMENTS ABILITY TO PROVIDE AID PROTECT LIFE AND OPERATE SAFELY IN REMOTE AND CHALLENGING ENVIRONMENTS COMMON WITHIN OUR RURAL JURISDICTION.</t>
  </si>
  <si>
    <t>2YTR7061491972</t>
  </si>
  <si>
    <t>2YTR7061491973</t>
  </si>
  <si>
    <t>2YTR7061421405</t>
  </si>
  <si>
    <t>PROTECTOR,HEARING</t>
  </si>
  <si>
    <t>BURNS POLICE DEPARTMENT REQUESTS HEARING PROTECTION EQUIPMENT TO ENHANCE OFFICER SAFETY DURING FIREARMS TRAINING TACTICAL OPERATIONS AND OTHER HIGH-NOISE ENVIRONMENTS. PROPER HEARING PROTECTION HELPS PREVENT LONG TERM HEARING DAMAGE IMPROVES COMMUNICATION AND SUPPORTS SAFE AND EFFECTIVE TRAINING FOR OFFICERS SERVING IN OUR RURAL JURISDICTION.</t>
  </si>
  <si>
    <t>2YTR7061078992</t>
  </si>
  <si>
    <t>BREATHING APPARATUS</t>
  </si>
  <si>
    <t>BURNS POLICE DEPARTMENT REQUESTS BREATHING APPARATUS TO ENHANCE OFFICER SAFETY DURING INCIDENTS INVOLVING SMOKE, HAZARDOUS MATERIALS, OR CONFINED SPACES. THIS EQUIPMENT PROVIDES CRITICAL RESPIRATORY PROTECTION, ALLOWING OFFICERS TO OPERATE SAFELY IN DANGEROUS ENVIRONMENTS. FOR A RURAL AGENCY WITH LIMITED SPECIALIZED RESOURCES, IT IS ESSENTIAL FOR EMERGENCY RESPONSE AND PROTECTING BOTH PERSONNEL AND THE PUBLIC.</t>
  </si>
  <si>
    <t>2YTR7061350943</t>
  </si>
  <si>
    <t>BURNS POLICE DEPARTMENT REQUESTS SAFETY AND RESCUE EQUIPMENT TO SUPPORT EFFECTIVE RESPONSE DURING EMERGENCIES SEARCH AND RESCUE OPERATIONS AND HAZARDOUS SITUATIONS. THIS EQUIPMENT ENHANCES OFFICER CAPABILITY TO PROTECT LIFE PROVIDE AID AND OPERATE SAFELY IN CHALLENGING ENVIRONMENTS. FOR A RURAL AGENCY IT IS ESSENTIAL TO ENSURE PREPAREDNESS AND TIMELY RESPONSE WHERE OUTSIDE RESOURCES MAY BE LIMITED.</t>
  </si>
  <si>
    <t>2YTR7061210395</t>
  </si>
  <si>
    <t>BURNS POLICE DEPARTMENT REQUESTS SAFETY AND RESCUE EQUIPMENT TO ENHANCE OFFICER CAPABILITY DURING EMERGENCY RESPONSE SEARCH AND RESCUE AND HAZARDOUS SITUATIONS. THIS EQUIPMENT IMPROVES OFFICER AND PUBLIC SAFETY BY PROVIDING ESSENTIAL TOOLS FOR STABILIZING INCIDENTS ASSISTING INJURED INDIVIDUALS AND OPERATING EFFECTIVELY IN CHALLENGING RURAL ENVIRONMENTS WITH LIMITED IMMEDIATE BACKUP RESOURCES.</t>
  </si>
  <si>
    <t>2YTR7061210369</t>
  </si>
  <si>
    <t>BURNS POLICE DEPARTMENT REQUESTS HAND ENTRENCHING TOOLS TO SUPPORT FIELD OPERATIONS SEARCH AND RESCUE AND EMERGENCY RESPONSE. THESE TOOLS PROVIDE A COMPACT VERSATILE SOLUTION FOR DIGGING CLEARING DEBRIS AND ASSISTING IN RURAL AND REMOTE ENVIRONMENTS. THEY ENHANCE OFFICER CAPABILITY PREPAREDNESS AND SAFETY WHEN OPERATING IN AREAS WITH LIMITED RESOURCES.</t>
  </si>
  <si>
    <t>2YTR7061149012</t>
  </si>
  <si>
    <t>SOLAR SYSTEM TY II</t>
  </si>
  <si>
    <t>BURNS POLICE DEPARTMENT REQUESTS THE SOLAR SYSTEM TYPE II TO PROVIDE RELIABLE, PORTABLE POWER FOR FIELD OPERATIONS, EMERGENCY RESPONSE, AND EXTENDED INCIDENTS. THIS EQUIPMENT SUPPORTS COMMUNICATION DEVICES, LIGHTING, AND CRITICAL ELECTRONICS IN REMOTE AREAS WITH LIMITED INFRASTRUCTURE, ENHANCING OPERATIONAL CAPABILITY, OFFICER SAFETY, AND CONTINUITY OF OPERATIONS DURING EMERGENCIES.</t>
  </si>
  <si>
    <t>2YTR7061350946</t>
  </si>
  <si>
    <t>BURNS POLICE DEPARTMENT REQUESTS A NON EXPANDABLE SHELTER TO SUPPORT EMERGENCY RESPONSE, INCIDENT COMMAND AND COMMUNITY SAFETY OPERATIONS. THIS STRUCTURE CAN BE USED AS A MOBILE COMMAND POST TEMPORARY STAGING AREA OR SHELTER DURING CRITICAL INCIDENTS DISASTERS AND SEARCH AND RESCUE OPERATIONS. FOR A RURAL JURISDICTION WITH LIMITED INFRASTRUCTURE IT ENHANCES COORDINATION PROTECTS PERSONNEL AND IMPROVES OVERALL RESPONSE CAPABILITY.</t>
  </si>
  <si>
    <t>2YTR7061350952</t>
  </si>
  <si>
    <t>POWER PLANT,ELECTRIC,TRAILER MOUNTED</t>
  </si>
  <si>
    <t>BURNS POLICE DEPARTMENT REQUESTS A TRAILER MOUNTED ELECTRIC POWER PLANT TO SUPPORT EMERGENCY RESPONSE DISASTER OPERATIONS AND CRITICAL INCIDENT MANAGEMENT. THIS EQUIPMENT PROVIDES RELIABLE POWER FOR COMMUNICATIONS LIGHTING COMMAND OPERATIONS AND ESSENTIAL SYSTEMS IN REMOTE OR INFRASTRUCTURE LIMITED AREAS. FOR A RURAL JURISDICTION IT ENSURES CONTINUITY OF OPERATIONS AND ENHANCES THE DEPARTMENTS ABILITY TO RESPOND EFFECTIVELY DURING EXTENDED INCIDENTS AND EMERGENCIES.</t>
  </si>
  <si>
    <t>2YTR7061350964</t>
  </si>
  <si>
    <t>GROUND SENSOR AND AREA SURVEILLANCE SYST</t>
  </si>
  <si>
    <t>BURNS POLICE DEPARTMENT REQUESTS A GROUND SENSOR AND AREA SURVEILLANCE SYSTEM TO ENHANCE SITUATIONAL AWARENESS AND IMPROVE MONITORING CAPABILITIES DURING CRITICAL INCIDENTS. THIS EQUIPMENT SUPPORTS PERIMETER SECURITY SEARCH AND RESCUE OPERATIONS AND DETECTION OF MOVEMENT IN REMOTE OR LOW VISIBILITY ENVIRONMENTS. FOR A RURAL JURISDICTION WITH LARGE GEOGRAPHIC COVERAGE AND LIMITED PERSONNEL IT SIGNIFICANTLY IMPROVES RESPONSE EFFECTIVENESS WHILE INCREASING OFFICER AND PUBLIC SAFETY.</t>
  </si>
  <si>
    <t>2YTR7061491975</t>
  </si>
  <si>
    <t>SPINEBOARD</t>
  </si>
  <si>
    <t>BURNS POLICE DEPARTMENT REQUESTS SPINEBOARDS TO SUPPORT EMERGENCY MEDICAL RESPONSE RESCUE OPERATIONS AND PATIENT STABILIZATION DURING TRAUMATIC INCIDENTS. THIS EQUIPMENT ALLOWS OFFICERS AND FIRST RESPONDERS TO SAFELY IMMOBILIZE AND TRANSPORT INJURED INDIVIDUALS UNTIL ADVANCED MEDICAL CARE IS AVAILABLE. FOR A RURAL JURISDICTION WITH EXTENDED EMERGENCY RESPONSE TIMES SPINEBOARDS ARE ESSENTIAL FOR PROTECTING LIFE AND IMPROVING PATIENT OUTCOMES.</t>
  </si>
  <si>
    <t>2YTR7061079005</t>
  </si>
  <si>
    <t>DSMICROSC</t>
  </si>
  <si>
    <t>MICROSCOPE</t>
  </si>
  <si>
    <t>BURNS POLICE DEPARTMENT REQUESTS THE MICROSCOPE TO SUPPORT INVESTIGATIVE AND EVIDENCE PROCESSING CAPABILITIES. THIS EQUIPMENT CAN ASSIST IN EXAMINING TRACE EVIDENCE, DOCUMENTS, AND MATERIALS, IMPROVING ACCURACY IN INVESTIGATIONS. FOR A RURAL AGENCY WITH LIMITED ACCESS TO FORENSIC RESOURCES, IT ENHANCES THE ABILITY TO CONDUCT PRELIMINARY ANALYSIS AND SUPPORT CASE DEVELOPMENT.</t>
  </si>
  <si>
    <t>2YTR7061069172</t>
  </si>
  <si>
    <t>DETECTING AND TRACI</t>
  </si>
  <si>
    <t>BURNS POLICE DEPARTMENT REQUESTS DETECTING AND TRACING EQUIPMENT TO ENHANCE INVESTIGATIVE CAPABILITIES AND IMPROVE OFFICER SAFETY. THIS EQUIPMENT ASSISTS IN LOCATING, IDENTIFYING, AND TRACKING ITEMS OR EVIDENCE DURING INVESTIGATIONS AND CRITICAL INCIDENTS. FOR A RURAL AGENCY, IT PROVIDES VALUABLE TOOLS TO SUPPORT EFFECTIVE RESPONSE, EVIDENCE COLLECTION, AND PUBLIC SAFETY OPERATIONS.</t>
  </si>
  <si>
    <t>2YTR7061149018</t>
  </si>
  <si>
    <t>TRAUMA PATIENT SIMULATOR</t>
  </si>
  <si>
    <t>BURNS POLICE DEPARTMENT REQUESTS THE TRAUMA PATIENT SIMULATOR TO ENHANCE OFFICER AND FIRST RESPONDER MEDICAL TRAINING. THIS EQUIPMENT PROVIDES REALISTIC, HANDS-ON SCENARIOS TO IMPROVE LIFESAVING SKILLS SUCH AS BLEEDING CONTROL, AIRWAY MANAGEMENT, AND TRAUMA RESPONSE. IT IS CRITICAL FOR A RURAL AGENCY WHERE OFFICERS ARE OFTEN FIRST ON SCENE AND MUST PROVIDE IMMEDIATE MEDICAL CARE.</t>
  </si>
  <si>
    <t>2YTR7061351019</t>
  </si>
  <si>
    <t>DSTRAINE0</t>
  </si>
  <si>
    <t>ARMAMENT TRAINING DEVICES</t>
  </si>
  <si>
    <t>BURNS POLICE DEPARTMENT REQUESTS ARMAMENT TRAINING DEVICES TO ENHANCE OFFICER PROFICIENCY AND SAFETY THROUGH REALISTIC CONTROLLED TRAINING SCENARIOS. THESE DEVICES ALLOW OFFICERS TO PRACTICE PROPER HANDLING DECISION MAKING AND RESPONSE TECHNIQUES WITHOUT THE RISKS ASSOCIATED WITH LIVE EQUIPMENT. FOR A RURAL AGENCY WITH LIMITED ACCESS TO ADVANCED TRAINING RESOURCES THIS EQUIPMENT IS ESSENTIAL TO MAINTAIN READINESS REDUCE LIABILITY AND ENSURE SAFE, EFFECTIVE SERVICE TO THE COMMUNITY.</t>
  </si>
  <si>
    <t>2YTR7061078459</t>
  </si>
  <si>
    <t>BURNS POLICE DEPARTMENT REQUESTS ARMAMENT TRAINING DEVICES TO ENHANCE OFFICER PROFICIENCY, SAFETY, AND PREPAREDNESS. THESE TOOLS PROVIDE REALISTIC, CONTROLLED TRAINING SCENARIOS THAT IMPROVE DECISION-MAKING, DE-ESCALATION, AND PROPER USE-OF-FORCE TECHNIQUES. AS A SMALL RURAL AGENCY, ACCESS TO QUALITY TRAINING EQUIPMENT IS CRITICAL TO MAINTAINING PROFESSIONAL STANDARDS AND PROTECTING THE COMMUNITY.</t>
  </si>
  <si>
    <t>2YTR7061351021</t>
  </si>
  <si>
    <t>2YTR7061079175</t>
  </si>
  <si>
    <t>DSOPSTRND</t>
  </si>
  <si>
    <t>OPERATION TRAINING DEVICES</t>
  </si>
  <si>
    <t>BURNS POLICE DEPARTMENT REQUESTS OPERATIONAL TRAINING DEVICES TO ENHANCE OFFICER PREPAREDNESS THROUGH REALISTIC, SCENARIO-BASED TRAINING. THESE DEVICES IMPROVE DECISION MAKING, COMMUNICATION, AND RESPONSE TO CRITICAL INCIDENTS. FOR A RURAL AGENCY WITH LIMITED TRAINING RESOURCES, THIS EQUIPMENT IS ESSENTIAL TO MAINTAIN PROFESSIONAL STANDARDS, REDUCE RISK, AND ENSURE EFFECTIVE SERVICE TO THE COMMUNITY.</t>
  </si>
  <si>
    <t>2YTR7061079174</t>
  </si>
  <si>
    <t>2YTR7061079173</t>
  </si>
  <si>
    <t>2YTR7061350975</t>
  </si>
  <si>
    <t>COMPUTER,TACTICAL</t>
  </si>
  <si>
    <t>BURNS POLICE DEPARTMENT REQUESTS A TACTICAL COMPUTER TO ENHANCE COMMUNICATION DATA ACCESS AND OPERATIONAL COORDINATION IN THE FIELD. THIS EQUIPMENT SUPPORTS REAL TIME INFORMATION SHARING REPORT WRITING AND ACCESS TO CRITICAL SYSTEMS DURING PATROL AND EMERGENCY RESPONSE. FOR A RURAL AGENCY COVERING A LARGE GEOGRAPHIC AREA A RUGGED RELIABLE COMPUTER IMPROVES EFFICIENCY SITUATIONAL AWARENESS AND OVERALL SERVICE TO THE COMMUNITY.</t>
  </si>
  <si>
    <t>2YTR7061280393</t>
  </si>
  <si>
    <t>DSSHOPVAC</t>
  </si>
  <si>
    <t>SHOP VACUUM</t>
  </si>
  <si>
    <t>BURNS POLICE DEPARTMENT REQUESTS A SHOP VACUUM TO SUPPORT FACILITY MAINTENANCE VEHICLE UPKEEP AND EQUIPMENT CLEANING. THIS EQUIPMENT HELPS MAINTAIN A CLEAN AND SAFE WORKING ENVIRONMENT PRESERVES DEPARTMENT ASSETS AND SUPPORTS EFFICIENT OPERATIONS. FOR A SMALL RURAL AGENCY RELIABLE MAINTENANCE TOOLS ARE ESSENTIAL TO EXTEND THE LIFE OF EQUIPMENT AND ENSURE READINESS.</t>
  </si>
  <si>
    <t>2YTR7061421403</t>
  </si>
  <si>
    <t>BURNS POLICE DEPARTMENT REQUESTS A DEPLOYABLE TENT SYSTEM TO SUPPORT EMERGENCY RESPONSE INCIDENT COMMAND SEARCH AND RESCUE AND COMMUNITY DISASTER OPERATIONS. THE TENT PROVIDES TEMPORARY SHELTER AND OPERATIONAL SPACE FOR PERSONNEL EQUIPMENT COMMUNICATIONS AND STAGING DURING EXTENDED INCIDENTS. FOR A RURAL JURISDICTION WITH LIMITED INFRASTRUCTURE AND LARGE RESPONSE AREAS THIS CAPABILITY IMPROVES COORDINATION RESPONDER SAFETY AND CONTINUITY OF OPERATIONS DURING EMERGENCIES.</t>
  </si>
  <si>
    <t>2YTR7061351401</t>
  </si>
  <si>
    <t>TENT,UST TRAILER MODELHP-4DL(8 TON)DRASH</t>
  </si>
  <si>
    <t>BURNS POLICE DEPARTMENT REQUESTS THE DRASH TENT AND TRAILER SYSTEM TO SUPPORT EMERGENCY RESPONSE INCIDENT COMMAND DISASTER RELIEF AND SEARCH AND RESCUE OPERATIONS. THIS MOBILE SHELTER SYSTEM PROVIDES A RAPIDLY DEPLOYABLE WORKSPACE FOR COMMAND STAFF COMMUNICATIONS MEDICAL SUPPORT AND STAGING DURING EXTENDED INCIDENTS. FOR A RURAL JURISDICTION WITH LIMITED INFRASTRUCTURE AND LARGE RESPONSE AREAS IT ENHANCES OPERATIONAL COORDINATION RESPONDER SAFETY AND CONTINUITY OF OPERATIONS DURING EMERGENCIES</t>
  </si>
  <si>
    <t>2YTR7061351398</t>
  </si>
  <si>
    <t>TENT, SUPPORT TRAILER/GEN/ECU,BASE-X</t>
  </si>
  <si>
    <t>BURNS POLICE DEPARTMENT REQUESTS THE BASEX SUPPORT TENT SYSTEM TO ENHANCE EMERGENCY RESPONSE INCIDENT COMMAND AND DISASTER OPERATIONS. THIS DEPLOYABLE SHELTER CAN PROVIDE A SECURE LOCATION FOR COMMAND STAFF MEDICAL OPERATIONS STAGING OR TEMPORARY SHELTER DURING CRITICAL INCIDENTS AND COMMUNITY EMERGENCIES. FOR A RURAL JURISDICTION WITH LIMITED INFRASTRUCTURE AND LONG RESPONSE DISTANCES IT SIGNIFICANTLY IMPROVES OPERATIONAL COORDINATION RESPONDER SAFETY AND CONTINUITY OF OPERATIONS.</t>
  </si>
  <si>
    <t>2YTR7061491977</t>
  </si>
  <si>
    <t>FLOOR,TENT</t>
  </si>
  <si>
    <t>BURNS POLICE DEPARTMENT REQUESTS TENT FLOORING KITS TO SUPPORT DEPLOYABLE SHELTER SYSTEMS USED DURING EMERGENCY RESPONSE INCIDENT COMMAND DISASTER OPERATIONS AND SEARCH AND RESCUE MISSIONS. THESE FLOORING SYSTEMS IMPROVE SAFETY SANITATION DURABILITY AND OPERATIONAL EFFECTIVENESS BY PROVIDING STABLE WORKING SURFACES FOR PERSONNEL AND EQUIPMENT DURING EXTENDED INCIDENTS IN RURAL AND REMOTE ENVIRONMENTS.</t>
  </si>
  <si>
    <t>2YTR7061260965</t>
  </si>
  <si>
    <t>DSELBWKNE</t>
  </si>
  <si>
    <t>ELBOW AND KNEE PADS SET</t>
  </si>
  <si>
    <t>BURNS POLICE DEPARTMENT REQUESTS ELBOW AND KNEE PAD SETS TO ENHANCE OFFICER SAFETY AND REDUCE THE RISK OF INJURY DURING TRAINING TACTICAL OPERATIONS AND FIELD RESPONSE. THIS PROTECTIVE EQUIPMENT IMPROVES MOBILITY AND COMFORT WHEN OPERATING IN RUGGED TERRAIN OR DYNAMIC ENVIRONMENTS WHICH IS CRITICAL FOR OFFICERS SERVING IN A RURAL JURISDICTION.</t>
  </si>
  <si>
    <t>2YTR7061260954</t>
  </si>
  <si>
    <t>BURNS POLICE DEPARTMENT REQUESTS KNEE PADS TO ENHANCE OFFICER SAFETY AND REDUCE INJURY RISK DURING PATROL TRAINING AND EMERGENCY RESPONSE ACTIVITIES. THIS PROTECTIVE EQUIPMENT SUPPORTS MOBILITY AND COMFORT WHEN OPERATING IN RUGGED TERRAIN OR DURING PROLONGED INCIDENTS WHICH IS ESSENTIAL FOR OFFICERS WORKING IN A RURAL ENVIRONMENT.</t>
  </si>
  <si>
    <t>2YTR7061260968</t>
  </si>
  <si>
    <t>ELBOW,PAD</t>
  </si>
  <si>
    <t>BURNS POLICE DEPARTMENT REQUESTS ELBOW PADS TO ENHANCE OFFICER SAFETY AND REDUCE THE RISK OF INJURY DURING TRAINING TACTICAL OPERATIONS AND FIELD RESPONSE. THIS PROTECTIVE EQUIPMENT SUPPORTS MOBILITY AND COMFORT WHEN OPERATING IN RUGGED TERRAIN OR DYNAMIC ENVIRONMENTS WHICH IS ESSENTIAL FOR OFFICERS SERVING IN A RURAL JURISDICTION.</t>
  </si>
  <si>
    <t>2YTR7061059019</t>
  </si>
  <si>
    <t>BURNS POLICE DEPARTMENT REQUESTS WAIST PACKS TO SUPPORT CONVENIENT, SECURE, AND ACCESSIBLE CARRYING OF ESSENTIAL EQUIPMENT SUCH AS MEDICAL SUPPLIES, COMMUNICATION DEVICES, AND DUTY GEAR. THESE PACKS ENHANCE OFFICER MOBILITY, ORGANIZATION, AND READINESS DURING PATROL AND EMERGENCY RESPONSE, PARTICULARLY IN OUR LARGE RURAL SERVICE AREA.</t>
  </si>
  <si>
    <t>2YTR7061059017</t>
  </si>
  <si>
    <t>BURNS POLICE DEPARTMENT REQUESTS TACTICAL ASSAULT PACKS TO SUPPORT ORGANIZED TRANSPORT OF ESSENTIAL EQUIPMENT DURING PATROL, TACTICAL OPERATIONS, AND EMERGENCY RESPONSE. THESE PACKS ENHANCE MOBILITY, READINESS, AND EFFICIENT ACCESS TO CRITICAL GEAR. FOR A RURAL AGENCY COVERING LARGE AREAS, THEY ARE VITAL FOR MAINTAINING OPERATIONAL EFFECTIVENESS AND OFFICER SAFETY.</t>
  </si>
  <si>
    <t>2YTR7061059013</t>
  </si>
  <si>
    <t>BURNS POLICE DEPARTMENT REQUESTS SUSTAINMENT POUCHES TO SUPPORT ORGANIZED STORAGE AND QUICK ACCESS TO ESSENTIAL EQUIPMENT AND SUPPLIES DURING PATROL AND EXTENDED OPERATIONS. THESE POUCHES ENHANCE EFFICIENCY, ACCOUNTABILITY, AND OFFICER READINESS BY ENSURING CRITICAL ITEMS ARE PROPERLY SECURED AND READILY AVAILABLE IN OUR RURAL RESPONSE ENVIRONMENT.</t>
  </si>
  <si>
    <t>2YTR7061059010</t>
  </si>
  <si>
    <t>BURNS POLICE DEPARTMENT REQUESTS LARGE FIELD RUCKSACKS TO SUPPORT TRANSPORT OF ESSENTIAL EQUIPMENT DURING EXTENDED OPERATIONS, SEARCH AND RESCUE MISSIONS, AND EMERGENCY RESPONSE. THESE PACKS IMPROVE ORGANIZATION, LOAD DISTRIBUTION, AND OFFICER MOBILITY IN REMOTE RURAL AREAS, ENSURING PERSONNEL CAN CARRY CRITICAL GEAR SAFELY AND EFFICIENTLY WHEN RESPONDING TO INCIDENTS.</t>
  </si>
  <si>
    <t>2YTR7061059007</t>
  </si>
  <si>
    <t>POUCH,FLASH BANG GR</t>
  </si>
  <si>
    <t>BURNS POLICE DEPARTMENT REQUESTS FLASH BANG POUCHES TO SUPPORT SAFE, SECURE, AND ORGANIZED STORAGE OF LESS-LETHAL DIVERSIONARY DEVICES. THESE POUCHES IMPROVE ACCOUNTABILITY, ACCESSIBILITY, AND CONTROLLED DEPLOYMENT DURING HIGH-RISK INCIDENTS. PROPER CARRYING EQUIPMENT ENHANCES OFFICER SAFETY AND ENSURES EFFECTIVE USE IN CRITICAL SITUATIONS WITHIN OUR RURAL JURISDICTION.</t>
  </si>
  <si>
    <t>2YTR7061059001</t>
  </si>
  <si>
    <t>FRAME,PACK,MOLLE</t>
  </si>
  <si>
    <t xml:space="preserve">BURNS POLICE DEPARTMENT REQUESTS MOLLE PACK FRAMES TO SUPPORT MODULAR, SECURE, AND EFFICIENT CARRIAGE OF DUTY EQUIPMENT. THESE FRAMES ALLOW OFFICERS TO CONFIGURE GEAR BASED ON MISSION NEEDS, IMPROVING ORGANIZATION, MOBILITY, AND LOAD DISTRIBUTION. THIS CAPABILITY IS ESSENTIAL FOR EFFECTIVE RESPONSE IN BURNS LARGE RURAL SERVICE AREA AND VARIED OPERATIONAL ENVIRONMENTS.
</t>
  </si>
  <si>
    <t>2YTR7061058997</t>
  </si>
  <si>
    <t>FIGHTING LOAD CARRI</t>
  </si>
  <si>
    <t>BURNS POLICE DEPARTMENT REQUESTS FIGHTING LOAD CARRIERS TO SUPPORT SAFE, ORGANIZED, AND EFFICIENT DISTRIBUTION OF ESSENTIAL DUTY EQUIPMENT. THESE CARRIERS IMPROVE WEIGHT MANAGEMENT, ACCESSIBILITY, AND OFFICER MOBILITY DURING PATROL AND EMERGENCY OPERATIONS. FOR A RURAL AGENCY COVERING LARGE AREAS, THIS EQUIPMENT ENHANCES READINESS, SAFETY, AND OPERATIONAL EFFECTIVENESS.</t>
  </si>
  <si>
    <t>2YTR7061058995</t>
  </si>
  <si>
    <t>BURNS POLICE DEPARTMENT REQUESTS ENTRENCHING TOOL CARRIERS TO SUPPORT SECURE TRANSPORT AND ACCESSIBILITY OF FIELD TOOLS DURING SEARCH AND RESCUE, EMERGENCY RESPONSE, AND RURAL OPERATIONS. THESE CARRIERS IMPROVE ORGANIZATION, PROTECT EQUIPMENT, AND ENHANCE OFFICER EFFICIENCY IN REMOTE ENVIRONMENTS WHERE VERSATILE TOOLS ARE OFTEN REQUIRED.</t>
  </si>
  <si>
    <t>2YTR7061058991</t>
  </si>
  <si>
    <t>BURNS POLICE DEPARTMENT REQUESTS INDIVIDUAL EQUIPMENT BELTS TO SUPPORT SAFE, ORGANIZED, AND EFFICIENT CARRYING OF DUTY GEAR. THESE BELTS IMPROVE WEIGHT DISTRIBUTION, ACCESSIBILITY, AND OFFICER MOBILITY DURING PATROL AND EMERGENCY RESPONSE. FOR A RURAL AGENCY, RELIABLE LOAD-BEARING EQUIPMENT IS ESSENTIAL TO MAINTAIN READINESS AND ENSURE EFFECTIVE OPERATIONS.</t>
  </si>
  <si>
    <t>2YTR7061058990</t>
  </si>
  <si>
    <t>BANDOLEER AMMUNITIO</t>
  </si>
  <si>
    <t>BURNS POLICE DEPARTMENT REQUESTS AMMUNITION BANDOLEERS TO SUPPORT SAFE, ORGANIZED, AND EFFICIENT CARRYING OF DUTY AND TRAINING AMMUNITION. THESE ITEMS IMPROVE ACCOUNTABILITY, ACCESSIBILITY, AND MOBILITY DURING TRAINING AND CRITICAL INCIDENTS, ENHANCING OFFICER READINESS AND OPERATIONAL EFFECTIVENESS ACROSS OUR LARGE RURAL SERVICE AREA.</t>
  </si>
  <si>
    <t>2YTR7061058988</t>
  </si>
  <si>
    <t>BURNS POLICE DEPARTMENT REQUESTS ASSAULT PACKS TO SUPPORT EFFICIENT TRANSPORT AND ORGANIZATION OF ESSENTIAL EQUIPMENT DURING PATROL, SEARCH AND RESCUE, AND EMERGENCY RESPONSE OPERATIONS. THESE PACKS ENHANCE MOBILITY, READINESS, AND OFFICER SAFETY BY ENSURING CRITICAL GEAR IS ACCESSIBLE AND PROTECTED, WHICH IS VITAL FOR A RURAL AGENCY COVERING LARGE GEOGRAPHIC AREAS.</t>
  </si>
  <si>
    <t>2YTR7061058987</t>
  </si>
  <si>
    <t>40MM HIGH EXPLOSIVE POUC</t>
  </si>
  <si>
    <t>BURNS POLICE DEPARTMENT REQUESTS 40MM POUCHES TO SUPPORT SAFE STORAGE AND TRANSPORT OF LESS-LETHAL MUNITIONS SUCH AS FLASHBANG DEVICES. THESE POUCHES IMPROVE ORGANIZATION, ACCOUNTABILITY, AND RAPID ACCESS DURING CRITICAL INCIDENTS. PROPER CARRYING EQUIPMENT ENHANCES OFFICER SAFETY AND ENSURES CONTROLLED DEPLOYMENT IN HIGH-RISK SITUATIONS WITHIN OUR RURAL JURISDICTION.</t>
  </si>
  <si>
    <t>2YTR7061260966</t>
  </si>
  <si>
    <t>BURNS POLICE DEPARTMENT REQUESTS ENHANCED FRAME SHOULDER COMPONENTS TO IMPROVE LOAD BEARING SYSTEMS USED WITH DUTY PACKS AND EQUIPMENT CARRIERS. THESE COMPONENTS HELP DISTRIBUTE WEIGHT MORE EFFECTIVELY REDUCE OFFICER FATIGUE AND INCREASE COMFORT AND MOBILITY DURING EXTENDED OPERATIONS SEARCH AND RESCUE AND EMERGENCY RESPONSE. THIS IS ESPECIALLY IMPORTANT FOR OFFICERS OPERATING IN A LARGE RURAL AREA WHERE EQUIPMENT MUST OFTEN BE CARRIED OVER LONG DISTANCES.</t>
  </si>
  <si>
    <t>2YTR7061059000</t>
  </si>
  <si>
    <t>FRAME,FIELD PACK</t>
  </si>
  <si>
    <t>BURNS POLICE DEPARTMENT REQUESTS FIELD PACK FRAMES TO SUPPORT DURABLE AND ERGONOMIC TRANSPORT OF EQUIPMENT DURING PATROL, SEARCH AND RESCUE, AND EMERGENCY RESPONSE OPERATIONS. THESE FRAMES IMPROVE LOAD DISTRIBUTION, REDUCE OFFICER FATIGUE, AND ENHANCE MOBILITY IN RUGGED RURAL TERRAIN, ENSURING OFFICERS CAN EFFECTIVELY CARRY ESSENTIAL GEAR WHEN RESPONDING TO INCIDENTS.</t>
  </si>
  <si>
    <t>KLAMATH COUNTY SHERIFF'S OFFICE (2YT0HN)</t>
  </si>
  <si>
    <t>2YT0HN61007798</t>
  </si>
  <si>
    <t>ITEMS TO BE USED TO REPLACE EXISTING WORN TIRES ON CAIMAN MRAP CURRENTLY IN KLAMATH CO SO INVENTORY FROM DOD, LESO WHICH IS USED FOR LAW ENFORCEMENT PURPOSES.</t>
  </si>
  <si>
    <t>2YT0HN60937079</t>
  </si>
  <si>
    <t>DSRVCAMPR</t>
  </si>
  <si>
    <t>RECREATIONAL CAMPER, TRAILER</t>
  </si>
  <si>
    <t>ITEM TO BE UTILIZED BY SWORN LAW ENFORCEMENT PERSONNEL FOR OCCASIONAL TEMPORARY OVERNIGHT HOUSING WHEN PATROLLING THE NORTH COUNTY WATERWAYS OF 6100 SQUARE MILE COUNTY IN ORDER TO ALLEVIATE TWO HOUR TRAVEL TIME TO AND FROM MAIN OFFICE.</t>
  </si>
  <si>
    <t>PA</t>
  </si>
  <si>
    <t>ALTOONA POLICE DEPARTMENT (2YTAHQ)</t>
  </si>
  <si>
    <t>2YTAHQ61351635</t>
  </si>
  <si>
    <t>THIS ITEM IS BEING REQUESTED BY THE ALTOONA POLICE DEPT. TO BE USED BY OFFICERS TO CARRY SMALLER EQUIPMENT AND GEAR TO AND FROM NARCOTICS OPERATIONS-INVESTIGATIONS, TACTICAL-FIELD OPERATIONS.</t>
  </si>
  <si>
    <t>2YTAHQ61351634</t>
  </si>
  <si>
    <t>THIS ITEM IS BEING REQUESTED BY THE ALTOONA POLICE DEPT. TO BE USED BY OFFICERS TO CARRY LARGER EQUIPMENT AND GEAR TO AND FROM NARCOTICS OPERATIONS-INVESTIGATIONS, TACTICAL-FIELD OPERATIONS.</t>
  </si>
  <si>
    <t>LOWER ALLEN TWP PD (2YTGZM)</t>
  </si>
  <si>
    <t>2YTGZM61562419</t>
  </si>
  <si>
    <t>STOCK,GUN,SHOULDER</t>
  </si>
  <si>
    <t>LOWER ALLEN TOWNSHIP POLICE DEPARTMENT REQUESTS THESE ITEMS FOR USE WITH NEWLY ACQUIRED PATROL RIFLES FOR DUTY USE IN TACTICAL OPERATIONAL DEPLOYMENTS AT EMERGENCY SCENES.</t>
  </si>
  <si>
    <t>2YTGZM61562417</t>
  </si>
  <si>
    <t>LOWER ALLEN TOWNSHIP POLICE DEPARTMENT REQUESTS THESE ITEMS FOR USE WITH OUR NEWLY ACQUIRED PATROL RIFLES FOR ON DUTY TACTICAL OPERATION DEPLOYMENT.</t>
  </si>
  <si>
    <t>2YTGZM61562421</t>
  </si>
  <si>
    <t>AXE,SURVIVAL</t>
  </si>
  <si>
    <t>LOWER ALLEN TOWNSHIP POLICE DEPARTMENT REQUESTS THIS ITEM FOR USE BY OUR PATROL SUPERVISORS IN THEIR BREACH TOOL KIT, FOR EMERGENCY BREACHING OPERATIONS.</t>
  </si>
  <si>
    <t>2YTGZM61562422</t>
  </si>
  <si>
    <t>LOWER ALLEN TOWNSHIP POLICE DEPARTMENT REQUESTS THIS VEHICLE FOR USE BY OFFICERS TO SERVE AS A COVERT AND UNDERCOVER TACTICAL AND EMERGENCY OPERATIONAL VEHICLE, SPECIFICALLY FOR DRUG TASK FORCE, US MARSHAL'S, SWAT, AND DRONE OPERATIONAL DEPLOYMENTS.</t>
  </si>
  <si>
    <t>2YTGZM61703557</t>
  </si>
  <si>
    <t>SHELF-STOWAGE</t>
  </si>
  <si>
    <t>LOWER ALLEN TOWNSHIP POLICE DEPARTMENT REQUESTS THESE SHELVES FOR STORAGE AND RAPID DEPLOYMENT OF TACTICAL EQUIPMENT AND SAFETY GEAR FOR OFFICERS.</t>
  </si>
  <si>
    <t>2YTGZM61562416</t>
  </si>
  <si>
    <t>LOWER ALLEN TOWNSHIP POLICE DEPARTMENT REQUESTS THESE ITEMS FOR USE BY OFFICERS DURING FIREARMS TRAINING AND QUALIFICATIONS.</t>
  </si>
  <si>
    <t>2YTGZM61421395</t>
  </si>
  <si>
    <t>LOWER ALLEN TOWNSHIP POLICE DEPARTMENT REQUESTS THIS ITEM FOR USE BY ON DUTY OFFICERS IN VARIOUS DAY-TO-DAY TASKS REQUIRING MAINTENANCE TOOLS, SUCH AS PATROL BIKE ADJUSTMENTS, REGISTRATION PLATE SEIZURES, PATROL VEHICLE UP AND DOWNFITTING, ETC.</t>
  </si>
  <si>
    <t>2YTGZM61421391</t>
  </si>
  <si>
    <t>LOWER ALLEN TOWNSHIP POLICE DEPARTMENT REQUESTS THIS ITEM FOR USE BY OUR DEPARTMENT-CERTIFIED ARMORERS IN ROUTINE MAINTENANCE AND UPKEEP ON OUR DUTY FIREARMS AND LESS-LETHAL WEAPONS.</t>
  </si>
  <si>
    <t>2YTGZM61219519</t>
  </si>
  <si>
    <t>STEP,LADDER</t>
  </si>
  <si>
    <t>LOWER ALLEN TOWNSHIP POLICE REQUESTS THIS ITEM FOR USE BY PERSONNEL IN OUR IMPOUND GARAGE FOR ACCESSING STORED ITEMS AND PERFORMING ROUTINE VEHICLE MAINTENANCE AND UPFITTING.</t>
  </si>
  <si>
    <t>2YTGZM61219669</t>
  </si>
  <si>
    <t>CASE,ELECTRONIC COMMUNICATIONS EQUIPMENT</t>
  </si>
  <si>
    <t>LOWER ALLEN TOWNSHIP POLICE REQUESTS THESE ITEMS FOR USE BY OUR PERSONNEL AS MAKESHIFT GO-BAGS TO CARRY TOURNIQUETS AND OTHER MEDICAL SUPPLIES.</t>
  </si>
  <si>
    <t>2YTGZM61219680</t>
  </si>
  <si>
    <t>LOWER ALLEN POLICE REQUESTS THESE ITEMS FOR USE BY OUR CRIME SCENE PROCESSING PERSONNEL FOR INVESTIGATIVE SCENE LIGHTING AND FOR TRAINING PURPOSES.</t>
  </si>
  <si>
    <t>2YTGZM61562574</t>
  </si>
  <si>
    <t>LIGHT,CHEMILUMINESC</t>
  </si>
  <si>
    <t>LOWER ALLEN TOWNSHIP POLICE DEPARTMENT REQUESTS THESE ITEMS FOR USE BY OUR SPECIAL TEAM OPERATORS IN TACTICAL BUILDING CLEARING SITUATIONS AND TRAINING MISSIONS.</t>
  </si>
  <si>
    <t>2YTGZM61633094</t>
  </si>
  <si>
    <t>LOWER ALLEN TOWNSHIP POLICE DEPARTMENT IS REQUESTING THESE ITEMS FOR USE BY OUR OFFICERS IN TRAINING AND ON-DUTY SCENARIOS REQUIRING EMERGENCY FIRST AID TREATMENT.</t>
  </si>
  <si>
    <t>2YTGZM61703517</t>
  </si>
  <si>
    <t>FIRST AID KIT,GENER</t>
  </si>
  <si>
    <t>LOWER ALLEN TOWNSHIP POLICE DEPARTMENT REQUESTS THIS ITEM FOR USE BY OFFICERS FOR EMERGENCY MEDICAL TREATMENT IN THE FIELD OR IN TACTICAL MEDICAL OR RANGE TRAINING SCENARIOS.</t>
  </si>
  <si>
    <t>2YTGZM61703516</t>
  </si>
  <si>
    <t>FIRST AID KIT,GENERAL PURPOSE</t>
  </si>
  <si>
    <t>2YTGZM61703515</t>
  </si>
  <si>
    <t>2YTGZM61351003</t>
  </si>
  <si>
    <t>LOWER ALLEN TOWNSHIP POLICE REQUESTS THIS ITEM FOR USE IN OUR PATROL ROOM FOR OFFICERS TO TYPE REPORTS AND FOR CRIMINAL INVESTIGATIONS.</t>
  </si>
  <si>
    <t>2YTGZM61492027</t>
  </si>
  <si>
    <t>COMPUTER SET,GENERAL INFORMATION DATA</t>
  </si>
  <si>
    <t>LOWER ALLEN TOWNSHIP POLICE DEPARTMENT REQUESTS THESE COMPUTERS FOR RUGGED OPERATIONAL MISSIONS IN PATROL VEHICLES FOR ON-DUTY PATROL OFFICER AND TASK FORCE OFFICER USE FOR REPORT COMPLETION AND CRIMINAL INVESTIGATIONS.</t>
  </si>
  <si>
    <t>2YTGZM61421457</t>
  </si>
  <si>
    <t>LOWER ALLEN TOWNSHIP POLICE DEPARTMENT REQUESTS THIS ITEM FOR ON-DUTY USE BY OFFICERS AND COMMAND STAFF IN OUR PATROL ROOM, FOR VARIOUS ADMINISTRATIVE TASKS TO INCLUDE CRIMINAL REPORT AND CHARGE COMPLETION, SURVEILLANCE VIDEO DOWNLOAD AND REVIEW, COURT PREPARATION, ETC.</t>
  </si>
  <si>
    <t>2YTGZM60937197</t>
  </si>
  <si>
    <t>DSKEYBOA3</t>
  </si>
  <si>
    <t>KEYBOARD</t>
  </si>
  <si>
    <t>LOWER ALLEN TOWNSHIP POLICE DEPARTMENT REQUESTS THESE ITEMS FOR USE AT OUR OFFICER'S PATROL DESKS IN REPORT WRITING AND GENERAL POLICE COMPUTER FUNCTIONS.</t>
  </si>
  <si>
    <t>2YTGZM61351455</t>
  </si>
  <si>
    <t>LOWER ALLEN TOWNSHIP POLICE DEPARTMENT REQUESTS THIS ITEM FOR ON-DUTY USE BY OFFICERS AND COMMAND STAFF IN OUR PATROL VEHICLES, FOR VARIOUS ADMINISTRATIVE TASKS TO INCLUDE CRIMINAL REPORT AND CHARGE COMPLETION, SURVEILLANCE VIDEO DOWNLOAD AND REVIEW, COURT PREPARATION, ETC.</t>
  </si>
  <si>
    <t>2YTGZM61421389</t>
  </si>
  <si>
    <t>DISK DRIVE UNIT</t>
  </si>
  <si>
    <t>LOWER ALLEN TOWNSHIP POLICE DEPARTMENT REQUESTS THESE ITEMS TO BE USED BY OFFICERS TO DOWNLOAD AND REVIEW SURVEILLANCE VIDEO DISCS PROVIDED BY LOCAL BUSINESSES IN CRIMINAL CASES.</t>
  </si>
  <si>
    <t>2YTGZM61350999</t>
  </si>
  <si>
    <t>LOWER ALLEN TOWNSHIP POLICE REQUESTS THIS ITEM FOR DETECTIVES AND COMMAND STAFF FIELD OPERATIONS.</t>
  </si>
  <si>
    <t>2YTGZM61351002</t>
  </si>
  <si>
    <t>LOWER ALLEN TOWNSHIP POLICE REQUESTS THESE ITEMS FOR POSSIBLE PATROL USE OR UNDERCOVER VEHICLE OPERATIONS.</t>
  </si>
  <si>
    <t>2YTGZM61562412</t>
  </si>
  <si>
    <t>KEYBOARD,DATA ENTRY</t>
  </si>
  <si>
    <t>LOWER ALLEN TOWNSHIP POLICE DEPARTMENT REQUESTS THESE ITEMS FOR POLICE ADMINISTRATIVE TASK COMPLETION SUCH AS CRIMINAL REPORT REVIEWS, MONTHLY REPORT COMPLETION, ETC.</t>
  </si>
  <si>
    <t>2YTGZM60937195</t>
  </si>
  <si>
    <t>FOOTREST</t>
  </si>
  <si>
    <t>LOWER ALLEN TOWNSHIP POLICE DEPARTMENT REQUESTS THESE ITEMS FOR USE IN OUR PATROL ROOM AT OFFICERS' DESKS.</t>
  </si>
  <si>
    <t>2YTGZM61492298</t>
  </si>
  <si>
    <t>DSBLANKET</t>
  </si>
  <si>
    <t>BLANKET</t>
  </si>
  <si>
    <t>LOWER ALLEN TOWNSHIP POLICE DEPARTMENT REQUESTS THESE ITEMS FOR USE BY OFFICERS IN PATROL VEHICLES TO COMFORT CRIMINAL AND ACCIDENT VICTIMS IN COLD WEATHER AND FOR USE IN INVESTIGATIONS WHERE TRASH OR EVIDENCE MUST BE SPREAD OUT FOR SEARCHING AND PHOTOGRAPHING, WHERE BLANKETS AND TARPS BECOME VERY HELPFUL.</t>
  </si>
  <si>
    <t>2YTGZM60937196</t>
  </si>
  <si>
    <t>DSCAN0000</t>
  </si>
  <si>
    <t>CAN</t>
  </si>
  <si>
    <t>LOWER ALLEN TOWNSHIP POLICE DEPARTMENT REQUESTS THESE ITEMS FOR USE IN FIREARMS TRAINING, SPECIFICALLY FOR BRASS COLLECTION AND STORAGE, AS WELL AS GENERAL DEPARTMENTAL USE.</t>
  </si>
  <si>
    <t>2YTGZM61219667</t>
  </si>
  <si>
    <t>LOWER ALLEN TOWNSHIP POLICE REQUESTS THESE ITEMS FOR USE BY OUR TRAINING PERSONNEL ON THE FIREARMS RANGE.</t>
  </si>
  <si>
    <t>2YTGZM60937070</t>
  </si>
  <si>
    <t>LOWER ALLEN TOWNSHIP POLICE DEPARTMENT IS REQUESTING THESE ITEMS FOR STORAGE OF EMERGENCY OPERATIONAL EQUIPMENT IN OUR PATROL VEHICLES.</t>
  </si>
  <si>
    <t>2YTGZM61633092</t>
  </si>
  <si>
    <t>LOWER ALLEN TOWNSHIP POLICE DEPARTMENT REQUESTS THESE ITEMS FOR USE BY OFFICERS IN SAFELY AND SECURELY STORING AND TRANSPORTING EQUIPMENT TO EMERGENCY RESPONSE SCENES AND TRAINING EXERCISES, SUCH AS FIREARMS, DRONES, AND OTHER TACTICAL EQUIPMENT.</t>
  </si>
  <si>
    <t>2YTGZM61703573</t>
  </si>
  <si>
    <t>SHIRT,FLYER'S</t>
  </si>
  <si>
    <t>LOWER ALLEN TOWNSHIP POLICE DEPARTMENT REQUESTS THESE ITEMS FOR USE BY OFFICERS AS AN UNDERSHIRT BASELAYER FOR UNIFORM WEAR ON DUTY.</t>
  </si>
  <si>
    <t>2YTGZM61633575</t>
  </si>
  <si>
    <t>2YTGZM60867255</t>
  </si>
  <si>
    <t>UNDERSHIRT,COLD WEA</t>
  </si>
  <si>
    <t>LOWER ALLEN TOWNSHIP POLICE REQUESTS THESE SHIRTS FOR ISSUE TO OUR TASK FORCE OFFICERS FOR UNDER-VEST WEAR DURING OPERATIONAL DEPLOYMENTS.</t>
  </si>
  <si>
    <t>2YTGZM61350953</t>
  </si>
  <si>
    <t>LOWER ALLEN TOWNSHIP POLICE REQUESTS THESE ITEMS FOR NEW ACADEMY RECRUITS TO WEAR IN TRAINING AND FOR CEREMONIAL PURPOSES ON DUTY.</t>
  </si>
  <si>
    <t>2YTGZM61351145</t>
  </si>
  <si>
    <t>LOWER ALLEN TOWNSHIP POLICE REQUESTS THIS ITEM FOR ON DUTY OFFICER WEAR IN THE ACADEMY, FOR SPECIAL CLASS A UNIFORM EVENTS, AND DURING FUNERALS.</t>
  </si>
  <si>
    <t>2YTGZM61351147</t>
  </si>
  <si>
    <t>2YTGZM61351032</t>
  </si>
  <si>
    <t>LOWER ALLEN TOWNSHIP POLICE REQUESTS THESE SHOES FOR WEAR BY OUR OFFICERS FOR THE ACADEMY, SPECIAL CLASS A UNIFORM EVENTS, AND FUNERAL SERVICES.</t>
  </si>
  <si>
    <t>2YTGZM61351033</t>
  </si>
  <si>
    <t>2YTGZM61351034</t>
  </si>
  <si>
    <t>2YTGZM61351035</t>
  </si>
  <si>
    <t>2YTGZM61351053</t>
  </si>
  <si>
    <t>2YTGZM61351054</t>
  </si>
  <si>
    <t>2YTGZM61351057</t>
  </si>
  <si>
    <t>2YTGZM61633102</t>
  </si>
  <si>
    <t>SHOES,RUNNING,WOMEN</t>
  </si>
  <si>
    <t>LOWER ALLEN TOWNSHIP POLICE DEPARTMENT REQUESTS THESE SHOES FOR USE BY OUR OFFICERS WHILE TRAINING DEFENSIVE TACTICS AND FIREARMS.</t>
  </si>
  <si>
    <t>2YTGZM61351146</t>
  </si>
  <si>
    <t>SHOES,WOMEN'S</t>
  </si>
  <si>
    <t>2YTGZM61351036</t>
  </si>
  <si>
    <t>2YTGZM61351049</t>
  </si>
  <si>
    <t>2YTGZM61281052</t>
  </si>
  <si>
    <t>2YTGZM61351051</t>
  </si>
  <si>
    <t>2YTGZM60866643</t>
  </si>
  <si>
    <t>LOWER ALLEN TOWNSHIP POLICE DEPARTMENT IS SEEKING ONE OF THESE FRAMES FOR USE WITH OUR ACQUIRED PACKS FOR OUR TASK FORCE OPERATORS TO USE TO STORE THEIR EQUIPMENT FOR ON DUTY USE</t>
  </si>
  <si>
    <t>2YTGZM60866640</t>
  </si>
  <si>
    <t>FRAME</t>
  </si>
  <si>
    <t>LOWER ALLEN TOWNSHIP POLICE DEPARTMENT IS SEEKING THIS ITEM FOR UTILIZATION OF OUR ACQUIRED PACKS FOR TACTICAL TEAM OPERATION, SPECIFICALLY FOR OUR TASK FORCE OFFICERS TO CARRY THEIR VARIOUS EQUIPMENT ON DUTY.</t>
  </si>
  <si>
    <t>2YTGZM60866637</t>
  </si>
  <si>
    <t>2YTGZM61008502</t>
  </si>
  <si>
    <t>MEDIC BAG</t>
  </si>
  <si>
    <t>LOWER ALLEN TOWNSHIP POLICE REQUESTS THIS ITEM FOR EMERGENCY FIRST AID EQUIPMENT STORAGE AND RAPID DEPLOYMENT AMONGST OUR TACTICAL TEAM OPERATORS ON ACTIVE INCIDENTS AND FOR TRAINING PURPOSES.</t>
  </si>
  <si>
    <t>2YTGZM61351383</t>
  </si>
  <si>
    <t>LOWER ALLEN TOWNSHIP POLICE DEPARTMENT REQUESTS THESE ITEMS FOR USE BY OUR TASK FORCE OFFICERS IN STORING AND RAPIDLY DEPLOYING TACTICAL GEAR IN OPERATIONAL SITUATIONS.</t>
  </si>
  <si>
    <t>2YTGZM61562415</t>
  </si>
  <si>
    <t>LOWER ALLEN TOWNSHIP POLICE DEPARTMENT REQUESTS THESE ITEMS FOR USE BY PATROLMEN IN STORING ROUTINE PATROL GEAR SUCH AS SAFETY AND TACTICAL EQUIPMENT, MAGAZINES, MEDICAL SUPPLIES, PAPER FORMS, AND OTHER ITEMS UTILIZED DURING DAILY PATROL FUNCTIONS.</t>
  </si>
  <si>
    <t>2YTGZM61219791</t>
  </si>
  <si>
    <t>LOWER ALLEN TOWNSHIP POLICE REQUESTS 4 OF THESE PACKS FOR TASK FORCE OFFICERS USE IN STORING AND DEPLOYING TACTICAL GEAR IN EMERGENCY OPERATIONS.</t>
  </si>
  <si>
    <t>2YTGZM61219789</t>
  </si>
  <si>
    <t>LOWER ALLEN POLICE REQUESTS THIS BAG FOR USE IN STORING AND RAPIDLY DEPLOYING TACTICAL EQUIPMENT TO INVESTIGATIVE AND EMERGENCY SCENES.</t>
  </si>
  <si>
    <t>LOWER BURRELL POLICE DEPARTMENT (2YTGZ0)</t>
  </si>
  <si>
    <t>2YTGZ061210427</t>
  </si>
  <si>
    <t>LOWER BURRELL CITY POLICE ARE MEMBERS OF A MULTI-JURISDICTIONAL SWAT TEAM COMPRISED OF 14 JURISDICTIONS WITHIN WESTMORELAND COUNTY, PENNSYLVANIA.  THESE AMMO CANS WOULD BE USED TO STORE .40MM MUNITIONS, FLASH BAGS, AND .223 AMMO</t>
  </si>
  <si>
    <t>LUZERNE COUNTY SHERIFF DEPT (2YTG17)</t>
  </si>
  <si>
    <t>2YTG1760937760</t>
  </si>
  <si>
    <t>CASE, BARREL, MACHINE GUN</t>
  </si>
  <si>
    <t>GUN CASES WILL PROTECT DEPARTMENT ISSUED LONG GUNS FROM DAMAGE, MOISTURE, AND UNAUTHORIZED ACCESS DURING TRANSPORT AND STORAGE. PROPER CASES EXTEND EQUIPMENT LIFESPAN, ENSURE READINESS, AND SUPPORT SAFE HANDLING PRACTICES, REDUCING LIABILITY WHILE MAINTAINING THE RELIABILITY OF CRITICAL FIREARMS FOR DUTY USE.</t>
  </si>
  <si>
    <t>2YTG1761007682</t>
  </si>
  <si>
    <t>TRACTOR,WHEELED,AIRCRAFT TOWING</t>
  </si>
  <si>
    <t>THE TRUCK WILL STRENGTHEN THE SHERIFFS DEPARTMENTS OPERATIONAL CAPABILITY BY ENABLING RELIABLE TRANSPORT OF PERSONNEL, EQUIPMENT, AND SUPPLIES. IT SUPPORTS PATROL, EMERGENCY RESPONSE, AND SPECIALIZED OPERATIONS, PARTICULARLY IN DIFFICULT TERRAIN OR SEVERE CONDITIONS, IMPROVING RESPONSE TIMES, OFFICER SAFETY, AND OVERALL SERVICE TO THE COMMUNITY.</t>
  </si>
  <si>
    <t>2YTG1760936896</t>
  </si>
  <si>
    <t>A TRAILER IS ESSENTIAL FOR THE SHERIFFS DEPARTMENT TO SAFELY TRANSPORT EQUIPMENT, VEHICLES, AND EMERGENCY RESOURCES DURING OPERATIONS AND DISASTER RESPONSE. IT IMPROVES EFFICIENCY, REDUCES RELIANCE ON EXTERNAL AGENCIES, AND ENSURES RAPID DEPLOYMENT, ENHANCING PUBLIC SAFETY AND OPERATIONAL READINESS ACROSS THE COUNTY.</t>
  </si>
  <si>
    <t>2YTG1760867376</t>
  </si>
  <si>
    <t>DSWASHER6</t>
  </si>
  <si>
    <t>CLOTHES WASHER</t>
  </si>
  <si>
    <t>A CLOTHES WASHER IS NECESSARY TO ENSURE UNIFORMS, TACTICAL GEAR, AND CLEANING MATERIALS ARE PROPERLY DRIED AND READY FOR USE. THIS SUPPORTS HYGIENE, PROLONGS EQUIPMENT LIFE, AND ENSURES DEPUTIES MAINTAIN A PROFESSIONAL APPEARANCE AND OPERATIONAL READINESS, ESPECIALLY DURING INCLEMENT WEATHER OR HIGH-DEMAND SITUATIONS.</t>
  </si>
  <si>
    <t>2YTG1761007683</t>
  </si>
  <si>
    <t>DEMINERALIZER,WATER,ION EXCHANGE</t>
  </si>
  <si>
    <t>THE ION EXCHANGE WATER DEMINERALIZER WILL PROVIDE A RELIABLE SOURCE OF PURIFIED WATER FOR CLEANING EQUIPMENT, MAINTAINING VEHICLES, AND SUPPORTING SPECIALIZED OPERATIONS. IT HELPS PREVENT MINERAL BUILDUP, EXTENDS THE LIFESPAN OF DEPARTMENT ASSETS, AND ENSURES CONSISTENT WATER QUALITY FOR OPERATIONAL EFFICIENCY AND LONG-TERM COST SAVINGS.</t>
  </si>
  <si>
    <t>2YTG1760936900</t>
  </si>
  <si>
    <t>ACQUIRING ESSENTIAL TOOLS ALLOWS THE SHERIFFS DEPARTMENT TO MAINTAIN EQUIPMENT, CONDUCT REPAIRS, AND SUPPORT EMERGENCY OPERATIONS EFFICIENTLY. PROPER TOOLS REDUCE DOWNTIME, IMPROVE RESPONSE CAPABILITY, AND ENHANCE OFFICER SAFETY, ENSURING RELIABLE SERVICE AND OPERATIONAL READINESS IN BOTH ROUTINE DUTIES AND CRITICAL INCIDENTS.</t>
  </si>
  <si>
    <t>2YTG1760937243</t>
  </si>
  <si>
    <t>SCREW,WOOD</t>
  </si>
  <si>
    <t>WOOD SCREWS ARE NEEDED TO CONSTRUCT TRAINING WALLS FOR THE SHERIFFS DEPARTMENT, PROVIDING A DURABLE AND SAFE SETUP FOR TACTICAL EXERCISES, ENHANCING HANDS-ON TRAINING, AND PREPARING DEPUTIES FOR REAL-WORLD SCENARIOS.</t>
  </si>
  <si>
    <t>2YTG1760937234</t>
  </si>
  <si>
    <t>WORKSTATION,PORTABL</t>
  </si>
  <si>
    <t>A MOBILE WORKSTATION IN THE EVIDENCE LOCKER ENABLES DEPUTIES TO SECURELY CATALOG, TRACK, AND MANAGE EVIDENCE IN REAL TIME. IT IMPROVES ACCURACY, REDUCES PAPERWORK ERRORS, AND ENSURES EFFICIENT CHAIN-OF-CUSTODY DOCUMENTATION, ENHANCING OVERALL ACCOUNTABILITY AND OPERATIONAL EFFICIENCY WITHIN THE SHERIFF'S DEPARTMENT.</t>
  </si>
  <si>
    <t>2YTG1760938128</t>
  </si>
  <si>
    <t>A COMPASS IS A RELIABLE NAVIGATION TOOL FOR DEPUTIES OPERATING IN REMOTE OR LOW-VISIBILITY ENVIRONMENTS WHERE GPS MAY FAIL. IT ENHANCES SITUATIONAL AWARENESS, SUPPORTS SEARCH AND RESCUE OPERATIONS, AND IMPROVES OFFICER SAFETY BY ENSURING ACCURATE ORIENTATION IN THE FIELD. THIS LOW-COST TOOL PROVIDES DEPENDABLE BACKUP NAVIGATION.</t>
  </si>
  <si>
    <t>2YTG1760937239</t>
  </si>
  <si>
    <t>DETECTING SET,MINE</t>
  </si>
  <si>
    <t>A METAL DETECTOR SWEEPER WILL IMPROVE SAFETY IN THE SHERIFFS DEPARTMENT BY QUICKLY DETECTING WEAPONS OR DANGEROUS ITEMS PREVENTING POTENTIAL INCIDENTS.</t>
  </si>
  <si>
    <t>2YTG1760937758</t>
  </si>
  <si>
    <t>METAL DETECTORS WILL ENHANCE THE SHERIFFS DEPARTMENTS ABILITY TO LOCATE HIDDEN OR BURIED EVIDENCE SUCH AS WEAPONS, SHELL CASINGS, AND STOLEN PROPERTY. THIS TOOL IMPROVES SEARCH EFFICIENCY, PRESERVES INVESTIGATIVE RESOURCES, AND INCREASES THE LIKELIHOOD OF RECOVERING CRITICAL ITEMS THAT MAY OTHERWISE REMAIN UNDETECTED, STRENGTHENING CASE OUTCOMES AND PUBLIC SAFETY.</t>
  </si>
  <si>
    <t>2YTG1760866783</t>
  </si>
  <si>
    <t>DSTVSTAN0</t>
  </si>
  <si>
    <t>TV STAND</t>
  </si>
  <si>
    <t>TV STANDS ARE NECESSARY TO SECURELY SUPPORT AND POSITION SCREENS USED FOR SEARCH AND RESCUE COORDINATION AND TRAINING. THEY PROVIDE MOBILITY AND PROPER VIEWING HEIGHT, ALLOWING TEAMS TO EFFECTIVELY MONITOR MAPS, LIVE FEEDS, AND INSTRUCTIONAL CONTENT. THIS ENHANCES COMMUNICATION, SITUATIONAL AWARENESS, AND OVERALL TRAINING EFFICIENCY.</t>
  </si>
  <si>
    <t>2YTG1760937240</t>
  </si>
  <si>
    <t>A FILE CABINET WILL SECURELY STORE SENSITIVE DOCUMENTS, EVIDENCE RECORDS, AND CASE FILES, ENSURING ORGANIZED ACCESS, PROTECTING CONFIDENTIAL INFORMATION, AND SUPPORTING EFFICIENT OPERATIONS WITHIN THE SHERIFFS DEPARTMENT.</t>
  </si>
  <si>
    <t>2YTG1760937707</t>
  </si>
  <si>
    <t>A FOOTREST PROVIDES ERGONOMIC SUPPORT FOR CLERKS AND DEPUTIES, REDUCING STRAIN AND DISCOMFORT DURING LONG PERIODS OF DESK WORK. IT PROMOTES PROPER POSTURE, IMPROVES CIRCULATION, AND ENHANCES COMFORT AND PRODUCTIVITY, CONTRIBUTING TO A HEALTHIER, MORE EFFICIENT WORK ENVIRONMENT.</t>
  </si>
  <si>
    <t>2YTG1760867371</t>
  </si>
  <si>
    <t>DSFRYER00</t>
  </si>
  <si>
    <t>FRYER</t>
  </si>
  <si>
    <t>A DEEP FRYER WILL SUPPORT COMMUNITY OUTREACH EVENTS BY ALLOWING THE SHERIFFS DEPARTMENT TO EFFICIENTLY PREPARE AND SERVE FOOD AT PUBLIC GATHERINGS. THIS ENHANCES ENGAGEMENT, BUILDS POSITIVE RELATIONSHIPS WITH RESIDENTS, AND SUPPORTS FUNDRAISING OR AWARENESS EVENTS, WHILE ENSURING SAFE, CONSISTENT FOOD PREPARATION IN HIGH-VOLUME SETTINGS.</t>
  </si>
  <si>
    <t>2YTG1760928127</t>
  </si>
  <si>
    <t>DSMISCOMA</t>
  </si>
  <si>
    <t>MISCELLANEOUS OFFICE MACHINES</t>
  </si>
  <si>
    <t>A SHREDDER IS ESSENTIAL FOR SECURELY DISPOSING OF SENSITIVE DOCUMENTS, INCLUDING INVESTIGATIVE RECORDS, PERSONAL INFORMATION, AND CONFIDENTIAL REPORTS. PROPER DOCUMENT DESTRUCTION HELPS PREVENT UNAUTHORIZED ACCESS, PROTECTS PRIVACY, AND ENSURES COMPLIANCE WITH LEGAL AND DATA PROTECTION STANDARDS. THIS EQUIPMENT SUPPORTS THE DEPARTMENTS COMMITMENT TO SECURITY AND PROFESSIONALISM.</t>
  </si>
  <si>
    <t>2YTG1760937455</t>
  </si>
  <si>
    <t>SPORTING EQUIPMENT SUPPORTS PHYSICAL FITNESS AND HANDS-ON TRAINING ESSENTIAL FOR DEPUTIES. IT ENHANCES STRENGTH, ENDURANCE, COORDINATION, AND TEAMWORK, ALL CRITICAL FOR EFFECTIVE FIELD PERFORMANCE. PROVIDING PROPER EQUIPMENT HELPS MAINTAIN READINESS, REDUCE INJURY RISK, AND PROMOTE OVERALL WELLNESS WITHIN THE DEPARTMENT.</t>
  </si>
  <si>
    <t>2YTG1760866885</t>
  </si>
  <si>
    <t>TENTS WOULD PROVIDE THE SHERIFFS DEPARTMENT WITH RAPID, FLEXIBLE SHELTER FOR EMERGENCY RESPONSE, SEARCH OPERATIONS, DISASTER RELIEF, AND COMMUNITY SUPPORT. THEY ENABLE ON-SITE COMMAND POSTS, PROTECT PERSONNEL AND EQUIPMENT FROM WEATHER, AND IMPROVE OPERATIONAL EFFICIENCY DURING PROLONGED INCIDENTS WHERE FIXED INFRASTRUCTURE IS UNAVAILABLE OR INSUFFICIENT.</t>
  </si>
  <si>
    <t>2YTG1760866886</t>
  </si>
  <si>
    <t>TARPS PROVIDE THE SHERIFFS DEPARTMENT WITH A LOW-COST, VERSATILE SOLUTION FOR PROTECTING EQUIPMENT, SECURING SCENES, AND SUPPORTING EMERGENCY OPERATIONS. THEY CAN BE USED FOR TEMPORARY SHELTER, EVIDENCE PRESERVATION, WEATHER PROTECTION, AND DISASTER RESPONSE, ENHANCING EFFICIENCY AND READINESS IN SITUATIONS WHERE QUICK, ADAPTABLE COVERAGE IS ESSENTIAL.</t>
  </si>
  <si>
    <t>2YTG1760867375</t>
  </si>
  <si>
    <t>COLD WEATHER JACKETS ARE ESSENTIAL TO ENSURE DEPUTIES CAN SAFELY PERFORM DUTIES IN HARSH WINTER CONDITIONS. PROPER OUTERWEAR HELPS PREVENT COLD-RELATED INJURIES, MAINTAINS OPERATIONAL READINESS, AND ENSURES PERSONNEL REMAIN EFFECTIVE DURING EXTENDED OUTDOOR ASSIGNMENTS, TRAFFIC CONTROL, AND EMERGENCY RESPONSE IN INCLEMENT WEATHER.</t>
  </si>
  <si>
    <t>2YTG1760866780</t>
  </si>
  <si>
    <t>A FLAME-RESISTANT VEST IS ESSENTIAL TO ENHANCE OFFICER SAFETY DURING INCIDENTS INVOLVING FIRE, EXPLOSIONS, OR HAZARDOUS MATERIALS. IT PROVIDES CRITICAL PROTECTION AGAINST BURNS AND HEAT EXPOSURE, REDUCING INJURY RISK WHILE ALLOWING DEPUTIES TO PERFORM THEIR DUTIES EFFECTIVELY. THIS EQUIPMENT IS ESPECIALLY IMPORTANT DURING EMERGENCY RESPONSE, SEARCH AND RESCUE, AND HIGH-RISK OPERATIONS.</t>
  </si>
  <si>
    <t>2YTG1760866778</t>
  </si>
  <si>
    <t>2YTG1760867373</t>
  </si>
  <si>
    <t>2YTG1760866777</t>
  </si>
  <si>
    <t>2YTG1760867372</t>
  </si>
  <si>
    <t>MONONGAHELA POLICE DEPARTMENT (2YTSZY)</t>
  </si>
  <si>
    <t>2YTSZY61491867</t>
  </si>
  <si>
    <t>REQUESTING THIS ITEM FOR USE ON WOODLAND SWAT AND RESCUE OPERATIONS. I ACKNOWLEDGE CONDITION, LOCATION, AND PICK UP RESPONSIBILITIES.</t>
  </si>
  <si>
    <t>2YTSZY60442727</t>
  </si>
  <si>
    <t>REQUESTING THESE ITEMS TO MAINTAIN AND REPAIR SERVICE RIFLES AND PISTOLS CURRENTLY MAINTAINED IN THE ARMORY. I ACKNOWLEDGE CONDITION AND PICK-UP RESPONSIBILITIES.</t>
  </si>
  <si>
    <t>2YTSZY61219845</t>
  </si>
  <si>
    <t>SCOPE RING,SNIPER R</t>
  </si>
  <si>
    <t>REQUESTING THIS ITEM TO RETROFIT A DEPARTMENT SNIPER RIFLE. I ACKNOWLEDGE CONDITION AND PICK UP OBLIGATIONS.</t>
  </si>
  <si>
    <t>2YTSZY60442728</t>
  </si>
  <si>
    <t>REQUESTING THESE COMMUNICATION KITS TO SUPPLEMENT OUR CURRENT INVISIO COMMS SETS FOR BOTH TACTICAL AND PATROL USE. I ACKNOWLEDGE BOTH CONDITION AND PICK-UP RESPONSIBILITIES.</t>
  </si>
  <si>
    <t>STATE POLICE DEPT (2YTJA9)</t>
  </si>
  <si>
    <t>2YTJA960866337</t>
  </si>
  <si>
    <t>PSP WILL USE THESE FOR VEHICLE AND EQUIPMENT MAINTENANCE</t>
  </si>
  <si>
    <t>2YTJA960866338</t>
  </si>
  <si>
    <t>2YTJA960866276</t>
  </si>
  <si>
    <t>PSP WILL USE THESE FOR VEHICLE MAINTENANCE AND WEAPON MAINTENANCE.</t>
  </si>
  <si>
    <t>2YTJA960866336</t>
  </si>
  <si>
    <t>2YTJA960796000</t>
  </si>
  <si>
    <t>PSP WILL USE THESE FOR VEHICLE MAINTENANCE ON ALL PSP SERT VEHICLES.</t>
  </si>
  <si>
    <t>2YTJA960866334</t>
  </si>
  <si>
    <t>TOOL KIT,ELECTRICIA</t>
  </si>
  <si>
    <t>PSP WILL PROVIDED THESE KITS TO OUR ELECTRONIC SURVEILLANCE UNIT FOR USED WHEN INSTALLING COURT ORDERED MONITORING SYSTEMS.</t>
  </si>
  <si>
    <t>2YTJA960866335</t>
  </si>
  <si>
    <t>PSP WILL USE THESE FOR VEHICLE AND EQUIPMENT MAINTENANCE.</t>
  </si>
  <si>
    <t>2YTJA960866365</t>
  </si>
  <si>
    <t>PSP WILL USE THESE FOR WOODED TERRAIN SEARCHES AND OTHER HIGH RISK INCIDENTS IN WOODED AREA.</t>
  </si>
  <si>
    <t>2YTJA960866364</t>
  </si>
  <si>
    <t>2YTJA960867361</t>
  </si>
  <si>
    <t>STRAP,INVOLUNTARY,R</t>
  </si>
  <si>
    <t>PSP WILL USE THESE FOR HIGH RISK WARRANT SERVICES AND BARRICADED GUNMEN CALLS.</t>
  </si>
  <si>
    <t>SC</t>
  </si>
  <si>
    <t>BARNWELL COUNTY SHERIFF OFFICE (2YTAWS)</t>
  </si>
  <si>
    <t>2YTAWS61351155</t>
  </si>
  <si>
    <t>FOR BARNWELL COUNTY SHERIFF'S OFFICE USE ONLY FOR LAW ENFORCEMENT USE. TO BE USED IN THE SHERIFF'S OFFICE ANNEX BUILDING FOR AIR CIRCULATION.</t>
  </si>
  <si>
    <t>2YTAWS61281156</t>
  </si>
  <si>
    <t>DSBLDGCMP</t>
  </si>
  <si>
    <t>BUILDING COMPONENTS, PREFABRICATED</t>
  </si>
  <si>
    <t>USED BY THE BARNWELL COUNTY SHERIFF'S OFFICE BY LAW ENFORCEMENT EMPLOYEES ONLY. USED FOR STORAGE IN THE SHERIFF'S OFFICE ANNEX BUILDING.</t>
  </si>
  <si>
    <t>2YTAWS61421687</t>
  </si>
  <si>
    <t>USED BY BARNWELL COUNTY SHERIFF'S OFFICE EMPLOYEES FOR BARNWELL SHERIFF'S OFFICE DUTIES ON THE OFFICE ISSUED WEAPONS FOR THE SERT TEAM.</t>
  </si>
  <si>
    <t>2YTAWS61351154</t>
  </si>
  <si>
    <t>DSTRETCHE</t>
  </si>
  <si>
    <t>MEDICAL LITTER AND STRETCHERS</t>
  </si>
  <si>
    <t>USED BY THE BARNWELL COUNTY SHERIFF'S OFFICE FOR LAW ENFORCEMENT DUTIES ONLY DURING EMERGENCY SITUATIONS.</t>
  </si>
  <si>
    <t>BEAUFORT CSO (2YTAZ2)</t>
  </si>
  <si>
    <t>2YTAZ261633317</t>
  </si>
  <si>
    <t>BOX,ACCESSORIES STO</t>
  </si>
  <si>
    <t>THIS ITEM IS BEING REQUESTED BY BEAUFORT CSO FOR USE BY BEAUFORT CSO PERSONNEL.  THIS ITEM WILL BE USED TO SERVICE HVAC EQUIPMENT IN TRAFFIC CAMERA ELECTRICAL BOXES.  BEAUFORT CSO MAINTAINS 85 TRAFFIC CAMERAS FOR MAJOR EVENTS AND EVERYDAY TRAFFIC HAZARDS.</t>
  </si>
  <si>
    <t>2YTAZ261633314</t>
  </si>
  <si>
    <t>THIS ITEM IS BEING REQUESTED BY BEAUFORT CSO FOR USE BY BEAUFORT CSO PERSONNEL.  THIS ITEM WILL BE USED TO STORE EQUIPMENT USED FOR THE DAILY OPERATIONS OF BEAUFORT CSO OPERATIONS AND EMERGENCY MANAGEMENT DIVISION IN WHICH CSO IS FOR THE ENTIRE COUNTY.</t>
  </si>
  <si>
    <t>2YTAZ261633315</t>
  </si>
  <si>
    <t>2YTAZ261633318</t>
  </si>
  <si>
    <t>MANUAL,TECHNICAL</t>
  </si>
  <si>
    <t>2YTAZ261491958</t>
  </si>
  <si>
    <t>THIS ITEM IS BEING REQUESTED BY BEAUFORT CSO FOR THE USE BY BEAUFORT CSO PERSONNEL.  THIS ITEM WILL BE USED TO STORE EQUIPMENT FOR PATROL AND EMERGENCY MANAGEMENT OPERATIONS FOR SECURITY AND DESTRUCTIVE WEATHER EVENTS.  BEAUFORT CSO PROVIDES EMD SERVICES FOR THE COUNTY.</t>
  </si>
  <si>
    <t>2YTAZ261491959</t>
  </si>
  <si>
    <t>2YTAZ261683907</t>
  </si>
  <si>
    <t>THIS ITEM IS BEING REQUESTED BY BEAUFORT CSO FOR USE BY BEAUFORT CSO PERSONNEL.  THIS ITEM WILL BE USED TO STORE, CARRY AND TRANSPORT EQUIPMENT USED IN DEPARTMENTAL OPERATIONS SUCH AS LARGE SECURITY EVENTS.</t>
  </si>
  <si>
    <t>DARLINGTON COUNTY SHERIFF DEPT (2YTC4Y)</t>
  </si>
  <si>
    <t>2YTC4Y61492306</t>
  </si>
  <si>
    <t>THE DARLINGTON COUNTY SHERIFFS OFFICE REQUEST THE STORAGE RACKS TO PLACE IN OUR EVIDENCE ROOM.  WE ARE BUILDING A NEW ROOM AND THIS WILL HELP SECURE THE OVER 400 LONG GUNS WE HAVE IN EVIDENCE.</t>
  </si>
  <si>
    <t>2YTC4Y61562617</t>
  </si>
  <si>
    <t>BANDAGE,ELASTIC</t>
  </si>
  <si>
    <t>THE DARLINGTON COUNTY SHERIFF'S OFFICE REQUEST THE BANDAGE FOR OUR FIRST AID KITS FOR OUR DEPUTIES.  THESE WILL HELP ADD AN BUILD OUR FIRST AID KITS FOR EACH DEPUTY.</t>
  </si>
  <si>
    <t>2YTC4Y61562703</t>
  </si>
  <si>
    <t>THE DARLINGTON COUNTY SHERIFF'S OFFICE REQUEST THE COMPUTER WORKSTATIONS TO USE IN EVIDENCE.  THE STATIONS HAVE A MULTIPLE CHARGING AREAS IN THEM AND WE CAN PLACE COMPUTERS AND CELL PHONES IN THEM TO KEEP THEM CHARGED FOR EVIDENCE PURPOSES.</t>
  </si>
  <si>
    <t>2YTC4Y61562705</t>
  </si>
  <si>
    <t>THE DARLINGTON COUNTY SHERIFF'S OFFICE REQUEST THE NETWORK  CABLE TO USE WHEN UP GRADING OUR OFFICES AND NEW EVIDENCE ROOM.  WE HAVE TO RUN INTERNET AND OUR NETWORK TO THIS ROOM AND OFFICE.  THIS WILL HELP THE DEPARTMENT SAVE MONEY WITH UPGRADES.</t>
  </si>
  <si>
    <t>2YTC4Y61492308</t>
  </si>
  <si>
    <t>THE DARLINGTON COUNTY SHERIFF'S OFFICE REQUEST THE CABINETS TO PLACE IN STORAGE ROOM TO STORE EQUIPMENT IN.  THIS WILL HELP US ORGANIZE AND CLEAN UP OUR EQUIPMENT AREA.</t>
  </si>
  <si>
    <t>2YTC4Y61492307</t>
  </si>
  <si>
    <t>THE DARLINGTON COUNTY SHERIFF'S OFFICE REQUEST THE CARTS TO USE IN OUR EVIDENCE BUILDING.  THIS WILL HELP MY EVIDENCE TECHS MOVE EVIDENCE BETWEEN ROWS AND MOVE EVIDENCE TO STORAGE LOCATIONS IN THE BUILDING.</t>
  </si>
  <si>
    <t>DILLON COUNTY SHERIFF OFFICE (2YTDCS)</t>
  </si>
  <si>
    <t>2YTDCS61078706</t>
  </si>
  <si>
    <t>THE DILLON COUNTY SHERIFF'S OFFICE WILL UTILIZE THESE ITEMS BY ISSUING THEM TO DEPUTIES TO BE PLACED ON THEIR DEPARTMENT ISSUED PATROL RIFLE.</t>
  </si>
  <si>
    <t>2YTDCS61078697</t>
  </si>
  <si>
    <t>THE DILLON COUNTY SHERIFF'S OFFICE WILL UTILIZE THIS ITEM BY ISSUING IT TO DEPUTIES TO BE PLACED ON THEIR DEPARTMENT ISSUED PATROL RIFLE</t>
  </si>
  <si>
    <t>2YTDCS61149139</t>
  </si>
  <si>
    <t>THE DILLON COUNTY SHERIFF'S OFFICE WILL UTILIZE THESE ITEMS TO ISSUE TO DEPUTIES TO BE USED ON DEPARTMENT SHOTGUNS</t>
  </si>
  <si>
    <t>2YTDCS61562369</t>
  </si>
  <si>
    <t>CLEANING KIT,GUN</t>
  </si>
  <si>
    <t>THE DILLON COUNTY SHERIFF'S OFFICE WILL UTILIZE THESE ITEMS TO ISSUE TO DEPUTIES TO KEEP THEIR DEPARTMENT ISSUED WEAPONS CLEAN</t>
  </si>
  <si>
    <t>2YTDCS61078698</t>
  </si>
  <si>
    <t>2YTDCS61078699</t>
  </si>
  <si>
    <t>ADAPTER RAIL,WEAPON MOUNTED</t>
  </si>
  <si>
    <t>THE DILLON COUNTY SHERIFF'S OFFICE WILL UTILIZE THIS ITEMS BY ISSUING TO DEPUTIES FOR THEIR DEPARTMENT ISSUED PATROL RIFLE</t>
  </si>
  <si>
    <t>2YTDCS61148904</t>
  </si>
  <si>
    <t>THE DILLON COUNTY SHERIFF'S OFFICE WILL UTILIZE THESE ITEMS BY INSTALLING THEM ON DEPUTIES DEPARTMENT ISSUED PATROL RIFLES AND OR SHOTGUNS</t>
  </si>
  <si>
    <t>2YTDCS61421421</t>
  </si>
  <si>
    <t>THE DILLON COUNTY SHERIFF'S OFFICE WILL UTILIZE THESE ITEMS FOR DEPARTMENT WEAPONS STORAGE TO ADD AN EXTRA LAYER OF SECURITY</t>
  </si>
  <si>
    <t>2YTDCS60937161</t>
  </si>
  <si>
    <t>THE DILLON COUNTY SHERIFF'S OFFICE WILL UTILIZE THESE ITEMS ON ISSUED PATROL RIFLES. RIFLE OPTICS SIGNIFICANTLY IMPROVE SIGHT ALIGNMENT AND TARGET DISCRIMINATION, PARTICULARLY IN LOW-LIGHT OR VISUALLY COMPLEX CONDITIONS. THIS INCREASED CLARITY HELPS REDUCE THE LIKELIHOOD OF MISSED SHOTS OR UNINTENDED IMPACTS, DIRECTLY CONTRIBUTING TO SAFER OUTCOMES. BY IMPROVING ACCURACY AND SITUATIONAL AWARENESS, RISKS TO THE PUBLIC AND OFFICER SAFETY ARE REDUCED.</t>
  </si>
  <si>
    <t>2YTDCS61079157</t>
  </si>
  <si>
    <t>THE DILLON COUNTY SHERIFF'S OFFICE WILL UTILIZE THESE ITEMS TO ISSUE TO DEPUTIES FOR DUTY USE ON THEIR DEPARTMENT ISSUED PATROL RIFLE. I UNDERSTAND THAT THESE ITEMS MAY BE DAMAGED AND NOT WORKING AT ALL OR CORRECTLY</t>
  </si>
  <si>
    <t>2YTDCS61492127</t>
  </si>
  <si>
    <t>THE DILLON COUNTY SHERIFF'S OFFICE WILL UTILIZE THESE ITEMS TO ISSUE TO DEPUTIES FOR DUTY USE AND SURVEILLANCE. I UNDERSTAND THAT THESE ARE A CONDITION H AND MAY NOT WORK</t>
  </si>
  <si>
    <t>2YTDCS61078702</t>
  </si>
  <si>
    <t>THE DILLON COUNTY SHERIFF'S OFFICE WILL UTILIZE THESE ITEMS BY ISSUING THEM TO DEPUTIES FOR DUTY USE AND SURVEILLANCE. I UNDERSTAND THEY MAY BE DAMAGED.</t>
  </si>
  <si>
    <t>2YTDCS60937163</t>
  </si>
  <si>
    <t xml:space="preserve">THE DILLON COUNTY SHERIFF'S OFFICE WILL ISSUE THESE ITEMS TO SHIFT SUPERVISORS AFTER PROPER TRAINING. RANGEFINDERS IMPROVE DEPUTIES ABILITY TO ASSESS ENVIRONMENTS QUICKLY AND ACCURATELY, PARTICULARLY IN LARGE GEOGRAPHIC AREAS COMMON TO MANY JURISDICTIONS. THIS INCREASED EFFICIENCY SUPPORTS COORDINATED RESPONSES, BETTER RESOURCE DEPLOYMENT, AND IMPROVED OUTCOMES DURING CRITICAL INCIDENTS, SEARCH OPERATIONS, AND PERIMETER CONTROL SITUATIONS.
</t>
  </si>
  <si>
    <t>2YTDCS60938061</t>
  </si>
  <si>
    <t>THE DILLON COUNTY SHERIFF'S OFFICE WILL UTILIZE THESE ITEMS BY ISSUING THEM TO DEPUTIES TO BE PLACED ON THEIR PATROL RIFLES. I DO UNDERSTAND THAT THESE ITEMS MAY BE DAMAGED AND NOT ALL USABLE</t>
  </si>
  <si>
    <t>2YTDCS61219420</t>
  </si>
  <si>
    <t>CASE,AIRBORNE WEAPONS</t>
  </si>
  <si>
    <t>THE DILLON COUNTY SHERIFF'S OFFICE WILL UTILIZE THESE ITEMS BY ISSUING TO DEPUTIES FOR PATROL RIFLE STORAGE.</t>
  </si>
  <si>
    <t>2YTDCS61139938</t>
  </si>
  <si>
    <t>LIGHT ASSY,FLOOD,PA</t>
  </si>
  <si>
    <t>THE DILLON COUNTY SHERIFF'S OFFICE WILL UTILIZE THESE ITEMS FOR CRIME SCENE PROCESSING ENABLING OFFICERS TO EASILY PROCESS SCENES AT NIGHT. THIS WILL ALSO OFFER SCENE SECURITY.</t>
  </si>
  <si>
    <t>2YTDCS61008003</t>
  </si>
  <si>
    <t>THE DILLON COUNTY SHERIFF'S OFFICE WILL UTILIZE THESE ITEMS FOR SECURING CRIME SCENES FROM WEATHER, FOR COVERING EQUIPMENT TO ALSO PROTECT IT FROM WEATHER</t>
  </si>
  <si>
    <t>2YTDCS61078474</t>
  </si>
  <si>
    <t>THE DILLON COUNTY SHERIFF'S OFFICE WILL UTILIZE THIS ITEM FOR COLD STORAGE OF BIOLOGICAL EVIDENCE SUCH AS BLOOD, SEXUAL ASSAULT KITS, AND DNA EVIDENCE</t>
  </si>
  <si>
    <t>2YTDCS61219712</t>
  </si>
  <si>
    <t>THE DILLON COUNTY SHERIFF'S OFFICE WILL UTILIZE THIS ITEM FOR BIOLOGICAL STORAGE OF CRIME SCENE MATERIALS SUCH AS DNA AND TISSUE SAMPLES BEFORE AND AFTER TESTING FOR COURT PURPOSES</t>
  </si>
  <si>
    <t>2YTDCS61350693</t>
  </si>
  <si>
    <t>THE DILLON COUNTY SHERIFF'S OFFICE WILL UTILIZE THESE ITEMS ON THE FIRING RANGE AND IN THE DEPARTMENT SHOP.</t>
  </si>
  <si>
    <t>2YTDCS61421614</t>
  </si>
  <si>
    <t>FORCED ENTRY AND RE</t>
  </si>
  <si>
    <t>THE DILLON COUNTY SHERIFF'S OFFICE WILL UTILIZE THESE ITEMS FOR STORM OPERATIONS ALONG WITH FORCING ENTRY INTO RESIDENCES FOR BARRICADED SUBJECTS</t>
  </si>
  <si>
    <t>2YTDCS60937279</t>
  </si>
  <si>
    <t>THE DILLON COUNTY SHERIFFS OFFICE WILL UTILIZE THESE ITEMS AS ESSENTIAL PERSONAL PROTECTIVE EQUIPMENT PPE TO PROTECT DEPUTIES FROM DEBRIS, CHEMICAL EXPOSURE, AND OTHER HAZARDS, WHILE ENSURING CLEAR VISION DURING OPERATIONS.</t>
  </si>
  <si>
    <t>2YTDCS61078374</t>
  </si>
  <si>
    <t>THE DILLON COUNTY SHERIFF'S OFFICE WILL UTILIZE THESE ITEMS BY ISSUING THEM TO DEPUTIES FOR TRAINING AND DUTY USE</t>
  </si>
  <si>
    <t>2YTDCS61351071</t>
  </si>
  <si>
    <t>THE DILLON COUNTY SHERIFF'S OFFICE WILL UTILIZE THESE ITEMS TO ISSUE TO DEPUTIES FOR TRAINING AND DUTY USE WHERE EYE PROTECTION IS NEEDED</t>
  </si>
  <si>
    <t>2YTDCS61421870</t>
  </si>
  <si>
    <t>BELT,SAFETY,INDUSTRIAL</t>
  </si>
  <si>
    <t>THE DILLON COUNTY SHERIFF'S OFFICE WILL UTILIZE THESE ITEMS FOR ISSUING TO DEPUTIES FOR DUTY USE</t>
  </si>
  <si>
    <t>2YTDCS61219707</t>
  </si>
  <si>
    <t>THE DILLON COUNTY SHERIFF'S OFFICE WILL UTILIZE THESE ITEMS IN THE DEPARTMENT SHOP, ON THE DEPARTMENT FIRING RANGE, AND ON OPERATIONS WHERE HEAT IS NEEDED. SUCH AS SEARCH AND RESCUE AND SUSPECT TRACKING. I UNDERSTAND THESE ITEMS MAY NOT WORK CORRECTLY</t>
  </si>
  <si>
    <t>2YTDCS61219818</t>
  </si>
  <si>
    <t>THE DILLON COUNTY SHERIFF'S OFFICE WILL UTILIZE THIS ITEM FOR CHANGING TIRES ON PATROL VEHICLES, ALSO THIS WILL BE USED TO ASSIST STRANDED MOTORIST WHO HAVE A FLAT TIRE. THIS ITEM IS SAFER THAN THE TRADITIONAL BOTTLE JACK</t>
  </si>
  <si>
    <t>2YTDCS61632936</t>
  </si>
  <si>
    <t>BREACHING SET CPL</t>
  </si>
  <si>
    <t>THE DILLON COUNTY SHERIFFS OFFICE WILL UTILIZE THIS ITEM TO ISSUE TO DEPUTIES TO BE USED FOR SEARCH WARRANTS AND ENTRY OPERATIONS</t>
  </si>
  <si>
    <t>2YTDCS61421615</t>
  </si>
  <si>
    <t>CROWBAR</t>
  </si>
  <si>
    <t>THE DILLON COUNTY SHERIFFS OFFICE WILL UTILIZE THESE ITEMS FOR STORM WORK ALONG WITH FORCING ENTRY INTO RESIDENCES FOR BARRICADED SUBJECTS</t>
  </si>
  <si>
    <t>2YTDCS61421613</t>
  </si>
  <si>
    <t>CUTTER,FLEX TIE CUFFS</t>
  </si>
  <si>
    <t>THE DILLON COUNTY SHERIFFS OFFICE WILL UTILIZE THESE TOOLS TO ISSUED TO DEPUTIES ALONG WITH DEPARTMENT ISSUED FLEX CUFFS</t>
  </si>
  <si>
    <t>2YTDCS61491724</t>
  </si>
  <si>
    <t>THE DILLON COUNTY SHERIFF'S OFFICE WILL UTILIZE THESE ITEMS FOR FLEET REPAIRS AND FACILITIES REPAIR</t>
  </si>
  <si>
    <t>2YTDCS61078762</t>
  </si>
  <si>
    <t>THE DILLON COUNTY SHERIFF'S OFFICE WILL UTILIZE THIS ITEM FOR PATROL FLEET MAINTENANCE AND REPAIRS.</t>
  </si>
  <si>
    <t>2YTDCS61280501</t>
  </si>
  <si>
    <t>THE DILLON COUNTY SHERIFF'S OFFICE WILL UTILIZE THIS ITEM FOR FIRING RANGE FACILITY MAINTENANCE AND UPKEEP</t>
  </si>
  <si>
    <t>2YTDCS61421638</t>
  </si>
  <si>
    <t>THE DILLON COUNTY SHERIFF'S OFFICE WILL UTILIZE THIS FOR DEPUTIES TO USE TO STOP VEHICLE PURSUITS IN A SAFE MANNER. THE USE OF THESE WILL BE DETERMINED BY AGENCY POLICY</t>
  </si>
  <si>
    <t>2YTDCS61078286</t>
  </si>
  <si>
    <t>THE DILLON COUNTY SHERIFF'S OFFICE WILL UTILIZE THESE ITEMS TO ISSUE TO DEPUTIES TO BE PLACED ON THEIR DEPARTMENT PATROL RIFLES. I UNDERSTAND THESE ITEMS MAY NOW WORK PROPERLY OR BE DAMAGED WITH A CONDITION CODE F</t>
  </si>
  <si>
    <t>2YTDCS61351595</t>
  </si>
  <si>
    <t>THE DILLON COUNTY SHERIFFS OFFICE WILL UTILIZE THESE ITEMS ON THE FIRING RANGE TO HELP ZERO DEPUTIES DEPARTMENT ISSUED PATROL RIFLES</t>
  </si>
  <si>
    <t>2YTDCS61421616</t>
  </si>
  <si>
    <t>THE DILLON COUNTY SHERIFFS OFFICE WILL UTILIZE THESE ITEMS TO ISSUE TO DEPUTIES TO ALLOW SEAMLESS TRANSLATION DURING PUBLIC INTERACTIONS. I UNDERSTAND THAT THESE MAY BE DAMAGED AND NOT WORK PROPERLY</t>
  </si>
  <si>
    <t>2YTDCS61492212</t>
  </si>
  <si>
    <t>THE DILLON COUNTY SHERIFF'S OFFICE WILL UTILIZE THESE ITEMS TO ISSUE TO DEPUTIES TO BE USED WITH THEIR DEPARTMENT ISSUED RADIOS. I UNDERSTAND THESE ARE CONDITION H AND MAY NOT WORK</t>
  </si>
  <si>
    <t>2YTDCS61139939</t>
  </si>
  <si>
    <t>THE DILLON COUNTY SHERIFF'S OFFICE  WILL UTILIZE THESE ITEMS FOR CRIME SCENE PROCESSING WHERE POWER AND LIGHTING ARE NEEDED. ALSO THESE WILL BE UTILIZE DURING STORMS WHEN POWER IS NEEDED.</t>
  </si>
  <si>
    <t>2YTDCS61078704</t>
  </si>
  <si>
    <t>THE DILLON COUNTY SHERIFF'S OFFICE WILL UTILIZE THESE ITEMS BY ISSUING THEM TO DEPUTIES TO BE USED ON THEIR DEPARTMENT ISSUED PATROL RIFLE.</t>
  </si>
  <si>
    <t>2YTDCS61078264</t>
  </si>
  <si>
    <t>THE DILLON COUNTY SHERIFF'S OFFICE WILL UTILIZE THESE ITEMS TO ISSUE TO DEPUTIES FOR HANDS FREE LIGHT DURING NIGHT SHIFT ROTATIONS</t>
  </si>
  <si>
    <t>2YTDCS61350815</t>
  </si>
  <si>
    <t>THE DILLON COUNTY SHERIFF'S OFFICE WILL UTILIZE THESE ITEMS TO ISSUED TO DEPUTIES FOR PATROL USE</t>
  </si>
  <si>
    <t>2YTDCS61421244</t>
  </si>
  <si>
    <t>TAPE,COMBAT MEDIC REINFORCED</t>
  </si>
  <si>
    <t>THE DILLON COUNTY SHERIFF'S OFFICE WILL UTILIZE THIS ITEM TO ISSUE TO DEPUTIES TO FILL THEIR IFAK AND FIRST AID KIT</t>
  </si>
  <si>
    <t>2YTDCS61492139</t>
  </si>
  <si>
    <t>THE DILLON COUNTY SHERIFF'S OFFICE WILL UTILIZE THESE KITS TO ISSUE TO DEPUTIES TO BUILD THEIR IFAK KITS FOR THEIR PATROL CARS AND DUTY GEAR</t>
  </si>
  <si>
    <t>2YTDCS61148932</t>
  </si>
  <si>
    <t>THE DILLON COUNTY SHERIFF'S OFFICE WILL UTILIZE THESE ITEMS TO ISSUE TO ROAD DEPUTIES AND SCHOOL RESOURCE OFFICERS FOR DUTY USE</t>
  </si>
  <si>
    <t>2YTDCS61281084</t>
  </si>
  <si>
    <t>THE DILLON COUNTY SHERIFF'S OFFICE WILL UTILIZE THESE ITEMS TO ISSUE TO PATROL DEPUTIES AND OFFICERS FOR MEDICAL PURPOSES</t>
  </si>
  <si>
    <t>2YTDCS61149269</t>
  </si>
  <si>
    <t>THE DILLON COUNTY SHERIFF'S OFFICE WILL UTILIZE THIS ITEM BY ISSUING IT TO DEPUTIES FOR DUTY USE. THESE WILL ALLOW DEPUTIES TO HAVE BASIC FIRST AID KITS IN THEIR VEHICLES</t>
  </si>
  <si>
    <t>2YTDCS61280012</t>
  </si>
  <si>
    <t>THE DILLON COUNTY SHERIFF'S OFFICE WILL UTILIZE THIS ITEM FOR ISSUING TO DEPUTIES WHO ARE TACMED CERTIFIED TO BE USED TO RENDER AID TO THE PUBLIC, SUSPECT, OR OTHER DEPUTIES</t>
  </si>
  <si>
    <t>2YTDCS61148900</t>
  </si>
  <si>
    <t>THE DILLON COUNTY SHERIFF'S OFFICE WILL UTILIZE THESE ITEMS BY ISSUING TO DEPUTIES SO THEY WILL HAVE THE MEANS TO RENDER AID TO THE PUBLIC, SUSPECTS, OR OTHER DEPUTIES</t>
  </si>
  <si>
    <t>2YTDCS61149837</t>
  </si>
  <si>
    <t>THE DILLON COUNTY SHERIFF'S OFFICE WILL ISSUE THESE ITEMS TO BOTH ROAD DEPUTIES AND RESOURCE OFFICERS SO THEY WILL HAVE PORTABLE MEDICAL SUPPLIES TO RENDER AID TO BOTH THE PUBLIC AND OTHER OFFICERS</t>
  </si>
  <si>
    <t>2YTDCS61492138</t>
  </si>
  <si>
    <t>2YTDCS61007891</t>
  </si>
  <si>
    <t>BORESCOPE KIT</t>
  </si>
  <si>
    <t>THE DILLON COUNTY SHERIFF'S OFFICE WILL UTILIZE THIS ITEM IN TACTICAL OPERATIONS INCLUDING SEARCH WARRANTS, ARREST WARRANTS, AND VEHICLE SEARCHES. THIS CAPABILITY REDUCES THE RISK OF INJURY BY LIMITING THE NEED FOR OFFICERS TO REACH INTO UNKNOWN OR POTENTIALLY DANGEROUS AREAS WHERE WEAPONS, HAZARDOUS MATERIALS, OR SUSPECTS MAY BE PRESENT. IT ALSO SUPPORTS MORE INFORMED DECISION-MAKING DURING SEARCHES, WARRANT SERVICE, AND TACTICAL OPERATIONS.</t>
  </si>
  <si>
    <t>2YTDCS61007890</t>
  </si>
  <si>
    <t>DSCAMERA2</t>
  </si>
  <si>
    <t>CAMERA, STILL PICTURE</t>
  </si>
  <si>
    <t>THE DILLON COUNTY SHERIFF'S OFFICE WILL ISSUE THESE CAMERAS TO PATROL DEPUTIES. THE DEPUTIES WILL BE ABLE TO DOCUMENT CRIME SCENES FOR COURT PURPOSES. THE USE OF DIGITAL CAMERAS IMPROVES SITUATIONAL AWARENESS AND SUPPORTS SAFER INTERACTIONS BY PROVIDING CLEAR, OBJECTIVE RECORDS OF INCIDENTS. THIS DOCUMENTATION CAN DE-ESCALATE CONFLICTS, STRENGTHEN PROSECUTIONS, AND PROTECT OFFICERS FROM FALSE CLAIMS.</t>
  </si>
  <si>
    <t>2YTDCS61492175</t>
  </si>
  <si>
    <t>THE DILLON COUNTY SHERIFF'S OFFICE WILL UTILIZE THESE 2 ITEMS FOR TRAINING PURPOSES. I UNDERSTAND THAT THESE ARE CONDITION F AND MAY NOT WORK.</t>
  </si>
  <si>
    <t>2YTDCS61078242</t>
  </si>
  <si>
    <t>LABEL MAKER,DESKTOP</t>
  </si>
  <si>
    <t>THE DILLON COUNTY SHERIFF'S OFFICE WILL UTILIZE THIS ITEM FOR MAKING LABELS FOR EVIDENCE AND INVENTORY ITEMS.</t>
  </si>
  <si>
    <t>2YTDCS61491828</t>
  </si>
  <si>
    <t>ARCH BOARD FILE</t>
  </si>
  <si>
    <t>THE DILLON COUNTY SHERIFF'S OFFICE WILL UTILIZE THESE ITEMS ON THE FIRING RANGE TO KEEP PAPERWORK SECURE</t>
  </si>
  <si>
    <t>2YTDCS61219796</t>
  </si>
  <si>
    <t>PEN,BALL-POINT</t>
  </si>
  <si>
    <t>THE DILLON COUNTY SHERIFF'S OFFICE WILL UTILIZE THESE ITEMS FOR SHERIFFS OFFICE STAFF. THIS WILL ALSO ASSIST IN REMOVING A LINE ITEM FOR THE BUDGET</t>
  </si>
  <si>
    <t>2YTDCS61079143</t>
  </si>
  <si>
    <t>SHIPPING AND STORAGE CONTAINER,CARTRIDGE</t>
  </si>
  <si>
    <t>THE DILLON COUNTY SHERIFF'S OFFICE WILL UTILIZE THESE ITEMS ON THE DEPARTMENT FIRING RANGE FOR STORAGE OF RANGE SAFETY EQUIPMENT AND AMMUNITION</t>
  </si>
  <si>
    <t>2YTDCS61078248</t>
  </si>
  <si>
    <t>THE DILLON COUNTY SHERIFF'S OFFICE WILL UTILIZE THESE ITEMS TO STORE TRAINING AMMUNITION ALONG WITH DUTY AMMUNITION TO KEEP IT DRY AND SECURE</t>
  </si>
  <si>
    <t>2YTDCS61078628</t>
  </si>
  <si>
    <t>THE DILLON COUNTY SHERIFF'S OFFICE WILL UTILIZE THESE ITEMS BY ISSUING THEM TO DEPUTIES AND INVESTIGATORS FOR STORAGE OF CRIME SCENE PROCESSING MATERIALS.</t>
  </si>
  <si>
    <t>2YTDCS61401868</t>
  </si>
  <si>
    <t>THE DILLON COUNTY SHERIFF'S OFFICE WILL UTILIZE THESE ITEMS FOR ISSUING TO DEPUTIES FOR DUTY USE IN STORM CONDITIONS</t>
  </si>
  <si>
    <t>2YTDCS61129404</t>
  </si>
  <si>
    <t>THE DILLON COUNTY SHERIFF'S OFFICE WILL UTILIZE THESE ITEMS TO ISSUE TO DEPUTIES FOR DUTY USE</t>
  </si>
  <si>
    <t>2YTDCS61129401</t>
  </si>
  <si>
    <t>THE DILLON COUNTY SHERIFF'S OFFICE WILL UTILIZE THESE ITEMS TO ISSUED TO DEPUTIES FOR DUTY USE</t>
  </si>
  <si>
    <t>2YTDCS61129399</t>
  </si>
  <si>
    <t>2YTDCS61190428</t>
  </si>
  <si>
    <t>2YTDCS60988250</t>
  </si>
  <si>
    <t>THE DILLON COUNTY SHERIFF'S OFFICE WILL UTILIZE THESE ITEMS FOR ISSUING TO DEPUTIES TO PROTECT FROM WINTER ELEMENTS AND FOR DAY TO DAY DUTIES</t>
  </si>
  <si>
    <t>2YTDCS61219435</t>
  </si>
  <si>
    <t>THE DILLON COUNTY SHERIFF'S OFFICE WILL UTILIZE THESE ITEMS BY ISSUING THEM TO PATROL DEPUTIES FOR DUTY USE AND RADIO STORAGE AND CARRYING</t>
  </si>
  <si>
    <t>2YTDCS61260850</t>
  </si>
  <si>
    <t>PANEL,TACTICAL ASSA</t>
  </si>
  <si>
    <t>THE DILLON COUNTY SHERIFF'S OFFICE WILL UTILIZE THESE ITEMS TO ISSUE TO DEPUTIES FOR DUTY USE. THEY WILL ENABLE DEPUTIES TO CARRY MORE AMMO OR MEDICAL SUPPLIES IN SITUATIONS WHERE THEY ARE NEEDED</t>
  </si>
  <si>
    <t>2YTDCS61260851</t>
  </si>
  <si>
    <t>THE DILLON COUNTY SHERIFF'S OFFICE WILL UTILIZE THESE ITEMS TO ISSUE TO DEPUTIES FOR DUTY USE.</t>
  </si>
  <si>
    <t>2YTDCS61129723</t>
  </si>
  <si>
    <t>FLASH BANG GRENADE</t>
  </si>
  <si>
    <t>THE DILLON COUNTY SHERIFF'S OFFICE WILL ISSUE THESE ITEMS TO DEPUTIES FOR DUTY USE FOR STORAGE OF DEPARTMENT ISSUES FLASHBANG GRENADES.</t>
  </si>
  <si>
    <t>2YTDCS61219727</t>
  </si>
  <si>
    <t>PANEL,LEGWHIPX,SP,K</t>
  </si>
  <si>
    <t>THE DILLON COUNTY SHERIFF'S OFFICE WILL UTILIZE THESE ITEMS TO ISSUE TO PATROL DEPUTIES FOR DUTY USE. THIS PLATFORM WILL ALLOW DEPUTIES TO QUICKLY ATTACH DIFFERENT MOLLE ITEMS SUCH AS IFAK KITS AND EXTRA MAGAZINES TO THEIR PERSON VIA DROP LEG</t>
  </si>
  <si>
    <t>2YTDCS61149045</t>
  </si>
  <si>
    <t>THE DILLON COUNTY SHERIFF'S OFFICE WILL UTILIZE THESE ITEMS BY ISSUING THEM TO DEPUTIES TO BE USED WITH FIELD PACKS THAT WERE RECEIVED FROM A PREVIOUS REQUISITION.</t>
  </si>
  <si>
    <t>2YTDCS61059046</t>
  </si>
  <si>
    <t>2YTDCS61421617</t>
  </si>
  <si>
    <t>BG</t>
  </si>
  <si>
    <t>THE DILLON COUNTY SHERIFF'S OFFICE WILL UTILIZE THESE ITEMS TO ISSUED TO DEPUTIES FOR DUTY USE IN RESTRAINING SUSPECTS</t>
  </si>
  <si>
    <t>2YTDCS61331278</t>
  </si>
  <si>
    <t>THE DILLON COUNTY SHERIFF'S OFFICE WILL UTILIZE THESE TO ISSUE TO DEPUTIES FOR STORAGE OF DEPARTMENT ISSUED FLASHBANGS</t>
  </si>
  <si>
    <t>2YTDCS61190218</t>
  </si>
  <si>
    <t>PADS,KNEE</t>
  </si>
  <si>
    <t>THE DILLON COUNTY SHERIFF'S OFFICE WILL UTILIZE THESE ITEMS FOR ISSUING TO DEPUTIES FOR DAY TO DAY DUTY USE AND TACTICAL SITUATIONS.</t>
  </si>
  <si>
    <t>2YTDCS61190219</t>
  </si>
  <si>
    <t>PADS,ELBOW</t>
  </si>
  <si>
    <t>2YTDCS61260795</t>
  </si>
  <si>
    <t>THE DILLON COUNTY SHERIFF'S OFFICE WILL UTILIZE THESE ITEMS TO ISSUE TO DEPUTIES FOR PATROL AND TACTICAL USE</t>
  </si>
  <si>
    <t>2YTDCS61260797</t>
  </si>
  <si>
    <t>2YTDCS61129378</t>
  </si>
  <si>
    <t>POCKET,AMMUNITION M</t>
  </si>
  <si>
    <t>THE DILLON COUNTY SHERIFF'S OFFICE WILL UTILIZE THESE ITEMS BY ISSUING THEM TO DEPUTIES FOR DUTY USE. STORAGE OF EXTRA PATROL RIFLE MAGAZINES</t>
  </si>
  <si>
    <t>2YTDCS61129380</t>
  </si>
  <si>
    <t>THE DILLON COUNTY SHERIFF'S OFFICE WILL UTILIZE THESE ITEMS FOR ISSUING TO DEPUTIES FOR DUTY USE AND STORAGE.</t>
  </si>
  <si>
    <t>2YTDCS61190143</t>
  </si>
  <si>
    <t>CARRIER,HYDRATION S</t>
  </si>
  <si>
    <t>THE DILLON COUNTY SHERIFF'S OFFICE WILL UTILIZE THESE ITEMS TO ISSUE TO DEPUTIES FOR DAY TO DAY DUTY USE AND WATER STORAGE.</t>
  </si>
  <si>
    <t>2YTDCS60988249</t>
  </si>
  <si>
    <t>THE DILLON COUNTY SHERIFF'S OFFICE WILL UTILIZE THESE ITEMS BY ISSUING TO PATROL DEPUTIES TO USE DURING DAY TO DAY DUTIES</t>
  </si>
  <si>
    <t>2YTDCS60988244</t>
  </si>
  <si>
    <t>KNEE PAD SYSTEM</t>
  </si>
  <si>
    <t>THE DILLON COUNTY SHERIFF'S OFFICE WILL UTILIZE THESE ITEMS BY ISSUING THEM TO DEPUTIES FOR USE ON PATROL</t>
  </si>
  <si>
    <t>2YTDCS60988245</t>
  </si>
  <si>
    <t>RUCKSACK LARGE FIEL</t>
  </si>
  <si>
    <t>THE DILLON COUNTY SHERIFF'S OFFICE WILL UTILIZE THESE ITEMS BY ISSUING THEM TO PATROL DEPUTIES AND INVESTIGATORS FOR STORAGE AND EASY TRANSPORT OF WORK RELATED ITEMS</t>
  </si>
  <si>
    <t>2YTDCS60928119</t>
  </si>
  <si>
    <t>THE DILLON COUNTY SHERIFF'S OFFICE WILL UTILIZE THESE ITEMS BY ISSUING THEM TO DEPUTIES FOR PATROL WORK</t>
  </si>
  <si>
    <t>2YTDCS60928120</t>
  </si>
  <si>
    <t>THE DILLON COUNTY SHERIFF'S OFFICE WILL UTILIZE THESE ITEMS BY ISSUING THEM TO DEPUTIES FOR USE ON THE FIRING RANGE FOR PRONE AND KNEELING POSITION TRAINING</t>
  </si>
  <si>
    <t>2YTDCS61129481</t>
  </si>
  <si>
    <t>THE DILLON COUNTY SHERIFF'S OFFICE WILL UTILIZE THESE ITEMS TO ISSUE TO DEPUTIES</t>
  </si>
  <si>
    <t>2YTDCS61129482</t>
  </si>
  <si>
    <t>2YTDCS61219485</t>
  </si>
  <si>
    <t>POUCH,DBLGREN,40M,K</t>
  </si>
  <si>
    <t>THE DILLON COUNTY SHERIFF'S OFFICE WILL UTILIZE THESE ITEMS TO ISSUE TO DEPUTIES FOR DUTY USE AND STORAGE</t>
  </si>
  <si>
    <t>2YTDCS61129419</t>
  </si>
  <si>
    <t>POUCH,M4 TWO MAGAZI</t>
  </si>
  <si>
    <t>THE DILLON COUNTY SHERIFF'S OFFICE WILL UTILIZE THESE ITEMS BY ISSUING THEM TO DEPUTIES FOR MAGAZINE STORAGE AND DUTY USE</t>
  </si>
  <si>
    <t>2YTDCS61331235</t>
  </si>
  <si>
    <t>THE DILLON COUNTY SHERIFFS OFFICE WILL UTILIZE THESE ITEMS TO ISSUE TO DEPUTIES TO CARRY 40MM LESS LETHAL AMMO</t>
  </si>
  <si>
    <t>2YTDCS61058944</t>
  </si>
  <si>
    <t>CARRIER,ENTRENCHING</t>
  </si>
  <si>
    <t>THE DILLON COUNTY SHERIFF'S OFFICE WILL UTILIZE THESE ITEMS BY ISSUING THEM TO DEPUTIES TO STORE THE ALREADY ISSUED E-TOOL IN THEM</t>
  </si>
  <si>
    <t>2YTDCS61058946</t>
  </si>
  <si>
    <t>THE DILLON COUNTY SHERIFF'S OFFICE WILL UTILIZE THESE ITEMS TO ISSUE TO DEPUTIES AND INVESTIGATORS FOR DUTY USE AND TRANSPORTATION OF DUTY ITEMS AND CRIME SCENE PROCESSING MATERIALS</t>
  </si>
  <si>
    <t>2YTDCS61058898</t>
  </si>
  <si>
    <t>THE DILLON COUNTY SHERIFF'S OFFICE WILL UTILIZE THESE ITEMS TO ISSUE TO DEPUTIES FOR EXTRA CARRYING CAPACITY OF MAGAZINES AND MEDICAL SUPPLIES</t>
  </si>
  <si>
    <t>2YTDCS61058899</t>
  </si>
  <si>
    <t>THE DILLON COUNTY SHERIFF'S OFFICE WILL UTILIZE THESE ITEMS TO ISSUED TO DEPUTIES FOR DUTY RIFLE MAGAZINE STORAGE IN THEIR PATROL CAR</t>
  </si>
  <si>
    <t>2YTDCS61058902</t>
  </si>
  <si>
    <t>THE DILLON COUNTY SHERIFF'S OFFICE WILL UTILIZE THESE ITEMS BY ISSUING THEM TO DEPUTIES FOR DUTY USE AND EQUIPMENT STORAGE</t>
  </si>
  <si>
    <t>GEORGETOWN COUNTY SHERIFF OFFICE (2YTEJT)</t>
  </si>
  <si>
    <t>2YTEJT60866621</t>
  </si>
  <si>
    <t>DSPAGING0</t>
  </si>
  <si>
    <t>INTERCOM AND PA SYSTEMS, EXCEPT AIRBOR</t>
  </si>
  <si>
    <t>THE GEORGETOWN COOUNTY SHERIFF'S OFFICE IS REQUESTING THESE INTERCOM SYSTEMS TO SUPPORT OUR MISSION IN COMMUNITY SERVICES. THIS WILL AID IN GIVING OUT INFORMATION TO LARGE GROUPS OF PEOPLE EXPECUALLY DURING RECOVERY EFFORTS FOR NATURAL DISASTERS LIKE HURICANES.</t>
  </si>
  <si>
    <t>HAMPTON COUNTY SHERIFF OFFICE (2YTE20)</t>
  </si>
  <si>
    <t>2YTE2061351354</t>
  </si>
  <si>
    <t>SHIPPING AND STORAGE CONTAINERS REQUESTED BY HAMPTON COUNTY SHERIFF'S OFFICE, FOR USE BY HAMPTON COUNTY SHERIFF'S OFFICE TO STORE EXCESS ITEMS THE DEPARTMENT CURRENTLY HAS AND WE HAVE NO STORAGE FACILLITIES TO STORE IT.</t>
  </si>
  <si>
    <t>HOLLY HILL PD (2YTRSD)</t>
  </si>
  <si>
    <t>2YTRSD61079119</t>
  </si>
  <si>
    <t>THIS TRAILER IS REQUESTED BY THE HOLLY HILL POLICE DEPARTMENT FOR USE BY HOLLY HILL PD OFFICERS TO CARRY POLICE DEPARTMENT EQUIPMENT TO VARIOUS SCENES SUCH AS SEARCH AND RESCUE CALL OUTS.</t>
  </si>
  <si>
    <t>LAW ENFORCEMENT DIVISION (2YTKTH)</t>
  </si>
  <si>
    <t>2YTKTH6077JG01</t>
  </si>
  <si>
    <t>2YTKTH61078687</t>
  </si>
  <si>
    <t>THE SOUTH CAROLINA LAW ENFORCEMENT DIVISION  WOULD RESPECTFULLY REQUEST THESE INDUSTRIAL GLASSES FOR USE BY OUR LAW ENFORCEMENT AGENTS TO PROTECT THEIR EYES ON CALLOUTS, FIRING RANGES, AND DAY TO DAY LAW ENFORCEMENT ACTIVITIES.</t>
  </si>
  <si>
    <t>LORIS POLICE DEPARTMENT (2YTGXY)</t>
  </si>
  <si>
    <t>2YTGXY61350874</t>
  </si>
  <si>
    <t>THE ITEM IS REQUESTED BY THE LPD, FOR THE USE BY THE SWORN LEO'S. BUDGETARY CONSTRAINTS DO NOT ALLOW FOR THE PURCHASE OF THESE DEVICES. THIS ITEM WOULD BE USED DURING SPECIAL EVENTS THROUGHOUT THE YEAR IN AN EFFORT TO MAKE THE OFFICERS MORE MOBILE AND EASIER TO RESPOND IN A FESTIVAL ENVIRONMENT</t>
  </si>
  <si>
    <t>2YTGXY61008114</t>
  </si>
  <si>
    <t>CAMERA,INFRARED,INDUSTRIAL</t>
  </si>
  <si>
    <t>THE ITEM IS REQUESTED BY THE LPD, FOR THE USE BY THE SWORN LEO'S DURING WOODED OR RURAL SEARCH AND RESCUE. THIS CAMERA WILL BE USED TO SEARCH FOR MISSING PERSONS AT NIGHT AND IN THE COLD AND ALSO TO DOCUMENT CRIME SCENES. THIS CAMERA IS KEY TO ACCESSING VICTIMS TO PROVIDE FASTER LE ASSISTANCE AND LIFE-SAVING AID. BUDGETARY CONSTRAINTS DO NOT ALLOW FOR THE PURCHASE OF THESE ITEMS.</t>
  </si>
  <si>
    <t>2YTGXY61078427</t>
  </si>
  <si>
    <t>THE ITEMS ARE REQUESTED BY THE LORIS POLICE DEPARTMENT, FOR THE USE BY THE SWORN LAW ENFORCEMENT OFFICERS WHILE ON-DUTY WITH THE LORIS POLICE DEPART. THIS WILL BE USED IN CRIME SCENE PROCESSING, BY OUR CRIME SCENE INVESTIGATOR.</t>
  </si>
  <si>
    <t>2YTGXY61008111</t>
  </si>
  <si>
    <t>DSLAPTOPS</t>
  </si>
  <si>
    <t>COMPUTER SYSTEMS LAPTOP</t>
  </si>
  <si>
    <t>THE ITEMS ARE REQUESTED BY THE LORIS POLICE DEPARTMENT, FOR THE USE BY THE SWORN LAW ENFORCEMENT OFFICERS WHILE ON-DUTY WITH THE LORIS POLICE DEPART DURING DAILY OPERATIONS MISSIONS IN DIRECT SUPPORT OF OFFICIAL LAW ENFORCEMENT DUTIES. THESE WILL BE ISSUED TO INDIVIDUAL OFFICERS.</t>
  </si>
  <si>
    <t>NORTH MYRTLE BEACH PD (2YT1PG)</t>
  </si>
  <si>
    <t>2YT1PG61491992</t>
  </si>
  <si>
    <t>REQUESTED BY NORTH MYRTLE BEACH POLICE DEPARTMENT TO BE USED BY NMB POLICE DEPARTMENT TRAINING DIVISION OFFICERS DURING OFFICER TRAINING EVENTS.</t>
  </si>
  <si>
    <t>2YT1PG61350682</t>
  </si>
  <si>
    <t>REQUESTED BY NORTH MYRTLE BEACH POLICE DEPARTMENT TO BE USED BY NMB POLICE TRAFFIC DIVISION TO CURB SPEEDING COMPLAINTS THROUGH AWARENESS.</t>
  </si>
  <si>
    <t>2YT1PG61280584</t>
  </si>
  <si>
    <t>REQUESTED BY NORTH MYRTLE BEACH POLICE DEPARTMENT FOR USE BY NORTH MYRTLE BEACH POLICE OFFICERS.</t>
  </si>
  <si>
    <t>OCONEE COUNTY SHERIFF OFFICE (2YT1X2)</t>
  </si>
  <si>
    <t>2YT1X261219940</t>
  </si>
  <si>
    <t>POWER PLANT,UTILITY</t>
  </si>
  <si>
    <t>THE OCONEE COUNTY SHERIFFS OFFICE REQUEST ONE UTILITY POWER PLANT.  THIS WOULD BE USED TO PROVIDE POWER AND AC OR HEAT TO SHERIFFS OFFICE FACILITIES DURING POWER OUTAGES RELATED TO INCLEMENT WEATHER AND NATURAL DISASTERS.  I UNDERSTAND ITS CONDITION AND STILL REQUEST IT.</t>
  </si>
  <si>
    <t>SC DPS (2YTKTF)</t>
  </si>
  <si>
    <t>2YTKTF61633319</t>
  </si>
  <si>
    <t>CHOCK,WHEEL-TRACK</t>
  </si>
  <si>
    <t>CHOCKS REQUESTED BY DPS, UTILIZED BY DPS OFFICERS, FOR SECURING VEHICLE OR TRAILERS.</t>
  </si>
  <si>
    <t>2YTKTF61471682</t>
  </si>
  <si>
    <t>DSPALLETJ</t>
  </si>
  <si>
    <t>PALLET JACK</t>
  </si>
  <si>
    <t>PALLET JACK REQUESTED BY DPS, FOR USE BY DPS OFFICERS IN SUPPLY, FOR MOVING ITEMS IN SUPPLY WAREHOUSE.</t>
  </si>
  <si>
    <t>2YTKTF61562737</t>
  </si>
  <si>
    <t>REFRIGERATOR REQUESTED BY DPS, FOR USE BY DPS OFFICERS, FOR STORING REFRIGERATED ITEMS.</t>
  </si>
  <si>
    <t>2YTKTF61633013</t>
  </si>
  <si>
    <t>DIGGER,POSTHOLE,HINGED</t>
  </si>
  <si>
    <t>DIGGER REQUESTED BY DPS, UTILIZED BY DPS OFFICERS, FOR DIGGING ON PROPERTY GROUNDS.</t>
  </si>
  <si>
    <t>2YTKTF61492699</t>
  </si>
  <si>
    <t>PADLOCK</t>
  </si>
  <si>
    <t>PADLOCK REQUESTED BY DPS, FOR USE BY DPS, FOR SECURING ASSETS.</t>
  </si>
  <si>
    <t>2YTKTF61492694</t>
  </si>
  <si>
    <t>CAMERA REQUESTED BY DPS, FOR USE BY RECRUITING, FOR SOCIAL MEDIA CAMPAIGNS.</t>
  </si>
  <si>
    <t>2YTKTF61562695</t>
  </si>
  <si>
    <t>CASE,PHOTOGRAPHIC E</t>
  </si>
  <si>
    <t>CAMERA REQUESTED BY DPS, FOR USE BY DPS, SECURE CAMERAS AND OTHER SENSITIVE ITEMS.</t>
  </si>
  <si>
    <t>2YTKTF61492744</t>
  </si>
  <si>
    <t>TRAINING AID REQUESTED BY DPS, FOR USE BY DPS OFFICERS, FOR SCENARIO BASED TRAINING.</t>
  </si>
  <si>
    <t>2YTKTF61492739</t>
  </si>
  <si>
    <t>SMART BOARD REQUESTED BY DPS, FOR USE BY DPS OFFICERS, FOR PRESENTATION AND MEETINGS.</t>
  </si>
  <si>
    <t>2YTKTF61633014</t>
  </si>
  <si>
    <t>CART REQUESTED BY DPS, UTILIZED BY DPS OFFICERS, FOR SECURING COMPUTER AND NETWORK EQUIPMENT.</t>
  </si>
  <si>
    <t>2YTKTF61633068</t>
  </si>
  <si>
    <t>DSHOUSEAP</t>
  </si>
  <si>
    <t>MISCELLANEOUS HOUSEHOLD FURNISHINGS</t>
  </si>
  <si>
    <t>TABLE REQUESTED BY DPS, UTILIZED BY DPS OFFICERS, FOR SEATING AT FACILITIES.</t>
  </si>
  <si>
    <t>2YTKTF61683784</t>
  </si>
  <si>
    <t>DSPELCNSM</t>
  </si>
  <si>
    <t>CASE, PELICAN, SMALL, &lt;100 SQ IN</t>
  </si>
  <si>
    <t>CASE REQUESTED BY DPS, UTILIZED BY DPS OFFICERS, FOR SECURING PROPERTY.</t>
  </si>
  <si>
    <t>SD</t>
  </si>
  <si>
    <t>MINNEHAHA COUNTY SHERIFF DEPT (2YTHTJ)</t>
  </si>
  <si>
    <t>2YTHTJ61562326</t>
  </si>
  <si>
    <t>THE MINNEHAHA COUNTY SO IS REQUESTING 1 NIGHT VISION FOR THE PURPOSE OF SWAT.  IT WOULD BE USED IN HOSTAGE RESCUE, BARRICADED SUBJECTS AND DIGNITARY PROTECTION.  THEY WOULD ALSO BE USED IN OUR NARCOTICS AND WARRANTS DIVISION MAKING SAFER COMMUNITIES.  I HAVE SPOKEN WITH DLA DS BARSTOW AND SATISFIED WITH THE EQUIPMENT.</t>
  </si>
  <si>
    <t>2YTHTJ61562450</t>
  </si>
  <si>
    <t>THE MINNEHAHA COUNTY SO IS REQUESTING 2 NVGS FOR THE PURPOSE OF SWAT TO BE USED FOR HOSTAGE RESCUE, BARRICADED SUBJECTS AND DIGNITARY PROTECTION.  THEY WOULD ALSO BE USED BY OUR NARCOTICS AND WARRANTS DIVISION FOR SAFER COMMUNITIES.  I HAVE SPOKEN WITH DLA BARSTOW AND AM SATISFIED WITH THE EQUIPMENT.</t>
  </si>
  <si>
    <t>2YTHTJ61562451</t>
  </si>
  <si>
    <t>2YTHTJ61562443</t>
  </si>
  <si>
    <t>2YTHTJ61562449</t>
  </si>
  <si>
    <t>2YTHTJ61562320</t>
  </si>
  <si>
    <t>2YTHTJ61562437</t>
  </si>
  <si>
    <t>2YTHTJ61562445</t>
  </si>
  <si>
    <t>2YTHTJ61562447</t>
  </si>
  <si>
    <t>2YTHTJ61562448</t>
  </si>
  <si>
    <t>2YTHTJ61421425</t>
  </si>
  <si>
    <t>THE MINNEHAHA COUNTY SO IS REQUESTING 10 ILLUMINATORS FOR THE PURPOSE OF SWAT TO BE USED IN HOSTAGE RESCUE, DIGNITARY PROTECTION AND BARRICADED SUBJECTS.  THEY WILL ALSO BE USED BY OUR NARCOTICS DETECTIVES WHO ARE PART OF THE HIDTA PROGRAM TO AID IN INVESTIGATIONS.  I HAVE SPOKEN WITH AND REVIEWED PHOTOS FROM DLA DS SUSQUEHANNA.</t>
  </si>
  <si>
    <t>2YTHTJ60866743</t>
  </si>
  <si>
    <t>I AM REQUESTING 2 NIGHT VISION FOR MCSO TO BE ASSIGNED TO SWAT, WARRANT TASK FORCE AND HIDTA NARCOTICS DETECTIVES. TO BE USED IN, COUNTER DRUG, COUNTER TERRORISM, AND DIGNITARY PROTECTION, AS WELL AS COMMUNITY SAFETY MISSIONS SUCH AS VIOLENT CRIMINAL APPREHENSION, HOSTAGE RESCUE, SEARCH AND RESCUE AND OTHER LAW ENFORCEMENT ROLES.  I HAVE CONTACTED A REPRESENTATIVE FROM DLA DS WARNER ROBINS, VIEWED PHOTOS AND I AM SATISFIED WITH THE CONDITION.</t>
  </si>
  <si>
    <t>2YTHTJ61562324</t>
  </si>
  <si>
    <t>2YTHTJ61562321</t>
  </si>
  <si>
    <t>2YTHTJ61562323</t>
  </si>
  <si>
    <t>2YTHTJ61562444</t>
  </si>
  <si>
    <t>WATERTOWN POLICE DEPT (2YTNBW)</t>
  </si>
  <si>
    <t>2YTNBW61078429</t>
  </si>
  <si>
    <t>THE PROTECTIVE GLASSES WOULD BE USED IN ANY APPLICABLE LAW ENFORCEMENT ROLE TO INCLUDE, FIREARMS TRAINING, SIMUNITION TRAINING, TASER TRAINING OR ANY TRAINING FUNCTION IN WHICH THE EYES NEED TO BE PROTECTED. THE GLASSES COULD ALSO BE USED IN A DUTY FUNCTION WHEN EYE PROTECTION IS CRITICAL . I SEE THE CONDITION CODE AND ACCEPT THE CURRENT CONDITION.</t>
  </si>
  <si>
    <t>TN</t>
  </si>
  <si>
    <t>ADAMSVILLE POLICE DEPARTMENT (2YTP7K)</t>
  </si>
  <si>
    <t>2YTP7K60936969</t>
  </si>
  <si>
    <t>THE ADAMSVILLE POLICE DEPARTMENT WILL UTILIZE THIS VEHICLE FOR UNDERCOVER POLICE OPERATIONS ALLOWING OUR INVESTIGATOR TO CONDUCT NARCOTICS INVESTIGATIVE OPERATIONS TO COMBAT THE DISTRIBUTION AND SALE OF ILLEGAL NARCOTICS WITHIN OUR JURISDICTION.</t>
  </si>
  <si>
    <t>2YTP7K60936975</t>
  </si>
  <si>
    <t>CLEANER,VACUUM,SELF-PROPELLED</t>
  </si>
  <si>
    <t>THE ADAMSVILLE POLICE DEPARTMENT WILL UTILIZE THIS STREET SWEEPER VEHICLE TO CLEAN UP ROADWAYS AFTER MAJOR MOTOR VEHICLE ACCIDENTS, CHEMICAL SPILLS, AND TIMES OF NATURAL DISASTER OR SIGNIFICANT WEATHER EVENTS SO THAT THE ROADWAYS CAN BE MAINTAINED, IN SAFE ORDER, AND PASSABLE SO THAT PUBLIC SAFETY ON THE ROADWAYS IS MAINTAINED.</t>
  </si>
  <si>
    <t>2YTP7K61078240</t>
  </si>
  <si>
    <t>THE ADAMSVILLE POLICE DEPARTMENT WILL UTILIZE THIS POWER PLANT TO ALLOW OPERATIONS TO REMAINED POWERED AND ACTIVE DURING TIMES OF NATURAL DISASTERS AND SIGNIFICANT WEATHER EVENTS THAT RESULT IN THE LOSS OF POWER OR ELECTRICITY IN OUR JURISDICTION</t>
  </si>
  <si>
    <t>BRADFORD POLICE DEPARTMENT (2YTBF9)</t>
  </si>
  <si>
    <t>2YTBF960795709</t>
  </si>
  <si>
    <t>BRADFORD PD WILL USE THIS FOR DISASTER RELIEF EMERGENCIES AS WELL AS FUGITIVE RECOVERY OPERATIONS. OUR AREA AND JURISDICTION HAS A LARGE PORTION OF FARM AND RURAL AREA. THIS WOULD HELP US IN MANY DIFFERENT WAYS.</t>
  </si>
  <si>
    <t>BRISTOL POLICE DEPT (2YTBJQ)</t>
  </si>
  <si>
    <t>2YTBJQ61078458</t>
  </si>
  <si>
    <t>THE BRISTOL POLICE DEPARTMENT IS REQUESTING THESE RIFLE GRIPS TO ISSUE TO OFFICERS FOR THEIR PATROL RIFLES.</t>
  </si>
  <si>
    <t>2YTBJQ60866294</t>
  </si>
  <si>
    <t>THE BRISTOL POLICE DEPARTMENT WOULD ASSIGN THIS VEHICLE TO A DRUG ENFORCEMENT OFFICER FOR UNDERCOVER DRUG ENFORCEMENT ACTIVITIES. THE BASE STATES THE VEHICLE IS OPERATIONAL.</t>
  </si>
  <si>
    <t>2YTBJQ60724912</t>
  </si>
  <si>
    <t>THE BRISTOL POLICE DEPARTMENT WOULD UTILIZE THESE TWO CONTAINERS FOR STORAGE AT OUR RANGE.</t>
  </si>
  <si>
    <t>GAINESBORO POLICE DEPT (2YTEF6)</t>
  </si>
  <si>
    <t>2YTEF661149660</t>
  </si>
  <si>
    <t>A NON LETHAL WEAPON WOULD HELP THE GAINESBORO POLICE WITH HIGH RISK WARRANTS OR ACTIVE SHOOTERS  THIS IS FOR THE USE OF THE GAINESBORO POLICE ONLY</t>
  </si>
  <si>
    <t>2YTEF661078457</t>
  </si>
  <si>
    <t>SINCE WE ARE A POOR SMALL DEPARTMENT WE COULD USE THIS FOR FIREARMS TRAINING</t>
  </si>
  <si>
    <t>GLEASON POLICE DEPT (2YTEMC)</t>
  </si>
  <si>
    <t>2YTEMC61421351</t>
  </si>
  <si>
    <t>TRUCK TRACTOR</t>
  </si>
  <si>
    <t>THE GLEASON POLICE DEPARTMENT IS THE ONLY ONES USING THIS ITEM. THIS ITEM WILL BE USED TO TRANSPORT EQUIPMENT. THIS ITEM WILL BE USED TO TRANSPORT EQUIPMENT DURING TIMES OF NATURAL DISASTERS. THIS ITEM WILL BE USED TO TRANSPORT EQUIPMENT TO HELP MAINTAIN TRAINING FACILITY. THE GLEASON POLICE DEPARTMENT HAS MADE CONTACT WITH THE BASE ABOUT THIS ITEM.</t>
  </si>
  <si>
    <t>2YTEMC61562608</t>
  </si>
  <si>
    <t>THE GLEASON POLICE DEPARTMENT WILL BE THE ONLY ONE USING THIS ITEM. THIS ITEM WILL BE USED DURING TIMES OF NATURAL DISASTERS. THIS ITEM WILL BE USED TO MOVE EQUIPMENT NEEDED TO HELP IN THE CLEANUP DURING A NATURAL DISASTER. THIS ITEM WILL BE USED TO TRANSPORT OTHER ITEMS NEEDED TO SUPPORT EFFORTS IN CLEAN OF A NATURAL DISASTER.</t>
  </si>
  <si>
    <t>2YTEMC61351103</t>
  </si>
  <si>
    <t>THE GLEASON POLICE WILL BE THE ONLY ONES USING THIS ITEM. THIS ITEM WILL BE USED DURING TIMES OF NATURAL DISASTERS. THIS ITEM WILL BE USED TO CLEAR ROADS DURING TIMES OF EXTREME WEATHER. THIS ITEM WILL BE USED TO HELP REMOVE WEATHER-RELATED ELEMENTS FOR SAFE TRAVEL. THE GLEASON POLICE DEPARTMENT HAS CONTACTED THE BASE ABOUT THE CONDITION OF THE ITEM.</t>
  </si>
  <si>
    <t>2YTEMC61351102</t>
  </si>
  <si>
    <t>THE GLEASON POLICE WILL BE THE ONLY ONES USING THIS ITEM. THIS ITEM WILL BE USED DURING TIMES OF NATURAL DISASTERS. THIS ITEM WILL BE USED TO CLEAR ROADS DURING TIMES OF EXTREME WEATHER. THIS ITEM WILL BE USED TO HELP IN THE REMOVAL OF WEATHER-RELATED ELEMENTS FOR SAFE TRAVEL. THE GLEASON POLICE DEPARTMENT HAS CONTACTED THE BASE ABOUT THE CONDITION OF THE ITEM.</t>
  </si>
  <si>
    <t>GREENE COUNTY SHERIFF'S DEPT (2YTET6)</t>
  </si>
  <si>
    <t>2YTET660866120</t>
  </si>
  <si>
    <t>TRUCK TRACTOR WILL BE USED BY THE GREENE COUNTY SHERIFFS OFFICE TO REPLACE AN OLDER MILITARY VERSION THAT HAS BECOME COSTLY TO MAINTAIN. THIS COMMERCIAL ROAD TRACTOR WILL ALLOW US TO REPLACE THE MILITARY ONE WHICH HAS MORE SAFETY ITEMS AND IS MORE ROAD WORTHY FOR LONG DISTANCE TRIPS TO PULL OUR TRAILERS FOR LESO PICKUP.</t>
  </si>
  <si>
    <t>2YTET661280020</t>
  </si>
  <si>
    <t>TRUCK WILL BE USED BY THE GREENE COUNTY SHERIFFS OFFICE AS A FUEL RESUPPLY TRUCK FOR DISASTER RESPONSE AND SPECIAL EVENT RESPONSE. THIS WILL ALLOW US TO TAKE FUEL TO THE SITE TO FUEL UP OUR EQUIPMENT AND VEHICLES WITHOUT PAYING A COMMERCIAL COMPANY TO COME DO IT.</t>
  </si>
  <si>
    <t>2YTET660866892</t>
  </si>
  <si>
    <t>TRAILER WILL BE USED BY THE GREENE COUNTY SHERIFFS OFFICE FOR STORAGE. WE HAVE LIMITED STORAGE SPACE TO KEEP LARGE CONFISCATED ITEMS AND STOLE ITEMS. THIS TRAILER WILL GIVE US SPACE TO STORE THEM.</t>
  </si>
  <si>
    <t>2YTET661491836</t>
  </si>
  <si>
    <t>ENGINEER EQUIPMENT TRAILER</t>
  </si>
  <si>
    <t>TRAILER WILL BE USED BY THE GREENE COUNTY SHERIFFS OFFICE TO REPLACE ONE THAT THE AXLE HAS BROKEN. WE USE THIS TYPE OF TRAILER TO HAUL OUR DISASTER EQUIPMENT AND SUPPLIES DURING A DISASTER RESPONSE ACROSS OUR STATE.</t>
  </si>
  <si>
    <t>GREENEVILLE POLICE DEPT (2YTEUF)</t>
  </si>
  <si>
    <t>2YTEUF60795846</t>
  </si>
  <si>
    <t>THE GREENEVILLE POLICE DEPARTMENT NEEDS A ROAD GRADER TO ENABLE THE POLICE DEPARTMENT TO RAPIDLY CLEAR DEBRIS, REPAIR DAMAGED ROADS, AND RESTORE ACCESS DURING EMERGENCIES SUCH AS STORMS, FLOODS, OR DISASTERS. IT SUPPORTS SEARCH AND RESCUE, ENSURES EMERGENCY VEHICLES CAN REACH AFFECTED AREAS, AND HELPS MAINTAIN CRITICAL ROUTES FOR PUBLIC SAFETY, EVACUATION, AND RELIEF OPERATIONS. I DOES RUN AND DRIVE ACCORDING TO THE BASE.</t>
  </si>
  <si>
    <t>HICKMAN COUNTY SHERIFF'S OFFICE (2YTFC2)</t>
  </si>
  <si>
    <t>2YTFC260654419</t>
  </si>
  <si>
    <t>HICKMAN COUNTY IS CURRENTLY A FERDERAL DISASTER AREA. THE SHERIFF'S OFFICE WILL USE THIS VEHICLE WITH ITS INMATE CREWS TO HELP REMOVE DEBRIS. HICKMAN COUNTY WILL BRING THE TRUCK INTPO RUNNING CONDITION.</t>
  </si>
  <si>
    <t>2YTFC260795843</t>
  </si>
  <si>
    <t>HICKMAN COUNTY IS A FEDERALLY DECLARED DISASTER AREA. THE HICKMAN COUNTY SHERIFF'S OFFICE WOULD USE THIS TRAILER TO HELP MOVE EQUIPMENT AND SUPPLIES AS NEEDED.</t>
  </si>
  <si>
    <t>2YTFC261350708</t>
  </si>
  <si>
    <t>HICKMAN COUNTY IS A FEDERALL DECLARED DISASTER AREA. THE HICKMAN COUNTY SHERIFF'S OFFFICE WOULD USE THIS TO HELP WITH  DEBRIS REMOVAL. THE SHERIFF'S OFFICE WILL MAKE REPAIRS.</t>
  </si>
  <si>
    <t>2YTFC261149120</t>
  </si>
  <si>
    <t>HICKMAN COUNTY SHERIFF'S OFFICE WOULD USE THIS EQUIPMENT TO OFF LOAD SUPPLIES DURING EMERGENCIES</t>
  </si>
  <si>
    <t>2YTFC261562331</t>
  </si>
  <si>
    <t>HICKMAN COUNTY IS A FEDERALLY DECLEARED DISASTER AREA. HICKMAN COUNTY SHERIFF'S OFFICE WOULD USE THIS FORK LIFT WOULD BE USED TO HELP OFF LOAD EMERGENCY SUPPLIES. REPAIRS WILL BE MADE IF NEEDED.</t>
  </si>
  <si>
    <t>2YTFC261562328</t>
  </si>
  <si>
    <t>HUMPHREYS COUNTY SHERIFF DEPT (2YTFMD)</t>
  </si>
  <si>
    <t>2YTFMD60866614</t>
  </si>
  <si>
    <t>THE SHERIFFS OFFICE IS REQUESTING THIS ITEM TO ASSIST WITH THE TRANSPORT AND MOVEMENT OF LARGE CARGO DURING THE TRANSITION TO OUR NEW FACILITY. IT WILL ALSO SUPPORT HIGH-WATER RESCUE AND SEVERE WEATHER RESPONSE AND RECOVERY OPERATIONS, ALLOWING DEPUTIES TO OPERATE SAFELY IN HAZARDOUS CONDITIONS WHILE ENHANCING COMMUNITY SAFETY. WE ARE AWARE THE ITEM IS LISTED AS CONDITION H, HAVE VERIFIED ITS STATUS WITH THE ISSUING AGENCY, AND ACCEPT RESPONSIBILITY FOR ITS CONDITION.</t>
  </si>
  <si>
    <t>2YTFMD61078168</t>
  </si>
  <si>
    <t>THE HUMPHREYS COUNTY SHERIFF' OFFICE IS REQUESTING THIS VEHICLE TO SUPPORT SEARCH AND RESCUE OPERATIONS IN RUGGED AND DIFFICULT TERRAIN. THIS EQUIPMENT WILL ENHANCE MOBILITY, ALLOWING DEPUTIES TO ACCESS REMOTE AREAS, TRANSPORT PERSONNEL AND EQUIPMENT, AND OPERATE SAFELY IN ADVERSE CONDITIONS. HCSO ACKNOWLEDGES THE TRACTOR IS LISTED IN CONDITION F AND ACCEPTS RESPONSIBILITY FOR THE EQUIPMENT AND ITS CONDITION UPON RECEIPT.</t>
  </si>
  <si>
    <t>2YTFMD61008032</t>
  </si>
  <si>
    <t>WE ARE REQUESTING THIS ITEM TO MODIFY AND USE AS A BOARDING LADDER ON OUR HIGH-WATER RESCUE TRUCK. BY UTILIZING THIS IT WILL SAVE COST IN MATERIALS AND FABRICATION TO CREATE A BOARDING PLATFORM TO ENSURE OPERATOR AND VICTIM SAFETY IN ENTRY AND EXIT TO THE CARGO AREA OF THE RESCUE VEHICLE.</t>
  </si>
  <si>
    <t>2YTFMD61562616</t>
  </si>
  <si>
    <t>THE HUMPHREYS COUNTY SHERIFFS OFFICE IS REQUESTING THIS SKID STEER TO SUPPORT FACILITY OPERATIONS, CARGO MOVEMENT, MAINTENANCE ACTIVITIES, AND OPERATIONAL MANAGEMENT AT THE SHERIFFS OFFICE AND JAIL FACILITY. THIS EQUIPMENT WILL ASSIST WITH MOVEMENT OF HEAVY MATERIALS, GROUNDS AND INFRASTRUCTURE MAINTENANCE, AND SUPPORT FUNCTIONS NECESSARY FOR DAILY OPERATIONS AND EMERGENCY RESPONSE READINESS.</t>
  </si>
  <si>
    <t>LINCOLN COUNTY SHERIFF DEPT (2YTGRU)</t>
  </si>
  <si>
    <t>2YTGRU61499715</t>
  </si>
  <si>
    <t>TO ASSIST IN LAW ENFORCEMENT, COUNTY FIRE AND OTHER COUNTY OPERATIONS. BY ASSESSING HAZARDOUS SITUATIONS FROM AFAR WHILE MINIMIZING RISK TO PERSONNEL. 
I AM REQUESTING 3 OF SIMILAR MAKE AND MODEL DUE TO THE FACT THAT SOME PARTS MAY BE MISSING FROM EACH PLATFORM. I MAY NEED TO CONSOLIDATE PARTS TO GET 1 WORKING UNIT.</t>
  </si>
  <si>
    <t>MADISONVILLE POLICE DEPT (2YTG57)</t>
  </si>
  <si>
    <t>2YTG5761148873</t>
  </si>
  <si>
    <t>THE MADISONVILLE POLICE DEPARTMENT IS REQUESTING THIS CART FOR USE BY OUR OFFICERS. OUR DEPARTMENT IS LOCATED IN A HIGH METH RURAL MOUNTAINOUS AREA. THIS CART WOULD HELP OFFICERS COMBAT METH RELATED CRIMES IN THESE HARD TO ACCESS AREAS. DUE TO BUDGET CONSTRAINTS WE ARE CURRENTLY LIMITED ON PURCHASING EQUIPMENT LIKE THIS UNIT. THANKS</t>
  </si>
  <si>
    <t>MARTIN POLICE DEPARTMENT (2YTHDF)</t>
  </si>
  <si>
    <t>2YTHDF60866240</t>
  </si>
  <si>
    <t>PUSHER,SIGHT TOOL</t>
  </si>
  <si>
    <t>THIS SIGHT PUSHER WILL BE USED BY OUR ARMORERS TO REPLACE SIGHTS ON OUR SERVICE HANDGUNS TO MATCH UP WITH OUR PISTOL OPTICS.</t>
  </si>
  <si>
    <t>2YTHDF61149190</t>
  </si>
  <si>
    <t>TOURNIQUET,NONPNEUM</t>
  </si>
  <si>
    <t>THESE TOURNIQUETS WILL BE ISSUED TO PATROL OFFICERS TO ADD TO THEIR MEDICAL KITS IN THE PATROL CARS. 
I HAVE CONTACTED THE BASE IN REFERENCE TO THE CONDITION OF THE TOURNIQUETS AND WE ARE SATISFIED WITH THEIR CONDITION.</t>
  </si>
  <si>
    <t>2YTHDF61149189</t>
  </si>
  <si>
    <t>2YTHDF60866232</t>
  </si>
  <si>
    <t>SPOTTING INSTRUMENT,OPTICAL</t>
  </si>
  <si>
    <t xml:space="preserve">THIS OPTIC WILL BE USED BY OUR SRT OPERATORS OF OBSERVATIONS.  I HAVE CONTACTED THE BASE AND WE ARE SATISFIED WITH THE CONDITION. 
</t>
  </si>
  <si>
    <t>2YTHDF60866231</t>
  </si>
  <si>
    <t>THESE BINOCULARS WILL BE USED BY OUR SRT OPERATORS DURING NIGHT TIME AND LOW LIGHT OPERATION, OBSERVATIONS, AND TRAINING.  
I HAVE CONTACTED THE BASE IN REFERENCE TO THE CONDITION OF THE OPTICS AND WE ARE SATISFIED WITH THE CONDITION.</t>
  </si>
  <si>
    <t>2YTHDF61148984</t>
  </si>
  <si>
    <t>THESE BINOCULARS WILL BE USED BY OUR PATROL OFFICERS FOR OBSERVATION DURING REGULAR PATROL DUTIES.  
I HAVE CONTACTED THE BASE IN REFERENCE TO THE CONDITION AND WE ARE SATISFIED WITH THE CONDITION OF THE BINOCULARS.</t>
  </si>
  <si>
    <t>2YTHDF61149206</t>
  </si>
  <si>
    <t>THIS WET WEATHER GEAR WILL BE USED BY OUR SRT OPERATORS DURING WET WEATHER OPERATIONS AND TRAINING.</t>
  </si>
  <si>
    <t>2YTHDF61149207</t>
  </si>
  <si>
    <t>THIS RAIN GEAR WILL BE USED BY OUR SRT OPERATORS DURING WET WEATHER OPERATIONS AND TRAINING.</t>
  </si>
  <si>
    <t>2YTHDF61492051</t>
  </si>
  <si>
    <t>THIS RAIN GEAR WILL BE USED BY OUR SRT OPERATORS DURING WET WEATHER TRAINING AND OPERATIONS.</t>
  </si>
  <si>
    <t>2YTHDF61149205</t>
  </si>
  <si>
    <t>MILAN POLICE DEPT (2YTHQ0)</t>
  </si>
  <si>
    <t>2YTHQ061008670</t>
  </si>
  <si>
    <t>THE MILAN POLICE DEPARTMENT WOULD LIKE TO HAVE THE TRUCK TO USE FOR PARTS OR COMBINEN ANOTHER NON RUNNING TRUCK TO AT LEAST GET ONE OF THEM GOING. WE HAVE CONTACTED THE POST AND VERIFIED THAT IT IS CURRENTLY NOT RUNNING AND THE MILES CANT BE VERIFIED. WE WOULD STILL LIKE TO GET THE TRUCK RUNNING AND USE FOR A RANGE VEHICLE AND TO SPOT GENERATORS IN EMERGENCY INCIDENTS. THE TRUCK WILL BE USED BY OUR DEPARTMENT ONLY.</t>
  </si>
  <si>
    <t>2YTHQ061281144</t>
  </si>
  <si>
    <t>DSWELDER0</t>
  </si>
  <si>
    <t>ELECTRIC ARC WELDING EQUIPMENT</t>
  </si>
  <si>
    <t>THE MILAN POLICE DEPARTMENT WOULD LIKE TO HAVE THE WELDERS TO BUILD OUT A TRAINING COMPLEX USING METAL CONEX BUILDINGS. THE TRAINING COMPLEX WILL HELP OUR FIRST RESPONDERS BE BETTER PREPARED IN EMERGENCY SITUATIONS. THE WELDERS WILL ALSO BE USED TO BUILD AND MAINTAIN STEEL TARGETS USED ON OUR FIRING RANGE AND REPAIR ATV'S WE CURRENTLY HAVE. I HAVE SPOKEN WITH THE BASE ABOUT THE SUPPLY CODE BEING H AND THEY STATED THE WELDERS APPEARED TO BE IN NEWER CONDITION AND THE PICTURES REFLECT THAT.</t>
  </si>
  <si>
    <t>2YTHQ060937998</t>
  </si>
  <si>
    <t>THE MILAN POLICE DEPARTMENT WOULD LIKE TO HAVE THE WELDER TO REPAIR EQUIPMENT AND ALSO DESIGN AND BUILD METAL TARGETS FOR OUR FIRING RANGE. THE WELDER WILL HELP US UPGRADE OUR TRAINING AND BE USED BY OUR DEPARTMENT ONLY.</t>
  </si>
  <si>
    <t>2YTHQ060938002</t>
  </si>
  <si>
    <t>THE MILAN POLICE DEPARTMENT WOULD LIKE TO HAVE THE EMPTY TOOL BOXES TO STORE AND SECURE FIREARMS AND MUNITIONS. THE CASES ARE LISTED AS BEING EMPTY WITH NO TOOLS AND WOULD BENEFIT  OUR STORAGE NEEDS. THE BOXES WILL BE USED BY OUR DEPARTMENT ONLY.</t>
  </si>
  <si>
    <t>MONROE COUNTY SHERIFFS OFFICE (2YTHWY)</t>
  </si>
  <si>
    <t>2YTHWY60866687</t>
  </si>
  <si>
    <t>DSTIREREB</t>
  </si>
  <si>
    <t>TIRE REBUILDING AND TIRE AND TUBE REPAIR</t>
  </si>
  <si>
    <t>THE MONROE COUNTY SHERIFFS OFFICE IS REQUESTING THIS MACHINE FOR OUR GARAGE. WE ARE IN NEED OF A NEW BALANCING MACHINE FOR OUR PATROL VEHICLE TIRES. THIS IS A NEWER AND PROPER MACHINE FOR THIS TASK.</t>
  </si>
  <si>
    <t>2YTHWY60654718</t>
  </si>
  <si>
    <t>ENGINE,DIESEL</t>
  </si>
  <si>
    <t>THE MONROE COUNTY SHERIFFS OFFICE IS REQUESTING THIS FOR REPLACEMENT OF CURRENT VEHICLES ENGINES. THIS WILL HELP REPAIR VEHICLES THAT HAVE BEEN SITTING AND NOT ABLE TO REPAIR DUE TO NEEDING A COMPLETE REPLACEMENT.</t>
  </si>
  <si>
    <t>2YTHWY60654716</t>
  </si>
  <si>
    <t>2YTHWY60654717</t>
  </si>
  <si>
    <t>2YTHWY61210454</t>
  </si>
  <si>
    <t>DSHYDPNEP</t>
  </si>
  <si>
    <t>HYDRAULIC AND PNEUMATIC PRESSES</t>
  </si>
  <si>
    <t>THE MONROE COUNTY SHERIFFS OFFICE IS REQUESTING THIS FOR OUR SHOP. THIS HYDRAULIC PRESS WILL BE UTILIZED WHEN WORKING ON SUSPENSION COMPONENTS OF OUR PATROL FLEET.</t>
  </si>
  <si>
    <t>2YTHWY61210453</t>
  </si>
  <si>
    <t>DSPNCHSHE</t>
  </si>
  <si>
    <t>PUNCHING AND SHEARING MACHINES</t>
  </si>
  <si>
    <t>THE MONROE COUNTY SHERIFFS OFFICE IS REQUESTING THIS FOR OUR SHOP. THIS WILL HELP US WHEN DOING FABRICATION WORK ON PATROL VEHICLES AND OTHER EQUIPMENT IN OUR FLEET. THIS WILL ALSO HELP WITH MAKING NEW TRAINING AIDS.</t>
  </si>
  <si>
    <t>2YTHWY60866271</t>
  </si>
  <si>
    <t>THE MONROE COUNTY SHERIFFS OFFICE IS REQUESTING THIS CRANE HOIST FOR OUR GARAGE. THIS WILL BE USED LIFTING ENGINES AND TRANSMISSIONS WHEN WORKING ON LARGE PROJECTS.</t>
  </si>
  <si>
    <t>OVERTON COUNTY SHERIFF'S DEPT (2YT18E)</t>
  </si>
  <si>
    <t>2YT18E61008576</t>
  </si>
  <si>
    <t>TO BE USED FOR SPECIAL EVENTS AND SEARCH AND RESCUE OPERATIONS WHERE THE USE TYPICAL PATROL CARS ARE IMPRACTICAL</t>
  </si>
  <si>
    <t>2YT18E61008577</t>
  </si>
  <si>
    <t>TO BE USED FOR SPECIAL EVENTS AND SEARCH AND RESCUE OPERATIONS WHERE THE USE OF TYPICAL PATROL VEHICLES IS IMPRACTICAL</t>
  </si>
  <si>
    <t>2YT18E61008583</t>
  </si>
  <si>
    <t>TO BE USED AS BACKUP POWER AT EMERGENCY SERVICES SUBSTATION</t>
  </si>
  <si>
    <t>2YT18E61008582</t>
  </si>
  <si>
    <t>TO BE USED AS BACK UP POWER FOR EMERGENCY SERVICES SUBSTATION</t>
  </si>
  <si>
    <t>2YT18E61008584</t>
  </si>
  <si>
    <t>TO BE USED AS BACKUP POWER FOR EMERGENCY SERVICES SUBSTATIONS</t>
  </si>
  <si>
    <t>PARSONS POLICE DEPT (2YTJEV)</t>
  </si>
  <si>
    <t>2YTJEV61280933</t>
  </si>
  <si>
    <t>THIS PROPERTY WILL BE USED BY THE PARSONS POLICE DEPARTMENT TO PATROL OUR REGIONAL PARK DURING EVENTS, DUE TIGHT QUARTERS AROUND OUR BALL PARKS.</t>
  </si>
  <si>
    <t>2YTJEV61350932</t>
  </si>
  <si>
    <t>2YTJEV61350931</t>
  </si>
  <si>
    <t>SPARTA POLICE DEPARTMENT (2YTS08)</t>
  </si>
  <si>
    <t>2YTS0861280229</t>
  </si>
  <si>
    <t>THE SPARTA POLICE DEPARTMENT WILL UTILIZE THIS VEHICLE FOR OPERATIONS AND PUBLIC SAFETY. THIS VEHICLE WILL SERVE IN PATROL AND ADMINISTRATIVE DUTIES FOR PUBLIC SAFETY AND COMMUNITY ENFORCEMENT. THIS VEHICLE WILL IMPACT THE RESPONSE AND PATROL FUNCTIONS.</t>
  </si>
  <si>
    <t>2YTS0861562477</t>
  </si>
  <si>
    <t>THIS ASSET WOULD BENEFIT THIS AGENCY AND OFFICERS BY ALLOWING US TO UTILIZE IT AS A TRAFFIC ENEFORCEMENT AND INVESTIGATION VEHICLE. THIS WOULD ALLOW US TO SAVE FUNDS AND. ENFORCE TRAFFIC LAW AS WELL AS ASSIST IN TRAFFIC INVESTIGATION. WE WOULD REPAIR AS NECESSARY THE FORT STATES MOST IS COSMETIC</t>
  </si>
  <si>
    <t>2YTS0861007612</t>
  </si>
  <si>
    <t>THIS ASSET WOULD BENEFIT THIS AGENCY AND OFFICERS BY ALLOWING US TO UTILIZE THIS AS A REPLACEMENT FOR THE OTHER VAN WE HAVE  THIS ASSET WOULD BE USED TO TRANSPORT AND STORE CAR SEATS. TRAFFIC CONES BARRELS TRAFFIC CONTROL SUPPLIES AS WELL AS TENTS AND INCIDENT SCENE SETUP. WE WOULD USE OUR CURRENT VAN TO FIX ISSUES ON THIS I SPOKE WITH FORT AND THIS ASSET NEEDS MINIMAL REPAIR TO MAKE USEABLE</t>
  </si>
  <si>
    <t>2YTS0861492273</t>
  </si>
  <si>
    <t>THIS ASSET WOULD BENEFIT THIS AGENCY AND OUR OFFICERS BY ALLOWING US TO USE AND STORE TOOLS OUT OF THIS ASSET.  THIS WOULD HOUSE AIR COMPRESSORS JACKS HAND TOOLS ETC TO BE ABLE TO REPAIR VEHICLES AND OTHER POLICE ASSETS INSTEAD OF HAVING TO MOVE THEM TO THE GARAGE FOR REPAIR. WE WOULD REPAIR THIS ASSET AS NEEDED</t>
  </si>
  <si>
    <t>2YTS0861633475</t>
  </si>
  <si>
    <t>THIS ASSET WOULD BENEFIT THIS AGENCY AND OFFICERS BY ALLOWING US TO UTILIZE IT FOR PARK PATROLS AND ENFORCEMENT AS WELL AS PARKING ENFORCEMENT AND CONTROL AND CODES. WE WOULD REPAIR AS NECESSARY.  SPOKE TO FORT</t>
  </si>
  <si>
    <t>2YTS0860936953</t>
  </si>
  <si>
    <t>THIS ASSET WOULD BENEFIT THIS AGENCY AND OFFICERS BY ALLOWING US TO UTILIZE THIS AS A DOWN TOWN PATROL VEHICLE AND PARKING ENFORCEMENT. VEHICLE. THIS WOULD ALLOW OFFICERS TO BE MORE EFFICIENT IN THE DOWNTOWN AREA AND ALLOW THEM TO DRIVE INSTEAD OF WALK.  I SPOKE WITH THE POC AND THIS ITEM IS USEABLE AS IS</t>
  </si>
  <si>
    <t>2YTS0861633485</t>
  </si>
  <si>
    <t>THIS ASSET WOULD BENEFIT THIS AGENCY AND OFFICERS BY ALLOWING US TO UTILIZE THIS FOR MAINTENANCE AROUND THE POLICE DEPT FOR MOWING. GRAVEL SPREADING ETC. SPOKE TO FORT WE WOULD REPAIR FOR USE</t>
  </si>
  <si>
    <t>2YTS0860936963</t>
  </si>
  <si>
    <t>THIS ASSET WOULD BENEFIT THIS AGENCY AND OFFICERS BY ALLOWING US TO UTILIZE THIS FOR REPAIR AND MAINTENANCE OR OUR RANGE AREA MOVING AND HAULING TREES AWAY AS WELL AS MAINTENANCE ON THE SHOOTING BURN AND GRAVEL PARKING AREA. THIS WOULD ASSIST US IN BUILDING A NEW SHOOT HOUSE  I SPOKE WITH POC AND THIS IS USEABLE AS IS</t>
  </si>
  <si>
    <t>2YTS0860936905</t>
  </si>
  <si>
    <t>THIS ASSET WOULD BENEFIT THIS AGENCY AND OFFICERS BY ALLOWING US TO UTILIZE THIS FOR RANGE MAINTENANCE AND EXPANSION THIS ASSET WOULD BE VITAL IN ALLOWING US TO MAINTAIN AND CONTINUOUSLY EXPAND OUR RANGE TRAINING I SPOKE WITH THE FORT AND THIS ASSET WOULD BE FIXED AND PLACED INTO SERVICE IMMEDIATELY</t>
  </si>
  <si>
    <t>2YTS0861633478</t>
  </si>
  <si>
    <t>THIS ASSET WOULD BENEFIT THIS AGENCY AND OFFICERS BY ALLOWING US TO UTILIZE THIS AS A TRAINING AID IN OUR TRAINING ROOM TO TEACH CLASSES TO OFFICERS SPOKE TO FORT WE WOULD REPAIR AS NEEDED</t>
  </si>
  <si>
    <t>2YTS0861492275</t>
  </si>
  <si>
    <t>THESE ASSETS WOULD BENEFIT THIS AGENCY AND OFFICERS BY ALLOWING US TO UTILIZE THESE IN OUR EQUIPMENT TRAILER TO ALLOW US TO UTILIZE AIR TOOLS  FOR CHANGING TIRES. AND OTHER PNEUMATIC TOOLS.  WE WOULD REPAIR THESE AS NECESSARY. THE FORT STATED THEY JUST NEED TUNE UPS</t>
  </si>
  <si>
    <t>2YTS0860866374</t>
  </si>
  <si>
    <t>THESE ASSETS WOULD BENEFIT THIS AGENCY AND OFFICERS BY ALLOWING US TO UTILIZE THESE FOR SEARCH AND RESCUE. POWER OUTAGES CRIME SCENES OR TRAFFIC INVESTIGATIONS  AS WELL AS UTILIZE THESE FOR SCENE SAFETY AND SECURITY AT ANY OTHER TYPE OF EVENT I SPOKE WITH FORT AND THESE ARE REPAIRABLE FOR USE.  WE WOULD FIX THEM AS NEEDED</t>
  </si>
  <si>
    <t>2YTS0861008757</t>
  </si>
  <si>
    <t>DSPRINTIN</t>
  </si>
  <si>
    <t>OFFICE SUPPLIES, PRINTING</t>
  </si>
  <si>
    <t>THIS ASSET WOULD ASSIST THIS AGENCY AND OFFICERS BY ALLOWING US TO UTILIZE IT FOR PRINTING REPORTS AND WARRANTS</t>
  </si>
  <si>
    <t>2YTS0861633486</t>
  </si>
  <si>
    <t>THESE ASSETS WOULD BENEFIT THIS AGENCY AND OFFICERS BY ALLOWING US TO USE THESE DURING WINTER TO KEEP OFFICERS WARM WHILE ON PATROL  SPOKE TO FORT. SOME ARE STILL IN DECENT SHAPE</t>
  </si>
  <si>
    <t>2YTS0861633482</t>
  </si>
  <si>
    <t>THESE ASSETS WOULD BENEFIT THIS AGENCY AND OFFICERS BY ALLOWING THEM TO USE THESE TO SLEEP ON DURING INCIDENTS SUCH AS NATURAL DISASTERS OR IN THE RECOVERY TRAILER.  THEY COULD STACK TWO ON TOP OF EACH OTHER TO HAVE A MORE COMFORTABLE AREA FOR RESTING  I SPOKE WITH THE FORT AND SOME ARE STILL USEABLE</t>
  </si>
  <si>
    <t>STEWART COUNTY SHERIFF OFFICE (2YTLG7)</t>
  </si>
  <si>
    <t>2YTLG761007810</t>
  </si>
  <si>
    <t>DUE TO LIMITED FUNDING, NEED A TRANSPORT UNIT FOR TACTICAL TEAM.  CURRENTLY MEMBERS HAVE TO DRIVE INDIVIDUALLY TO A DEPLOYMENT.  WITH A VEHICLE THAT ALL TEAM MEMBERS CAN TRAVEL AS A TEAM WOULD GREATLY ENHANCE OFFICER SAFETY.</t>
  </si>
  <si>
    <t>TELLICO PLAINS POLICE DEPT (2YTLRG)</t>
  </si>
  <si>
    <t>2YTLRG60725289</t>
  </si>
  <si>
    <t>THIS VEHICLE WOULD BE USED TO CLEAR ROADWAY DEBRIS FOLLOWING MAJOR TRAFFIC INCIDENTS, SEVERE WEATHER INCIDENTS, AND ROUTINE COMMUNITY PATROL ROUTES TO ENSURE SAFE TRAVEL CONDITIONS FOR LAW ENFORCEMENT RESPONSES AND PUBLIC SAFETY. THIS VEHICLE WOULD ALSO BE USED TO SWEEP OUR CITY POLICE DEPARTMENT PARKING LOT. TELLICO POLICE DEPARTMENT WILL ASSUME ALL COSTS AND EXPENSES FOR THIS VEHICLE.</t>
  </si>
  <si>
    <t>TENNESSEE TECH PD HI_ED (2YTTAQ)</t>
  </si>
  <si>
    <t>2YTTAQ60936920</t>
  </si>
  <si>
    <t>TO BE USED FOR SPECIAL EVENTS PATROL ON CAMPUS, DAILY PATROL IN AREAS WHERE ROAD ACCESS IS LIMITED.</t>
  </si>
  <si>
    <t>TOWNSEND POLICE DEPARTMENT (2YTLXD)</t>
  </si>
  <si>
    <t>2YTLXD61219586</t>
  </si>
  <si>
    <t>THIS UNIT WOULD BE DEPLOYED BY THE TOWNSEND POLICE DEPARTMENT AS AN UNMARKED POLICE VEHICLE FOR COUNTER DRUG INVESTIGATIONS AND OPERATIONS. DLA STATES THAT THE VEHICLE RUNS AND ONLY NEEDS MINOR REPAIR.</t>
  </si>
  <si>
    <t>VONORE POLICE DEPT (2YTM3P)</t>
  </si>
  <si>
    <t>2YTM3P61280458</t>
  </si>
  <si>
    <t>THE POLICE DEPARTMENT WOULD UTILIZE THIS VAN AS A CRIME SCENE VEHICLE. THIS VAN COULD BE STOCKED WITH ALL MATERIALS NEEDED AT A CRIME SCENE WHICH WOULD INCREASE RESPONSE TIME AND BETTER EQUIP OFFICERS TO CRIME SCENES. THE DEPARTMENT WILL ACCEPT AS IN CONDITION.</t>
  </si>
  <si>
    <t>2YTM3P6160JG01</t>
  </si>
  <si>
    <t>2YTM3P61491944</t>
  </si>
  <si>
    <t>THE POLICE DEPARTMENT WOULD UTILIZE THIS EQUIPMENT DURING A DISASTER WERE EXISTING COMMUNICATION EQUIPMENT HAD BEEN DESTROYED. THE DEPARTMENT WOULD ACCEPT AS IN CONDITION.</t>
  </si>
  <si>
    <t>2YTM3P61007787</t>
  </si>
  <si>
    <t>THE VONORE POLICE DEPARTMENT IS REQUESTING THIS TRACTOR TO USE ON MAINTAINING TRAINING GROUNDS. THE ENCLOSED CAB ENSURES SAFETY DURING THE USE OF THE EQUIPMENT-MOWING. THE POLICE DEPARTMENT DOES NOT HAVE AN OPERATIONAL ENCLOSED CAB TRACTOR AT THIS TIME. THE DEPARTMENT WOULD ACCEPT AS IN CONDITION.</t>
  </si>
  <si>
    <t>WASHINGTON COUNTY SHERIFFS OFFICE (2YTM9S)</t>
  </si>
  <si>
    <t>2YTM9S61351097</t>
  </si>
  <si>
    <t>THE WASHINGTON COUNTY SHERIFF'S OFFICE WOULD USE THIS VEHICLE FOR LAW ENFORCEMENT PURPOSES. WE WOULD USE THE VEHICLE TO SET UP SURVEILLANCE ON TARGET LOCATIONS AND OTHER SPECIAL OPERATIONS INVOLVING THE DETECTIVE BUREAU.</t>
  </si>
  <si>
    <t>2YTM9S61280252</t>
  </si>
  <si>
    <t>THE WASHINGTON SHERIFFS OFFICE WILL USE THIS VEHICLE FOR LAW ENFORCEMENT PURPOSES. THE SHERIFFS DEPT WILL USE THIS VEHICLE TO LATER TRANSPORT LARGER ITEMS FROM THIS PROGRAM THAT WE CURRENTLY DO NOT HAVE A WAY TO TRANSPORT</t>
  </si>
  <si>
    <t>2YTM9S61330836</t>
  </si>
  <si>
    <t>THE WASHINGTON COUNTY SHERIFFS OFFICE WILL USE THE TRAILERS FOR LAW ENFORCEMENT PURPOSES. THE SHERIFFS OFFICE WILL USE THE TRAILERS FOR TRANSPORTING DISASTER RELIEF SUPPLIES TO AREAS OF NEED</t>
  </si>
  <si>
    <t>2YTM9S60866599</t>
  </si>
  <si>
    <t>TH WASHINGTON COUNTY SHERIFFS OFFICE WILL USE THE MOWERS TO MAINTAIN THE GROUNDS AT THE DEPARTMENT</t>
  </si>
  <si>
    <t>2YTM9S61350765</t>
  </si>
  <si>
    <t>THE WASHINGTON COUNTY SHERIFFS OFFICE WILL USE THIS GENERATOR FOR LAW ENFORCEMENT PURPOSES. THE SHERIFFS OFFICE WILL USE THIS GENERATOR FOR BACK UP POWER SOURCE FOR SHERIFFS DEPT, POWER AT OUR RANGE COMPLEX, AND DURING EMERGENCY EVENTS SUCH AS NATURAL DISASTERS TO HELP THE COMMUNITY.</t>
  </si>
  <si>
    <t>2YTM9S61351056</t>
  </si>
  <si>
    <t xml:space="preserve">THE WASHINGTON COUNTY SHERIFFS OFFICE WILL USE THIS GENERATOR FOR LAW ENFORCEMENT PURPOSES. THE SHERIFFS DEPT WILL USE THIS GENERATOR FOR BACK UP POWER SOURCE FOR SHERIFFS DEPT, POWER AT OUR RANGE COMPLEX, AND DURING EMERGENCY EVENTS SUCH AS NATURAL DISASTERS TO HELP THE COMMUNITY. 
</t>
  </si>
  <si>
    <t>2YTM9S61350768</t>
  </si>
  <si>
    <t>THE WASHINGTON COUNTY SHERIFFS OFFICE WILL USE THE STORAGE CONTAINERS FOR LAW ENFORCEMENT PURPOSES. THE SHERIFFS OFFICE WILL USE THE CONTAINERS TO STORE NATURAL DISASTERS RELIEF EQUIPMENT</t>
  </si>
  <si>
    <t>2YTM9S61351121</t>
  </si>
  <si>
    <t>THE WASHINGTON COUNTY SHERIFFS OFFICE WILL USE THE STORAGE UNITS FOR LAW ENFORCEMENT PURPOSES. THE SHERIFFS OFFICE WILL USE THE STORAGE UNITS TO STORE ADDITIONAL EQUIPMENT BELONGING TO THE SHERIFFS INSIDE A CONTROLLED LOT. ROAD PATROL UNITS CAN STORE ITEMS FROM THEIR DUTIES AND K9 UNITS CAN STORE THEIR ADDITIONAL EQUIPMENT.</t>
  </si>
  <si>
    <t>WEAKLEY COUNTY SHERIFFS OFFICE (2YTNED)</t>
  </si>
  <si>
    <t>2YTNED61078657</t>
  </si>
  <si>
    <t>THE WEAKLEY COUNTY SHERIFF'S OFFICE IS REQUESTING THIS TRAILER TO BE ABLE TO TRANSPORT ACQUIRED LESO ITEMS, AS WELL AS OTHER ITEMS THAT THE SHERIFF'S OFFICE MAY NEED TO TRANSPORT.</t>
  </si>
  <si>
    <t>WHITE COUNTY SHERIFF OFFICE (2YTNMZ)</t>
  </si>
  <si>
    <t>2YTNMZ61421404</t>
  </si>
  <si>
    <t>THE WHITE COUNTY SHERIFF'S OFFICE SORT TEAM CAN USE THESE JACKETS IN RAINY WEATHER ON SORT MISSIONS.</t>
  </si>
  <si>
    <t>2YTNMZ61421402</t>
  </si>
  <si>
    <t>THE WHITE COUNTY SHERIFF'S OFFICE SORT TEAM CAN USE THESE BAGS ON MISSIONS WHEN DEPLOYED ON SORT CALL OUTS.</t>
  </si>
  <si>
    <t>WHITEVILLE POLICE DEPT (2YTNNY)</t>
  </si>
  <si>
    <t>2YTNNY60937509</t>
  </si>
  <si>
    <t>THIS VEHICLE WOULD BE A GREAT ASSET TO OUR DEPARTMENT FOR BEING USED AS A MOBILE COMMAND CENTER FOR SPECIAL OPERATIONS, NATURAL DISASTER EVENTS, INMATE ESCAPES, AND SEARCH AN RESCUE OPERATIONS.</t>
  </si>
  <si>
    <t>2YTNNY60937129</t>
  </si>
  <si>
    <t>TRACTOR,DEPLOYABLE,COMBAT EARTHMOVER</t>
  </si>
  <si>
    <t>THIS EQUIPMENT WILL PROVE TO BE VALUABLE IN MAINTAINING OUR IMPOUND LOT AND CLEARING LAND IN OUR INDUSTRIAL PARK THAT WE PLAN ON USING FOR A TRAINING SITE AND FIREARMS TRAINING. IT WILL ALSO PROVE TO BE VALUABLE TO MAKE SURE ROADS AND STREETS ARE CLEARED DURING DISASTER EVENTS TO ENSURE EMERGENCY VEHICLES ARE STILL ABLE TO RESPOND.</t>
  </si>
  <si>
    <t>WILSON COUNTY SHERIFF'S OFFICE (2YTNRP)</t>
  </si>
  <si>
    <t>2YTNRP61078445</t>
  </si>
  <si>
    <t>THE WILSON COUNTY SHERIFF'S OFFICE IS IN NEED OF AN ENCLOSED TRAILER TO FACILITATE THE MOVEMENT OF EQUIPMENT AND SUPPLIES ACROSS THE COUNTY, PARTICULARLY DURING INSTANCES OF EMERGENCIES AND NATURAL DISASTERS.  THE SHERIFF'S OFFICE WILL ALSO UTILIZE IT FOR STORAGE AND PROTECTION OF NECESSARY EQUIPMENT DURING THE TN STATE FAIR WHICH IS THE LARGES FAIR IN THE STATE FOR NEARLY 2 WEEKS. WE ARE AWARE OF THE CONDITION CODE.</t>
  </si>
  <si>
    <t>2YTNRP61280938</t>
  </si>
  <si>
    <t>THE WILSON COUNTY SHERIFF'S OFFICE IS REQUESTING THESE ITEMS FOR UTILIZATION BY THE SPECIAL RESPONSE TEAM WHO IS TASKED WITH RESPONDING TO EMERGENCIES IN LOW AND NO LIGHT EMERGENCIES.  WE ARE AWARE OF THE CONDITION CODE BUT SUSPECT THESE ITEMS WILL STILL BE ABLE TO BE UTILIZED BY OUR AGENCY.  THESE WILL BE A MAJOR OFFICER SAFETY IMPROVEMENT FOR OUR TEAM.</t>
  </si>
  <si>
    <t>2YTNRP61422033</t>
  </si>
  <si>
    <t>THE WILSON COUNTY SHERIFF'S OFFICE IS REQUESTING THESE ITEMS FOR UTILIZATION BY THE SPECIAL RESPONSE TEAM WHO IS TASKED WITH RESPONDING TO EMERGENCIES IN LOW AND NO LIGHT EMERGENCIES.  WE ARE AWARE OF THE CONDITION CODE BUT SUSPECT THESE ITEMS WILL STILL BE ABLE TO BE UTILIZED BY OUR AGENCY BASED ON THE LISTING AND PHOTOGRAPHED APPEARANCE.</t>
  </si>
  <si>
    <t>2YTNRP61422034</t>
  </si>
  <si>
    <t>2YTNRP61492272</t>
  </si>
  <si>
    <t>THE WILSON COUNTY SHERIFFS OFFICE IS REQUESTING THIS ITEM FOR UTILIZATION BY OUR SPECIAL RESPONSE TEAM WHO IS TASKED WITH RESPONDING TO EMERGENCIES IN LOW AND NO LIGHT SITUATIONS.  OUR AGENCY IS CURRENTLY WITHOUT THIS EQUIPMENT AND WE ARE IN DESPERATE NEED FOR THIS ITEM.  WE ARE AWARE OF THE CONDITION CODE BUT SUSPECT THIS ITEM WILL STILL WORK BASED ON THE DESCRIPTION, PHOTOGRAPHS, AND THE SITE REPRESENTATIVES WHO HAVE ADVISED THE LENSES ARE STILL INTACT.</t>
  </si>
  <si>
    <t>2YTNRP61633623</t>
  </si>
  <si>
    <t>THE WILSON COUNTY SHERIFF'S OFFICE IS REQUESTING THESE ITEMS FOR UTILIZATION BY THE SPECIAL RESPONSE TEAM WHO IS TASKED WITH RESPONDING TO EMERGENCIES WHERE COMMUNICATION AND EAR PROTECTION IS CRITICAL.  WE CURRENTLY DO NOT HAVE A STANDARD ITEM TO ISSUE TO OUR TEAM AND BELIEVE THESE WILL BE BENEFICIAL TO US.</t>
  </si>
  <si>
    <t>2YTNRP61633625</t>
  </si>
  <si>
    <t>TX</t>
  </si>
  <si>
    <t>ANTHONY POLICE DEPT (2YTAK0)</t>
  </si>
  <si>
    <t>2YTAK061210654</t>
  </si>
  <si>
    <t>TRUCK,WRECKER</t>
  </si>
  <si>
    <t>TO BE USED BY ANTHONY, TEXAS POLICE DEPARTMENT.  OUR RESPONSE AREA INCLUDES TWO MILES OF INTERSTATE 10 AND HAVE SEVERAL TRUCK STOPS IN OUR JURISDICTION.  WHEN SEMI-TRUCKS BREAK DOWN, THEY CREATE A TRAFFIC HAZARD AND CAN CAUSE BACKUP.  PRIVATE TOW TRUCKS OFTEN TAKE A LONG TIME TO RESPOND TO OUR DISTRICT.  THIS TRUCK WOULD HELP ALLEVIATE THESE ISSUES.</t>
  </si>
  <si>
    <t>2YTAK061149261</t>
  </si>
  <si>
    <t>THE EQUIPMENT WILL BE USED BY THE ANTHONY, TEXAS POLICE DEPARTMENT TO RESPOND TO MULTIPLE CAMPUSES WITH THE SRO AND DURING FESTIVALS FOR RAPID RESPONSE.</t>
  </si>
  <si>
    <t>2YTAK060938102</t>
  </si>
  <si>
    <t>ITEM REQUESTED FOR ANTHONY POLICE DEPARTMENT AND WILL BE USED FOR POLICE PURPOSES.  ITEM WILL BE USED TO HELP MANAGE OUR IMPOUND LOT WHICH CONTAINS ABANDONED VEHICLES.  MANY OF THEM DO NOT START OR HAVE BEEN INVOLVED IN COLLISIONS MAKING THEM IMPOSSIBLE TO MOVE MANUALLY WITHOUT THE HELP OF A FORKLIFT.</t>
  </si>
  <si>
    <t>ARP POLICE DEPT (2YTANX)</t>
  </si>
  <si>
    <t>2YTANX61148846</t>
  </si>
  <si>
    <t>THE TRUCK WILL BE USED BY THE ARP POLICE DEPARTMENT FOR LAW ENFORCEMENT PURPOSES ONLY. OFFICERS WILL USE THE TRUCK TO PICK UP AND RECEIVE LESO AWARDED EQUIPMENT. OFFICERS WILL ALSO USE THE TRUCK TO TRANSPORT TRAINING EQUIPMENT TO AND FROM THE PD FIREARMS RANGE AND OTHER TRAINING SITES.</t>
  </si>
  <si>
    <t>2YTANX61562380</t>
  </si>
  <si>
    <t>THE ENCLOSED TRAILER WILL BE USED BY THE ARP POLICE DEPARTMENT FOR LAW ENFORCEMENT PURPOSES ONLY. OFFICERS WILL USE THE ENCLOSED TRAILER TO TRANSPORT EQUIPMENT TO AND FROM TRAINING SITES. OFFICERS WILL ALSO USE THE ENCLOSED TRAILER TO PICKUP LESO AWARDED EQUIPMENT. THE ENCLOSED TRAILER WILL PROTECT EQUIPMENT FROM THE ELEMENTS DURING TRANSPORT. THE LAST ENCLOSED TRAILER WE WERE AWARDED HAD A MAJOR ROOF LEAK THAT CAUSED THE WOOD IN THE ROOF AND SIDES TO BE ROTTED.</t>
  </si>
  <si>
    <t>2YTANX61421231</t>
  </si>
  <si>
    <t>THE HUMVEE TRAILER WILL BE USED BY THE ARP POLICE DEPARTMENT FOR LAW ENFORCEMENT PURPOSES ONLY. ARP PD WAS AWARDED A HUMVEE THROUGH THE LESO PROGRAM. THIS TRAILER IS COVERED AND WILL BE USED BY OFFICERS TO PICKUP HEAVY LESO AWARDED EQUIPMENT, PD PURCHASED EQUIPMENT AND MOVE TRAINING EQUIPMENT TO AND FROM THE PD FIREARMS RANGE.</t>
  </si>
  <si>
    <t>2YTANX61078220</t>
  </si>
  <si>
    <t>THE K9 TRAILER WILL BE USED BY THE ARP POLICE DEPARTMENT FOR LAW ENFORCEMENT PURPOSES ONLY. ARP PD HAS A K9 HANDLER TEAM. THE K9 HANDLER WILL UTILIZE THE K9 TRAILER TO TRANSPORT HIS K9 AND TRAINING EQUIPMENT TO AND FROM TRAINING.</t>
  </si>
  <si>
    <t>2YTANX61350710</t>
  </si>
  <si>
    <t>THE MULE WILL BE USED BY THE ARP POLICE DEPARTMENT FOR LAW ENFORCEMENT PURPOSES ONLY. THE CITY OF ARP IS A FARMING COMMUNITY WITH LARGE TRACTS OF PROPERTY. OFFICERS WILL USE THE MULE TO SEARCH FOR MISSING ADULTS WITH DEMENTIA, MISSING CHILDREN AND SUSPECTS. ARP PD HAS ONLY BEEN ABLE TO GET ONE UTV WORKING THAT HAS BEEN AWARDED THROUGH THE LESO PROGRAM DUE TO SIGNIFICANT TRANSMISSION AND ENGINE ISSUES.</t>
  </si>
  <si>
    <t>2YTANX61633107</t>
  </si>
  <si>
    <t>THE STIHL SR200 WILL BE USED BY THE ARP POLICE DEPARTMENT FOR LAW ENFORCEMENT PURPOSES ONLY. THE STIHL SR200 IS A GAS POWERED SPRAYER USED TO SPRAY HERBICIDES AND MOSQUITOS. OFFICERS WILL USE THE SPRAYER TO TREAT THE PD FIREARMS RANGE.</t>
  </si>
  <si>
    <t>2YTANX61280466</t>
  </si>
  <si>
    <t>THE LAWN MOWER WILL BE USED BY THE ARP POLICE DEPARTMENT FOR LAW ENFORCEMENT PURPOSES ONLY. OFFICERS WILL USE THE MOWER TO MAINTAIN THE PD OWN FIREARMS RANGE AND THE PD SEIZURE LOT. WE WERE UNABLE TO GET THE LAST LAWN MOWER RUNNING DUE TO SIGNIFICANT ENGINE PROBLEMS.</t>
  </si>
  <si>
    <t>2YTANX61632943</t>
  </si>
  <si>
    <t>THE LANDSCAPE BLOWER WILL BE USED BY THE ARP POLICE DEPARTMENT FOR LAW ENFORCEMENT PURPOSES ONLY. OFFICERS WILL USE THE LANDSCAPE BLOWER TO HELP MAINTAIN THE PD FIREARMS RANGE BY KEEPING TARGET POINTS AND SHOOTING POSITIONS CLEAR OF DEBRIS.</t>
  </si>
  <si>
    <t>2YTANX61219337</t>
  </si>
  <si>
    <t>THE SKID STEER WILL BE USED BY THE ARP POLICE DEPARTMENT FOR LAW ENFORCEMENT PURPOSES ONLY. OFFICERS WILL USE THE SKID STEER WHILE ENHANCING THE PD RANGE. THE SKID STEER WILL BE USED TO MOVE DIRT AND BRUSH.</t>
  </si>
  <si>
    <t>2YTANX61632939</t>
  </si>
  <si>
    <t>THE SKID STEER WILL BE USED BY THE ARP POLICE DEPARTMENT FOR LAW ENFORCEMENT PURPOSES ONLY. OFFICERS WILL USE THE SKID STEER TO MOVE DIRT AND MAINTAIN THE POLICE DEPARTMENT FIREARMS RANGE. THE LAST SKID STEER WE WERE AWARDED HAD SIGNIFICANT ENGINE PROBLEMS AND WAS UNABLE TO BE REPAIRED.</t>
  </si>
  <si>
    <t>2YTANX61632958</t>
  </si>
  <si>
    <t>THE FORKLIFT WILL BE USED BY THE ARP POLICE DEPARTMENT FOR LAW ENFORCEMENT PURPOSES ONLY. OFFICERS WILL USE THE FORKLIFT TO MOVE LESO AWARDED AND PD EQUIPMENT. THE PREVIOUS FORKLIFT THAT WAS AWARDED TO THE PD HAS MAJOR HYDRAULIC ISSUES AND DUE TO THE AGE OF THE FORKLIFT, IT IS UNABLE TO BE REPAIRED.</t>
  </si>
  <si>
    <t>2YTANX61148849</t>
  </si>
  <si>
    <t>THE FORKLIFT WILL BE USED BY THE ARP POLICE DEPARTMENT FOR LAW ENFORCEMENT PURPOSES ONLY. OFFICERS WILL USE THE FORKLIFT TO LOAD AND UNLOAD PD OWNED EQUIPMENT. IT WAS ALSO BE USED TO MOVE EQUIPMENT AND SEIZED VEHICLES AROUND THE FENCED IN PD SEIZURE LOT.</t>
  </si>
  <si>
    <t>2YTANX60796401</t>
  </si>
  <si>
    <t>EXTENSION DRILL SET</t>
  </si>
  <si>
    <t>THE EXTENSION DRILL SETS WILL BE USED BY THE ARP POLICE DEPARTMENT FOR LAW ENFORCEMENT PURPOSES ONLY. OFFICERS WILL USE THE EXTENSIONS FOR HARD TO REACH PLACES WHILE PERFORMING MAINTENANCE ON PD AND LESO EQUIPMENT.</t>
  </si>
  <si>
    <t>2YTANX60796400</t>
  </si>
  <si>
    <t>MAINTENANCE KIT</t>
  </si>
  <si>
    <t>THE MAINTENANCE KITS WILL BE USED BY THE ARP POLICE DEPARTMENT FOR LAW ENFORCEMENT PURPOSES ONLY. OFFICERS PERFORM BASIC MAINTENANCE ON PD AND LESO VEHICLES AND EQUIPMENT. OFFICE WILL USE THE MAINTENANCE KITS WHILE WORKING ON THE VEHICLES AND EQUIPMENT.</t>
  </si>
  <si>
    <t>2YTANX61633289</t>
  </si>
  <si>
    <t>TOOL SET,SATS,BASE</t>
  </si>
  <si>
    <t>THE TOOLS WILL BE USED BY THE ARP POLICE DEPARTMENT FOR LAW ENFORCEMENT PURPOSES ONLY. OFFICERS WILL USE THE TOOLS FOR BASIC MAINTENANCE ON LESO EQUIPMENT AND PD EQUIPMENT. OFFICERS CURRENTLY CONDUCT MAINTENANCE SUCH AS CHANGING OIL, BRAKES, BATTERIES AND ALTERNATORS.</t>
  </si>
  <si>
    <t>2YTANX61148843</t>
  </si>
  <si>
    <t>PAN,DRIP</t>
  </si>
  <si>
    <t>THE DRIP PAN WILL BE USED BY THE ARP POLICE DEPARTMENT FOR LAW ENFORCEMENT PURPOSES ONLY. OFFICERS PERFORM BASIC MAINTENANCE ON PD AND LESO EQUIPMENT. THE DRIP PANS WILL BE USED TO COLLECT FLUIDS AND OIL WHILE BEING THE UNITS ARE BEING SERVICED.</t>
  </si>
  <si>
    <t>2YTANX61632940</t>
  </si>
  <si>
    <t>EXTRACTOR SET,SCREW</t>
  </si>
  <si>
    <t>THE EXTRACTOR SCREW SET WILL BE USED BY THE ARP POLICE DEPARTMENT FOR LAW ENFORCEMENT PURPOSES ONLY. THE EXTRACTOR SCREW SET WILL BE USED BY OFFICERS WHO PERFORM BASIC MAINTENANCE ON PD AND LESO EQUIPMENT WHEN A SCREW BECOMES STRIPPED OR BROKEN OFF.</t>
  </si>
  <si>
    <t>2YTANX61078845</t>
  </si>
  <si>
    <t>SAW,JIG,ELECTRIC,PORTABLE</t>
  </si>
  <si>
    <t>THE JIG SAW WILL BE USED BY THE ARP POLICE DEPARTMENT FOR LAW ENFORCEMENT PURPOSES ONLY. OFFICERS WILL USE THE JIG SAWS FOR BUILDING AND REPAIRING TARGET POINTS AND SHOOTING STRUCTURES ON THE PD FIREARMS RANGE.</t>
  </si>
  <si>
    <t>2YTANX61149158</t>
  </si>
  <si>
    <t>THE CORDLESS NAIL GUN WILL BE USED BY THE ARP POLICE DEPARTMENT FOR LAW ENFORCEMENT PURPOSES ONLY. OFFICERS WILL USE THE CORDLESS NAIL GUN TO BUILD TARGET POINT AND SHOOTING STATIONS AT THE PD FIREARMS RANGE.</t>
  </si>
  <si>
    <t>2YTANX61703583</t>
  </si>
  <si>
    <t>THE TOOLBOX WILL BE USED BY THE ARP POLICE DEPARTMENT FOR LAW ENFORCEMENT PURPOSES ONLY. ARP PD WAS RECENTLY AWARDED A 20 FT STORAGE CONTAINER. THE TOOLBOX WILL BE USED TO ORGANIZE AND PROTECT PD AND LESO PROPERTY INSIDE OF THE CONTAINER.</t>
  </si>
  <si>
    <t>2YTANX61703582</t>
  </si>
  <si>
    <t>2YTANX61632941</t>
  </si>
  <si>
    <t>CHISEL AND PUNCH KIT,METALWORKING</t>
  </si>
  <si>
    <t>THE METAL WORKING PUNCH SET WILL BE USED BY THE ARP POLICE DEPARTMENT FOR LAW ENFORCEMENT PURPOSES ONLY. THE PUNCHES WILL BE USED DURING BASIC AUTOMOTIVE AND EQUIPMENT MAINTENANCE. OFFICERS WILL ALSO USE THE PUNCHES WHEN CONDUCTING FIREARMS MAINTENANCE. ARP PD HAS A GLOCK AND AR ARMORER ON STAFF.</t>
  </si>
  <si>
    <t>2YTANX61701242</t>
  </si>
  <si>
    <t>TOOL KIT,URBAN OPS</t>
  </si>
  <si>
    <t>THE URBAN OPS TOOLS WILL BE USED BY THE ARP POLICE DEPARTMENT FOR LAW ENFORCEMENT PURPOSES ONLY. URBAN OPS TOOLS CONTAIN DOOR BREACHING TOOLS. THE STATE OF TEXAS REQUIRES PATROL UNITS TO HAVE DOOR BREACHING TOOLS IN PATROLL UNITS THROUGH SB 22, UVALDE ACT. OFFICERS WILL PLACE THE BREACHING TOOLS IN PATROL UNITS TO BE USED DURING ACTIVE SHOOTER EVENTS, SEARCH WARRANTS AND ARREST WARRANTS.</t>
  </si>
  <si>
    <t>2YTANX60796403</t>
  </si>
  <si>
    <t>TOOL LOAD,FRS</t>
  </si>
  <si>
    <t>THE FRS TOOL LOAD WILL BE USED BY THE ARP POLICE DEPARTMENT FOR LAW ENFORCEMENT PURPOSES ONLY. THE FRS TOOL LOAD WILL BE PLACED IN THE POLICE DEPARTMENT VEHICLE AND EQUIPMENT PROPERTY LOT.THIS WILL ALLOW FOR MAINTENANCE TO BE DONE WITHOUT HAVE TO CONSTANTLY MOVE TOOLS BACK AND FORTH FROM THE INSIDE BAYS TO THE OUTSIDE LOT. THE OUTSIDE LOT IS ALMOST 300 METERS AWAY FROM THE BAYS.</t>
  </si>
  <si>
    <t>2YTANX61633673</t>
  </si>
  <si>
    <t>THE TORX AND SCREW DRIVER BITS WILL BE USED BY THE ARP POLICE DEPARTMENT FOR LAW ENFORCEMENT PURPOSES ONLY. ARP PD ASSIGNS THEIR OFFICERS TAKE HOME PATROL UNITS. THE OFFICERS HAVE TAKEN A DIRECT INTEREST IN CARING FOR THEIR ASSIGNED UNITS AND HAVE REQUESTED TOOL KITS TO BE UTILIZED FOR VEHICLE MAINTENANCE PURPOSES ONLY. ARP PD IS BUILDING TOOL KITS FOR EACH UNIT AND ASSIGNING THEM TO THE UNITS FOR ACCOUNTABILITY. OFFICERS WILL USE THE TOOLS FOR BASIC MAINTENANCE.</t>
  </si>
  <si>
    <t>2YTANX60937642</t>
  </si>
  <si>
    <t>BARBED WIRE,CONCERT</t>
  </si>
  <si>
    <t>THE BARBED WIRE WILL BE USED BY THE ARP POLICE DEPARTMENT FOR LAW ENFORCEMENT PURPOSES ONLY. THE ARP PD PROPERTY AND SEIZURE LOT BACKS UP TO A WOODED AREA. OFFICERS WILL PLACE THE BARBED WIRE ALONG THE BACK OF THE LOT TO SECURE THE LOT FROM VANDALISM AND THEFT.</t>
  </si>
  <si>
    <t>2YTANX61703374</t>
  </si>
  <si>
    <t>THE NATURAL GAS BACKUP GENERATOR WILL BE USED BY THE ARP POLICE DEPARTMENT FOR LAW ENFORCEMENT PURPOSES ONLY. ARP PD IS IN CHARGE OF THE DISASTER WARMING AND COOLING CENTER. CURRENTLY THE DISASTER CENTER DOES NOT HAVE A BACKUP GENERATOR. THIS GENERATOR WILL BE ATTACHED TO THE NATURAL GAS LINES CURRENTLY AT THE BUILDING TO PROVIDE ELECTRICITY TO THE SHELTER.</t>
  </si>
  <si>
    <t>2YTANX61491788</t>
  </si>
  <si>
    <t>THE GENERATORS WILL BE USED BY THE ARP POLICE DEPARTMENT FOR LAW ENFORCEMENT PURPOSES ONLY. ARP PD IS IN CHARGE OF THE WARMING AND COOLING DISASTER CENTER FOR THE CITY. ONE GENERATOR WILL BE USED TO HELP SUPPLY ELECTRICITY TO THE CENTER DURING A LOSS OF ELECTRICITY. THE OTHER GENERATOR WILL BE USED TO SUPPLY ELECTRICITY TO THE EMERGENCY OPERATION CENTER DURING A LOSS OF ELECTRICITY.</t>
  </si>
  <si>
    <t>2YTANX60937671</t>
  </si>
  <si>
    <t>THE 2000KW GENERATOR WILL BE USED BY THE ARP POLICE DEPARTMENT FOR LAW ENFORCEMENT PURPOSES ONLY. OFFICERS WILL UTILIZE THE GENERATOR DURING A POWER OUTAGE TO CHARGE THEIR PATROL LAPTOPS, MOBILE RADIOS AND FLASHLIGHTS. THE LAST 2 GENERATORS ARP PD WAS AWARDED WERE DAMAGED AND UNABLE TO BE SERVICED.</t>
  </si>
  <si>
    <t>2YTANX61633291</t>
  </si>
  <si>
    <t>THE BATTERY CHARGER WILL BE USED BY THE ARP POLICE DEPARTMENT FOR LAW ENFORCEMENT PURPOSES ONLY. ARP PD WILL USE THE BATTERY CHARGER TO CHARGE THE 2590 BATTERIES REQUIRED FOR THE LESO AWARDED PACKBOT. THE LAST CHARGER WE WERE AWARDED WILL NOT POWER ON.</t>
  </si>
  <si>
    <t>2YTANX61553290</t>
  </si>
  <si>
    <t>THE BATTERY CHARGER WILL BE USED BY THE ARP POLICE DEPARTMENT FOR LA ENFORCEMENT PURPOSES ONLY. ARP PD WILL USE THE BATTERY CHARGER TO CHARGE THE 2590 BATTERIES REQUIRED FOR THE LESO AWARDED PACKBOT. THE LAST CHARGER WE WERE AWARDED WILL NOT POWER ON.</t>
  </si>
  <si>
    <t>2YTANX61421439</t>
  </si>
  <si>
    <t>THE BATTERY CHARGER WILL BE USED BY THE ARP POLICE DEPARTMENT FOR LAW ENFORCEMENT PURPOSES ONLY. ARP PD WAS AWARDED A PACKBOT ROBOT. THIS CHARGER WILL BE USED BY OFFICERS TO CHARGE AND MAINTAIN THE BATTERIES FOR THE ROBOT.</t>
  </si>
  <si>
    <t>2YTANX61632942</t>
  </si>
  <si>
    <t>THE FLASHLIGHTS WILL BE USED BY THE ARP POLICE DEPARTMENT FOR LAW ENFORCEMENT PURPOSES ONLY. OFFICERS THAT WORK NIGHT SHIFT WILL UTILIZE THE FLASHLIGHTS TO PROVIDE A WAY TO SEE IN LOW LIGHT CONDITIONS.</t>
  </si>
  <si>
    <t>2YTANX61703406</t>
  </si>
  <si>
    <t>MES COMBAT MEDIC-20</t>
  </si>
  <si>
    <t>THE MES COMBAT MEDICAL EQUIPMENT WILL BE USED BY THE ARP POLICE DEPARTMENT FOR LAW ENFORCEMENT PURPOSES ONLY. ARP PD HAS AN OFFICER WHO IS A CERTIFIED EMT. THAT OFFICER IS IN CHARGE OF MAINTAINING AND UPDATING THE PD ACTIVE SHOOTER KIT. THIS EQUIPMENT WILL BE ADDED TO THAT KIT.</t>
  </si>
  <si>
    <t>2YTANX61633075</t>
  </si>
  <si>
    <t>THE MULTIMETER WILL BE USED BY THE ARP POLICE DEPARTMENT FOR LAW ENFORCEMENT PURPOSES ONLY. OFFICERS WILL USE THE MULTIMETER TO TROUBLESHOOT AND TEST ELECTRICAL EQUIPMENT IN PATROL UNITS TO INCLUDE INCAR RADIOS, RADARS AND INCAR CAMERAS. OFFICERS WILL ALSO USE THE MULTIMETERS TO TEST BATTERIES IN PD OWNED AND LESO EQUIPMENT.</t>
  </si>
  <si>
    <t>2YTANX60866398</t>
  </si>
  <si>
    <t>THE FOLDING COTS WILL BE USED BY THE ARP POLICE DEPARTMENT FOR LAW ENFORCEMENT PURPOSES ONLY. ARP PD IS IN CHARGE OF THE CITY'S WARMING AND COOLING SHELTER. OFFICERS WILL USE THE COTS FOR CITIZENS DURING LOSS OF ELECTRICITY IN THE SHELTER FOR CITIZENS.</t>
  </si>
  <si>
    <t>2YTANX61562384</t>
  </si>
  <si>
    <t>DSPODIUM0</t>
  </si>
  <si>
    <t>PODIUM</t>
  </si>
  <si>
    <t>THE PODIUM WILL BE USED BY THE ARP POLICE DEPARTMENT FOR LAW ENFORCEMENT PURPOSES ONLY. DEPARTMENT TRAINERS WILL USE THE PODIUM WHILE CONDUCTING CLASSES FOR BOTH ARP PD CLASSES AND CLASSES GIVEN TO OTHER AGENCIES.</t>
  </si>
  <si>
    <t>2YTANX61703369</t>
  </si>
  <si>
    <t>THE GYM EQUIPMENT WILL BE USED BY THE ARP POLICE DEPARTMENT FOR LAW ENFORCEMENT PURPOSES ONLY. ARP PD HAS AN OFFICER WELLNESS PROGRAM THAT ALLOWS OFFICERS TO WORKOUT WHILE ON DUTY. OFFICERS WILL USE THE GYM EQUIPMENT IN THE PD GYM WHILE ON DUTY.</t>
  </si>
  <si>
    <t>2YTANX61703365</t>
  </si>
  <si>
    <t>THE WEIGHT PLATES WILL BE USED BY THE ARP POLICE DEPARTMENT FOR LAW ENFORCEMENT PURPOSES ONLY. ARP PD HAS AN OFFICER WELLNESS PROGRAM THAT ALLOWS OFFICERS TO WORKOUT WHILE ON DUTY. OFFICERS WILL USE THE WEIGHT PLATES IN THE PD GYM WHILE ON DUTY.</t>
  </si>
  <si>
    <t>2YTANX61219293</t>
  </si>
  <si>
    <t>THE STORAGE CONTAINER WILL BE USED BY THE ARP POLICE DEPARTMENT FOR LAW ENFORCEMENT PURPOSES ONLY. THE PROPERTY ROOM OFFICER WILL USE THE STORAGE CONTAINER TO PROPERLY STORE AND MAINTAIN PD OWNED EQUIPMENT AND LESO AWARDED EQUIPMENT. THE CONTAINER WILL BE LOCKED AND STORED BEHIND A CHAIN LINK FENCED IN AREA.</t>
  </si>
  <si>
    <t>2YTANX61219792</t>
  </si>
  <si>
    <t>THE 20 FT STORAGE CONTAINER WILL BE USED BY THE ARP POLICE DEPARTMENT FOR LAW ENFORCEMENT PURPOSES ONLY. THE CONTAINER WILL BE USED BY THE ARP PD PROPERTY AND EVIDENCE TECHNICIAN TO STORE PD AND LESO EQUIPMENT. ARP PD HAS NOT YET BEEN AWARDED A 20 FT CONTAINER.</t>
  </si>
  <si>
    <t>2YTANX61421237</t>
  </si>
  <si>
    <t>TENT,UST TRALER MODELHP3C/35/8,TAN,DRASH</t>
  </si>
  <si>
    <t>THE DRASH TENT TRAILER WILL BE USED BY THE ARP POLICE DEPARTMENT FOR LAW ENFORCEMENT PURPOSES ONLY. ARP PD IS RESPONSIBLE FOR THE HEATING AND WARMING SHELTER. THIS EQUIPMENT WILL BE USED TO HEAT AND COOL THE SHELTER WHEN THERE IS NO ELECTRICITY.</t>
  </si>
  <si>
    <t>COOLIDGE PD (2YTTAY)</t>
  </si>
  <si>
    <t>2YTTAY61562510</t>
  </si>
  <si>
    <t>THIS ITEM WILL BE USED TO STORE AND TRANSPORT POLICE EQUIPMENT WHEN ASSISTING OTHER AGENCIES, TO THE GUN RANGE, SEARCH AND RESCUE, EMERGENCY RESPONSE AS WELL AS OTHER ACTIVITIES AS NEEDED. 
THIS ITEM WILL BE USED BY THE COOLIDGE POLICE DEPARTMENT AND WILL STAY IN THE POSSESSION OF THE COOLIDGE POLICE DEPARTMENT</t>
  </si>
  <si>
    <t>FAIRFIELD PD (2YTTBM)</t>
  </si>
  <si>
    <t>2YTTBM60866772</t>
  </si>
  <si>
    <t>FAIRFIELD POLICE DEPARTMENT IS A LAW ENFORCEMENT AGENCY AND THIS ITEM WILL BE USED FOR LAW ENFORCEMENT PURPOSES ONLY.
OUR AGENCY WOULD UTILIZE THIS VEHICLE TO TRANSPORT EQUIPMENT FROM ONE LOCATION TO ANOTHER. OUR AGENCY WOULD ALSO USE THIS VEHICLE FOR PROMOTIONAL PURPOSES OF RECRUITMENT AND ADVERTISEMENT.</t>
  </si>
  <si>
    <t>2YTTBM60866773</t>
  </si>
  <si>
    <t>THE FAIRFIELD POLICE DEPARTMENT IS A LAW ENFORCEMENT AGENCY AND THIS ITEM WILL BE USED FOR LAW ENFORCEMENT PURPOSES ONLY.
THIS ITEM IS TO AID OUR AGENCY DURING THE SEARCH OF PERSONS IN AREAS THAT DAY TO DAY VEHICLE WILL NOT GO. THIS ITEM WOULD ALSO ASSIST OFFICERS OF OUR AGENCY TO BE MOBILE DURING LARGE EVENTS THAT REQUIRE ACREAGE OF COVERAGE AREA, SUCH AS OUR COUNTY FAIR.</t>
  </si>
  <si>
    <t>2YTTBM61280447</t>
  </si>
  <si>
    <t>THE FAIRFIELD POLICE DEPARTMENT IS A LAW ENFORCEMENT AGENCY. THIS ITEM WILL BE USED FOR LAW ENFORCEMENT PURPOSES ONLY.
THIS ITEM WILL BE USED TO MAINTAIN THE GRASS FIELD AND ENTRY TO THE TRAINING GROUNDS OF THE DEPARTMENT.</t>
  </si>
  <si>
    <t>2YTTBM61350907</t>
  </si>
  <si>
    <t>THE FAIRFIELD POLICE DEPARTMENT IS A LAW ENFORCEMENT AGENCY. THIS ITEM WILL BE USED FOR LAW ENFORCEMENT PURPOSES ONLY.
OUR AGENCY WILL UTILIZE THIS ITEM TO CLEAR ROADWAYS DURING HIGH WIND STORMS. OUR AGENCY WILL ALSO USE THIS ITEM TO MAINTAIN THE ENTRY AND ROADWAY TO THE TRAINING GROUNDS OF THE DEPARTMENT.</t>
  </si>
  <si>
    <t>2YTTBM60867407</t>
  </si>
  <si>
    <t>THE FAIRFIELD POLICE DEPARTMENT IS A LAW ENFORCEMENT AGENCY AND THIS ITEM WILL BE USED FOR LAW ENFORCEMENT PURPOSES ONLY.
THESE ITEMS WILL BE PLACED IN PATROL VEHICLES AND USE IN THE EVENT OF AN EMERGENCY. IT WILL BE USED FOR THE TACTICAL STABILIZATION AND REMOVAL OF INJURED PERSON IF MASS CASUALTY EVENT WERE TO OCCUR. OFFICERS WITH THIS AGENCY WILL BE TRAINED TO USE THESE ITEMS PRIOR TO USE.</t>
  </si>
  <si>
    <t>2YTTBM60937412</t>
  </si>
  <si>
    <t>DSNIGHTVI</t>
  </si>
  <si>
    <t>NIGHT VISION EQUIP, EMIT, REFLECTED RAD</t>
  </si>
  <si>
    <t>THE FAIRFIELD POLICE DEPARTMENT IS A LAW ENFORCEMENT AGENCY AND THIS ITEM WILL BE USED FOR LAW ENFORCEMENT PURPOSES ONLY.
OFFICER WITH OUR AGENCY WILL UTILIZE THESE ITEMS DURING BUILDING SEARCHES AND CLEARANCE OF NON LIGHTED AREAS. THE ITEM IS INTENDED TO MAINTAIN THE SAFETY OF THE OFFICER WITH THIS AGENCY.</t>
  </si>
  <si>
    <t>2YTTBM60867467</t>
  </si>
  <si>
    <t>THE FAIRFIELD POLICE DEPARTMENT IS A LAW ENFORCEMENT AGENCY AND THIS ITEM WILL BE USE FOR LAW ENFORCEMENT PURPOSES ONLY.
THIS ITEM WILL BE UTILIZED BY THE AGENCY TO PROVIDE MOBILE POWER TO THE AGENCY DURING EVENTS HELD IN REMOTE LOCATIONS. THIS ITEM WILL ALSO BE USED TO ASSIST IN PROVIDING A LIGHTED AREA DURING NIGHTTIME TRAINING AT REMOTE TRAINING GROUNDS WITH NO POWER.</t>
  </si>
  <si>
    <t>2YTTBM60937406</t>
  </si>
  <si>
    <t>THE FAIRFIELD POLICE DEPARTMENT IS A LAW ENFORCEMENT AGENCY AND THIS ITEM WILL BE USED FOR LAW ENFORCEMENT PURPOSES ONLY.
THE ITEM LISTED WILL BE USED IN THE CRIMINAL INVESTIGATIONS DIVISION. THE ITEM WILL BE USED TO PHOTOGRAPH CRIME SCENES PRIOR TO EVIDENCE COLLECTION AND ALSO BE USED TO PHOTOGRAPH EVIDENCE COLLECTED.</t>
  </si>
  <si>
    <t>2YTTBM61008689</t>
  </si>
  <si>
    <t>DSSCANNE2</t>
  </si>
  <si>
    <t>SCANNER, DIGITAL</t>
  </si>
  <si>
    <t>THE FAIRFIELD POLICE DEPARTMENT IS A LAW ENFORCEMENT AGENCY. THIS ITEM WILL BE USED FOR LAW ENFORCEMENT PURPOSES ONLY.
THIS AGENCY WILL USE THIS ITEM TO DIGITIZE OLD HARD COPIES OF CASE FILES, MAKING CASE FILES MORE ACCESSIBLE.</t>
  </si>
  <si>
    <t>2YTTBM61149945</t>
  </si>
  <si>
    <t>THE FAIRFIELD POLICE DEPARTMENT IS A LAW ENFORCEMENT AGENCY. THIS EQUIPMENT WILL BE USED FOR LAW ENFORCEMENT PURPOSES ONLY.
OUR AGENCY WILL USE THIS EQUIPMENT TO MAINTAIN A HEALTHY PHYSICAL STATUS, AND TO ALLOW OFFICERS TO DECOMPRESS THROUGH A HEALTHY METHOD.</t>
  </si>
  <si>
    <t>FALLS CSO (2YTDYY)</t>
  </si>
  <si>
    <t>2YTDYY60937426</t>
  </si>
  <si>
    <t>RESPECTFULLY REQUEST 2 STORAGE RACKS FOR USE IN THE FALLS COUNTY SHERIFF'S OFFICE ARMORY.</t>
  </si>
  <si>
    <t>2YTDYY60937425</t>
  </si>
  <si>
    <t>RESPECTFULLY REQUEST STORAGE RACK TO EQUIP THE FALLS COUNTY ARMORY.</t>
  </si>
  <si>
    <t>GRANITE SHOALS POLICE DEPT (2YTERJ)</t>
  </si>
  <si>
    <t>2YTERJ61149725</t>
  </si>
  <si>
    <t>THIS ITEM WILL BE UTILISED EXCLUSIVELY FOR LAW ENFORCEMENT PURPOSES. THE TRAILER WILL BE EMPLOYED IN CONJUNCTION WITH OUR ASSIGNED CARGO VEHICLES TO FACILITATE THE TRANSPORTATION OF EQUIPMENT REQUIRED FOR ESTABLISHING A COMMAND POST DURING SIGNIFICANT INCIDENTS WHERE SUCH A FACILITY IS NECESSARY.</t>
  </si>
  <si>
    <t>2YTERJ60725058</t>
  </si>
  <si>
    <t>THIS EQUIPMENT WILL BE USED FOR LAW ENFORCEMENT PURPOSED ONLY. THE GRANITE SHOALS POLICE DEPARTMENT CONDUCTS CRIME SCENE INVESTIGATIONS IN ENVIRONMENTS WITH POOR AMBIENT LIGHTING WHICH REQUIRE A SOURCE OF ILLUMINATION FOR PROPER IDENTIFICATION, CATALOGING, AND COLLECTION OF KEY EVIDENCE FOR CRIME SCENES WHICH VARY IN SIZE. THIS LIGHTING DEVICE WILL ENHANCE OUR ABILITY TO PROVIDE PROPER ILLUMINATION FOR CRIME SCENE INVESTIGATIONS.</t>
  </si>
  <si>
    <t>2YTERJ61149722</t>
  </si>
  <si>
    <t>THESE ITEMS WILL BE UTILISED EXCLUSIVELY FOR LAW ENFORCEMENT ACTIVITIES. THE SCANNERS WILL BE EMPLOYED WITHIN OUR EVIDENCE ROOM TO FACILITATE THE PROCESSING OF EVIDENCE AND TO ENHANCE PROPERTY ACCOUNTABILITY.</t>
  </si>
  <si>
    <t>2YTERJ60795878</t>
  </si>
  <si>
    <t>CASE,A EMPTY</t>
  </si>
  <si>
    <t>THIS EQUIPMENT WILL BE USED FOR LAW ENFORCEMENT PURPOSES ONLY, THE GRANITE SHOALS POLICE DEPARTMENT UTILIZES ITEMS OF VALUE TO CONDUCT INVESTIGATIONS AND TO LOCATE OFFENDERS IN LOW LIGHT CONDITIONS. THE ABILITY TO STORE AND SECURE THESE ITEMS WOULD REDUCE THE LIKELIHOOD THAT THE ITEMS WOULD BE DAMAGED OR LOST DURING TRANSPORT ENROUTE TO USE THEM. WHEN THESE SENSITIVE PIECES OF EQUIPMENT ARE NOT ACTIVELY BEING USED, THEY REQUIRE STORAGE WITH THE ABILITY TO ENCLOSE THEM BEHIND A HEAVY-DUTY LOCK.</t>
  </si>
  <si>
    <t>HOUSTON POLICE DEPT (2YTFKH)</t>
  </si>
  <si>
    <t>2YTFKH61148913</t>
  </si>
  <si>
    <t>HOOD,ENGINE COMPART</t>
  </si>
  <si>
    <t>HOODS WILL BE USED BY HOUSTON POLICE OFFICERS IN THE HIGH WATER RESCUE UNIT TO REPLACE DAMAGED AND RUSTING HOODS ON HOUSTON POLICE HIGH WATER RESCUE UNIT TO ENSURE MISSION READINESS AND EFFECTIVENESS FOR DEPLOYMENT DURING ENVIRONMENTAL DISASTERS IN THE CITY.</t>
  </si>
  <si>
    <t>2YTFKH61078612</t>
  </si>
  <si>
    <t>POWER,BREEZER</t>
  </si>
  <si>
    <t>COOLING FANS WILL BE USED BY HOUSTON POLICE OFFICERS IN THE SPECIAL RESPONSE GROUP RIOT CONTROL TO PROVIDE COOLING CENTERS FOR OFFICERS DURING DEPLOYMENT AT EXTENDED SCENES IN THE CITY</t>
  </si>
  <si>
    <t>2YTFKH61491811</t>
  </si>
  <si>
    <t>GENERATOR,ALTERNATI</t>
  </si>
  <si>
    <t>GENERATORS WILL BE USED BY HOUSTON POLICE DEPARTMENT SPECIAL OPERATIONS AND TACTICAL OPERATIONS TO QUIETLY AND EFFICIENTLY PROVIDE POWER WHILE IN PERFORMING REMOTE FIELD OPERATIONS</t>
  </si>
  <si>
    <t>2YTFKH60867062</t>
  </si>
  <si>
    <t>CONTROL,DIRECTIONAL</t>
  </si>
  <si>
    <t>TURN SIGNALS WILL BE USED BY HOSUTON POLICE OFFICERS IN THE HIGH WATER RESCUE UNIT TO REPLACE INOPERABLE TURN SIGNAL SWITCHES IN HOUSTON POLICE HIGH WATER RESCUE TRUCKS TO MAINTAIN MISSION READINESS AND EFFECTIVENESS FOR DEPLOYMENT DURING ENVIRONMENTAL DISASTERS IN THE CITY.</t>
  </si>
  <si>
    <t>2YTFKH61008658</t>
  </si>
  <si>
    <t>TARPS WILL BE USED BY HOUSTON POLICE OFFICERS IN THE HIGH WATER RESCUE UNIT TO PROVIDE ENVIRONMENTAL COVERAGE FOR OUTDOOR OIL DRUMS USED FOR MAINTENANCE ON HOUSTON POLICE HIGH WATER RESCUE UNIT</t>
  </si>
  <si>
    <t>2YTFKH61008659</t>
  </si>
  <si>
    <t>HAT,SUN, RABU, TYPE V</t>
  </si>
  <si>
    <t>HATS WILL BE USED BY HOUSTON POLICE OFFICERS IN THE HIGH WATER RESCUE UNIT TO PROVIDE SUN RELIEF WHILE REPAIRING AND MAINTAINING HOUSTON POLICE HIGH WATER RESCUE TRUCKS OUTDOORS</t>
  </si>
  <si>
    <t>JOHNSON CITY PD (2YTPYA)</t>
  </si>
  <si>
    <t>2YTPYA61078560</t>
  </si>
  <si>
    <t>DESK,L-UNIT</t>
  </si>
  <si>
    <t>DESKS FOR NEW PATROL ROOM BEING CONSTRUCTED, FOR LAW ENFORCEMENT OFFICER WORKSTATIONS. DIRECT USE FOR LAW ENFORCEMENT PURPOSES.</t>
  </si>
  <si>
    <t>KATY POLICE DEPT (2YTF3T)</t>
  </si>
  <si>
    <t>2YTF3T61421583</t>
  </si>
  <si>
    <t>KATY POLICE DEPARTMENT SRT TEAM OFFICERS WOULD UTILIZE THIS PIECE OF EQUIPMENT DIRECTLY RELATED TO OFFICIAL DUTIES, NIGHT TIME K9 SEARCHES AND SEARCH AND RESCUE OPERATIONS FOR AIR TO GROUND COMMUNICATION.  TRAINING WITH LOCAL HOUSTON AREA AIR ASSETS, WE WOULD HAVE A GROUND TO AIR COMMUNICATION METHOD WE DO NOT CURRENTLY HAVE.  ENABLING ILLUMINATION POSSIBILITIES OF OBJECTIVES OR AREAS TO BE SEARCHED BY ASSISTING AIR ASSETS INCREASING OFFICER SAFETY.</t>
  </si>
  <si>
    <t>2YTF3T61351363</t>
  </si>
  <si>
    <t>KATY PD SRT WILL UTILIZE THIS EQUIPMENT IN THE DISCHARGE OF IT'S OFFICIAL DUTIES AND TRAINING. JEROD STEWART OF KATY PD SPOKE WITH CHRIS PACHECHO OF NAPA PD AS WELL AS ANOTHER LT. THERE AND CORINNE BARBEE OF CALIFORNIA LESO WHO VERIFIED THIS BATCH OF 8 UNITS ARE IN GREAT SERVICEABLE CONDITION.  EMAIL CORRESPONDENCE WAS EMAILED TO TEXAS STATE LESO COORDINATOR.</t>
  </si>
  <si>
    <t>MEDINA VALLEY ISD PD K-12 (2YTTBW)</t>
  </si>
  <si>
    <t>2YTTBW61078889</t>
  </si>
  <si>
    <t>SLING,CARGO,AERIAL DELIVERY</t>
  </si>
  <si>
    <t>MEDINA VALLEY POLICE DEPARTMENT IS REQUESTING THIS ITEM FOR THE EXTRACTION OR REMOVAL OF VEHICLES OR BARRIERS IN RESPONSE TO CRITICAL INCIDENTS INVOLVING THE IMMEDIATE PRESERVATION OF LIFE. THIS ITEM WOULD BE PLACED IN LAW ENFORCEMENT PATROL TRUCK.</t>
  </si>
  <si>
    <t>2YTTBW61078867</t>
  </si>
  <si>
    <t>MEDINA VALLEY POLICE DEPARTMENT WILL UTILIZE THIS ITEM TO STORE WATER AT FIRING RANGE WHILE LAW ENFORCEMENT OFFICERS ARE TRAINING IN ACTIVE SHOOTER, MASS CASUALTY PREVENTION. OUR AGENCY PLANS TO MOUNT ON A TRAILER FOR MOBILITY TO RESPOND TO CRITICAL LAW ENFORCEMENT INCIDENTS AS WELL.</t>
  </si>
  <si>
    <t>2YTTBW61421513</t>
  </si>
  <si>
    <t>THE MEDINA VALLEY POLICE DEPARTMENT IS REQUESTING THIS EQUIPMENT TO BE UTILIZED BY LAW ENFORCEMENT DURING TRAINING TO MOVE TARGETS AND ITEMS AT OUR FIRING RANGE. LAW ENFORCEMENT WILL USE THIS TRAINING TO PRACTICE FOR RESPONSES TO CRITICAL INCIDENTS AND PROACTIVE PATROL TO SUPPRESS CRIMINAL ACTIVITY.</t>
  </si>
  <si>
    <t>2YTTBW61079149</t>
  </si>
  <si>
    <t>WELDING MACHINE,ARC</t>
  </si>
  <si>
    <t>THE MEDINA VALLEY POLICE DEPARTMENT IS REQUESTING THIS ITEM TO BE USED BY LAW ENFORCEMENT FOR LAW ENFORCEMENT TRAINING. THIS ITEM WILL BE USED TO BUILD AND MAINTAIN STEEL TARGETS AND TARGET FRAMES FOR FIREARMS TRAINING TO RESPOND TO CRITICAL INCIDENTS AND PRESERVE LIFE.</t>
  </si>
  <si>
    <t>2YTTBW61078897</t>
  </si>
  <si>
    <t>WIRE ROPE ASSEMBLY,</t>
  </si>
  <si>
    <t>THE MEDINA VALLEY POLICE DEPARTMENT IS REQUESTING THIS ITEM TO BE USED LAW ENFORCEMENT PERSONNEL TO CREATE CORDON AND SECURE AREA TO PREVENT VEHICLE ACCESS FOR THE IMMEDIATE PRESERVATION OF LIFE IN PREVENTION OF AN ACTIVE SHOOTER, MASS CASUALITY EVENT. THIS ITEM WILL ALSO BE UTILIZED BY LAW ENFORCEMENT TO CREATE SECURE AREA FOR REUNIFICATION POST MASS CASUALITY EVENT.</t>
  </si>
  <si>
    <t>2YTTBW61078945</t>
  </si>
  <si>
    <t>THE MEDINA VALLEY POLICE DEPARTMENT IS REQUESTING THIS ITEM TO BE UTILIZED DURING TRAINING ON THE FIRING RANGE. THIS TRAINING IS FOR LAW ENFORCEMENT PERSONNEL TO PREVENT AD RESPOND TO ACTIVE SHOOTING INCIDENTS AND THE IMMEDIATE PRESERVATION OF LIFE.</t>
  </si>
  <si>
    <t>2YTTBW61210571</t>
  </si>
  <si>
    <t>HOSE,AIR DUCT</t>
  </si>
  <si>
    <t>THE MEDINA VALLEY POLICE DEPARTMENT IS REQUESTING THESE ITEMS TO BE USED BY LAW ENFORCEMENT WITH HVAC SYSTEM AT INCIDENT RESPONSE COMMAND TENT. THESE INCIDENTS WOULD INCLUDE POST ACTIVE SHOOTING RESPONSE AND TRAINING EVENTS TO PREVENT ACTIVE SHOOTER INCIDENTS.</t>
  </si>
  <si>
    <t>2YTTBW61492264</t>
  </si>
  <si>
    <t>THE MEDINA VALLEY POLICE DEPARTMENT IS REQUESTING ONE OF THESE ITEMS TO CLEAN AND MAINTAIN MARKED LAW ENFORCEMENT VEHICLES. THESE VEHICLES ARE USED BY LAW ENFORCEMENT FOR PROACTIVE PATROLS AND RESPONSE TO ACTIVE SHOOTER EVENTS.</t>
  </si>
  <si>
    <t>2YTTBW61079148</t>
  </si>
  <si>
    <t>STAND,VEHICLE SUPPO</t>
  </si>
  <si>
    <t>THE MEDINA VALLEY POLICE ARE REQUESTING THESE ITEMS TO BE USED BY LAW ENFORCEMENT FOR REPAIR AND MAINTENANCE OF LAW ENFORCEMENT VEHICLE. THE VEHICLES ARE USED FOR PROACTIVE CRIME SUPPRESSION AS WELL AS LAW ENFORCEMENT RESPONSE TO CRITICAL INCIDENTS.</t>
  </si>
  <si>
    <t>2YTTBW61078901</t>
  </si>
  <si>
    <t>CLEANER,PRESSURE,SO</t>
  </si>
  <si>
    <t>THE MEDINA VALLEY POLICE DEPARTMENT IS REQUESTING THIS ITEM TO CLEAN AND MAINTAIN LAW ENFORCEMENT VEHICLES. THESE VEHICLES ARE CRITICAL TO LAW ENFORCEMENT RESPONSE TO INCIDENTS AND THE IMMEDIATE PRESERVATION OF LIFE. ADDITIONALLY THESE LAW ENFORCEMENT VEHICLES ARE USED DAILY FOR THE PREVENTION OF CRIMINAL ACTIVITY.</t>
  </si>
  <si>
    <t>2YTTBW61492265</t>
  </si>
  <si>
    <t>THE MEDINA VALLEY POLICE DEPARTMENT IS REQUESTING THIS ITEM TO BE USED BY LAW ENFORCEMENT TO REPAIR AND MAINTAIN STEEL TARGETS ON THE FIRING RANGE. THE STEEL TARGETS ARE USED BY OFFICERS TO TRAIN IN THE RESPONSE TO MASS CASUALITY EVENTS AND TO STOP THE IMMEDIATE LOSS OF LIFE.</t>
  </si>
  <si>
    <t>2YTTBW61492262</t>
  </si>
  <si>
    <t>THE MEDINA VALLEY POLICE DEPARTMENT IS REQUESTING THIS ITEM TO REPAIR AND MAINTAIN MARKED LAW ENFORCEMENT VEHICLES. THIS VEHICLES ARE MISSION CRITICAL TO SUPPRESS CRIMINAL ACTIVITY AND RESPOND TO EVENTS IN ORDER TO STOP THE IMMEDIATE LOSS OF LIFE.</t>
  </si>
  <si>
    <t>2YTTBW61069210</t>
  </si>
  <si>
    <t>MEDINA VALLEY POLICE ARE REQUESTING THIS ITEM TO REPAIR AND SERVICE DEPARTMENT WEAPONS. THESE WEAPONS ARE UTILIZED BY OUR OFFICERS TO RESPOND TO INCIDENTS FOR THE IMMEDIATE PRESERVATION OF LIFE AND INCIDENTS OF SELF DEFENSE REQUIRING DEADLY FORCE.</t>
  </si>
  <si>
    <t>2YTTBW61350736</t>
  </si>
  <si>
    <t>THE MEDINA VALLEY POLICE DEPARTMENT IS REQUESTING THIS ITEM TO BE USED BY LAW ENFORCEMENT  FOR CROWD CONTROL AND REUNIFICATION POST CRITICAL AND MASS CASUALITY INCIDENTS. THIS ITEM WILL ALSO BE UTILIZED FOR LAW ENFORCEMENT FIRING RANGE TRAINING TO AID IN ACTIVE SHOOTER RESPONSE.</t>
  </si>
  <si>
    <t>2YTTBW61492259</t>
  </si>
  <si>
    <t>THE MEDINA VALLEY POLICE ARE REQUESTING THIS ITEM TO POWER FANS AND LIGHTS FOR LAW ENFORCEMENT TRAINING. THIS TRAINING IS FOR OFFICER TO BETTER RESPOND TO ACTIVE SHOOTER EVENTS AND CRIME SUPPRESSION THROUGHOUT PATROL AREA.</t>
  </si>
  <si>
    <t>2YTTBW61492263</t>
  </si>
  <si>
    <t>FIXTURE,LIGHTING</t>
  </si>
  <si>
    <t>THE MEDINA VALLEY POLICE ARE REQUESTING THESE ITEMS TO BE USED LAW ENFORCEMENT FOR LOW LIGHT NIGHT TRAINING ON THE FIRING RANGE. THIS TRAINING WILL BE USED BY OFFICERS FOR TO RESPOND TO CRITICAL INCIDENTS AND STOP THE IMMEDIATE LOSS OF LIFE.</t>
  </si>
  <si>
    <t>2YTTBW61149248</t>
  </si>
  <si>
    <t>THE MEDINA VALLEY POLICE DEPARTMENT IS REQUESTED THIS ITEM TO BE USED  DEPARTMENT BY LAW ENFORCEMENT OFFICERS IN RESPONSE TO CRITICAL INCIDENT RESPONSE INCLUDING ACTIVE SHOOTINGS TO ASSIST IN THE IMMEDIATE PRESERVATION OF LIFE.</t>
  </si>
  <si>
    <t>2YTTBW61421542</t>
  </si>
  <si>
    <t>THE MEDINA VALLEY POLICE ARE REQUESTING THESE ITEMS IN ORDER TO BE PLACED IN LAW ENFORCEMENT VEHICLES FOR RESPONSE TO ACTIVE SHOOTER AND MASS CASUALITY EVENTS. THIS ITEM WOULD BE CRITICAL TO ALLOW LAW ENFORCEMENT TO STOP THE IMMEDIATE LOSS OF LIFE.</t>
  </si>
  <si>
    <t>2YTTBW61421511</t>
  </si>
  <si>
    <t>THE MEDINA VALLEY POLICE DEPARTMENT IS REQUESTING THIS ITEM TO BE PLACED LAW ENFORCEMENT VEHICLES AND USED BY LAW ENFORCEMENT OFFICERS IN RESPONSE TO ACTIVE SHOOTER AND MASS CASUALITY EVENTS. THIS WILL BE USED BY LAW ENFORCEMENT OFFICERS TO STOP THE IMMEDIATE LOSS OF LIFE.</t>
  </si>
  <si>
    <t>2YTTBW61421512</t>
  </si>
  <si>
    <t>2YTTBW61421510</t>
  </si>
  <si>
    <t>2YTTBW61219954</t>
  </si>
  <si>
    <t>THE MEDINA VALLEY POLICE DEPARTMENT IS REQUESTING THESE ITEMS TO UTILIZE IN LAW ENFORCEMENT TRAINING FOR MASS CASUALTY EVENTS INCLUDING ACTIVE SHOOTERS. THIS EQUIPMENT IS CRITICAL TO ALLOW FOR MULTIPLE OFFICERS RESPONSE TRAINING OVER A LARGE AREA WITH MULTIPLE VICTIMS. THIS TRAINING IS FOR LAW ENFORCEMENT TO BETTER RESPOND FOR THE IMMEDIATE PRESERVATION OF LIFE.</t>
  </si>
  <si>
    <t>2YTTBW61219360</t>
  </si>
  <si>
    <t>MANIKIN,RESCUE,SPEC</t>
  </si>
  <si>
    <t>THE MEDINA VALLEY IS REQUESTING THIS ITEM TO BE USED BY DEPARTMENT LAW ENFORCEMENT OFFICERS TO UTILIZE FOR TRAINING, THIS LAW ENFORCEMENT TRAINING WOULD BE ACTIVE SHOOTER, ALERRT AND CRITICAL INCIDENT RESPONSE TO PREVENT THE IMMEDIATE LOSS OF LIFE.</t>
  </si>
  <si>
    <t>2YTTBW61219726</t>
  </si>
  <si>
    <t>THE MEDINA VALLEY POLICE DEPARTMENT IS REQUESTING THIS ITEMS FOR LAW ENFORCEMENT TRAINING. SPECIFICALLY, THESE ITEMS WILL BE USED TO RECREATE MASS CASUALITY INCIDENTS TO ALLOW LAW ENFORCEMENT TO TRAIN FOR THE IMMEDIATE PRESERVATION OF LIFE.</t>
  </si>
  <si>
    <t>2YTTBW61219953</t>
  </si>
  <si>
    <t>2YTTBW61219951</t>
  </si>
  <si>
    <t>2YTTBW61219948</t>
  </si>
  <si>
    <t>2YTTBW61219949</t>
  </si>
  <si>
    <t>2YTTBW61219950</t>
  </si>
  <si>
    <t>2YTTBW61058844</t>
  </si>
  <si>
    <t>MEDINA VALLEY POLICE DEPARTMENT IS REQUESTING THIS ITEM TO SECURE LAW ENFORCEMENT ITEMS. THESE ITEMS INCLUDE CRIMINAL JUSTICE SENSITIVE DOCUMENTS AND EVIDENCE TO BE USED IN CRIMINAL INVESTIGATIONS.</t>
  </si>
  <si>
    <t>2YTTBW61129376</t>
  </si>
  <si>
    <t>FILING CABINET</t>
  </si>
  <si>
    <t>THE MEDINA VALLEY POLICE DEPARTMENT IS REQUESTING THIS ITEM TO SECURE AND STORE CRIMINAL JUSTICE INFORMATION AND  LAW ENFORCEMENT SENSITIVE DOCUMENTS . THESE DOCUMENTS ALLOW DEPARTMENT LAW ENFORCEMENT OFFICERS TO  BETTER RESPOND TO AND PREVENT CRIMINAL ACTIVITY.</t>
  </si>
  <si>
    <t>2YTTBW61412261</t>
  </si>
  <si>
    <t>SHREDDING MACHINE,MULTIMEDIA</t>
  </si>
  <si>
    <t>THE MEDINA VALLEY POLICE ARE REQUESTING THIS ITEM TO BE USED BY LAW ENFORCEMENT TO DESTROY SENSITIVE CJIS AND TLETS INFORMATION. THIS ITEM WILL BE PLACED AND USED AT OUR LAW ENFORCEMENT OFFICE.</t>
  </si>
  <si>
    <t>2YTTBW61421545</t>
  </si>
  <si>
    <t>THE MEDINA VALLEY POLICE DEPARTMENT IS REQUESTING THESE ITEMS TO STORE TRAINING AND INVESTIGATIVE EQUIPMENT BY LAW ENFORCEMENT. THESE ITEMS WOULD BETTER ALLOW OUR OFFICERS TO RESPOND  AND PREVENT CRIMINAL ACTIVITY.</t>
  </si>
  <si>
    <t>2YTTBW61219706</t>
  </si>
  <si>
    <t>THE MEDINA VALLEY POLICE DEPARTMENT IS REQUESTING THIS ITEM TO PROVIDE POWER AND HVAC TO LAW ENFORCEMENT INCIDENT COMMAND TENT BUILDING IN THE EVENT OF CRITICAL INCIDENTS AND MASS CAUSALITY EVENTS. THIS EQUIPMENT WOULD ALSO BE UTILIZED BY DEPARTMENT LAW ENFORCEMENT TO PROVIDE POWER TO OFFSITE REUNIFICATION SITES POST EVENT OF ACTIVE SHOOTER OR CRITICAL INCIDENT EVACUATIONS.</t>
  </si>
  <si>
    <t>2YTTBW61219368</t>
  </si>
  <si>
    <t>THE MEDINA VALLEY POLICE DEPARTMENT IS REQUESTING THESE ITEMS TO BE USED BY DEPARTMENT LAW ENFORCEMENT OFFICERS ON PATROL  FOR THE RESPONSE TO AND PREVENTION CRIME DURING INCLEMENT WEATHER</t>
  </si>
  <si>
    <t>2YTTBW61078894</t>
  </si>
  <si>
    <t>MEDINA VALLEY POLICE DEPARTMENT ARE REQUESTING THESE ITEMS TO BE UTILIZED FOR TRANSPORTATION AND STORAGE OF SIMUNITION FORCE ON FORCE TRAINING EQUIPMENT. THIS EQUIPMENT WILL BE USED BY LAW ENFORCEMENT OFFICERS TO TRAIN FOR RESPONSE IN  THE IMMEDIATE PRESERVATION OF LIFE IN ACTIVE SHOOTER SITUATIONS.</t>
  </si>
  <si>
    <t>2YTTBW61078886</t>
  </si>
  <si>
    <t>MEDINA VALLEY POLICE IS REQUESTING THESE ITEMS FOR LAW ENFORCEMENT OFFICERS TO UTILIZE DURING RIFLE TRAINING. THESE ITEMS WILL BE USED TO PLACE ON THE GROUND FOR SHOOTING IN THE PRONE POSITION.</t>
  </si>
  <si>
    <t>2YTTBW61079141</t>
  </si>
  <si>
    <t>THE MEDINA VALLEY POLICE DEPARTMENT IS REQUESTING THESE ITEMS FOR LAW ENFORCEMENT OFFICER TO USE IN FIREARMS TRAINING. THIS ITEMS WILL BE USED FOR PRONE SHOOTING POSITIONS TO TRAIN FOR ACTIVE SHOOTER RESPONSE AND THE IMMEDIATE PRESERVATION OF LIFE.</t>
  </si>
  <si>
    <t>2YTTBW61078885</t>
  </si>
  <si>
    <t>2YTTBW61078884</t>
  </si>
  <si>
    <t>MEDINA VALLEY POLICE ARE REQUESTING THESE ITEMS TO ALLOW OFFICERS TO ATTACH TACTICAL EQUIPMENT TO THERE PERSONS AND VEHICLES. THIS EQUIPMENT IS USED FOR LAW ENFORCEMENT TRAINING, PATROL, AND CRITICAL INCIDENT RESPONSE. EACH OFFICER WOULD BE ISSUED MULTIPLE OF THESE ITEMS.</t>
  </si>
  <si>
    <t>2YTTBW61219403</t>
  </si>
  <si>
    <t>HYDRATION SYSTEM</t>
  </si>
  <si>
    <t>THE MEDINA VALLEY POLICE DEPARTMENT ARE REQUESTING THESE ITEMS FOR TO ASSIST DEPARTMENT LAW ENFORCEMENT OFFICERS WHILE ON PATROL FOR CRIME SUPPRESSION AND IN TRAINING TO BETTER RESPOND TO ACTIVE SHOOTER AND CRITICAL INCIDENTS.</t>
  </si>
  <si>
    <t>NORMANGEE PD (2YTQNT)</t>
  </si>
  <si>
    <t>2YTQNT60937207</t>
  </si>
  <si>
    <t>THIS TRAILER WILL BE UTILIZED BY THE NORMANGEE POLICE DEPARTMENT FOR LAW ENFORCEMENT PURPOSES TO TRANSPORT LAW ENFORCEMENT EQUIPMENT.</t>
  </si>
  <si>
    <t>2YTQNT60937208</t>
  </si>
  <si>
    <t>THIS WILL BE USED BY THE NORMANGEE POLICE DEPARTMENT FOR LAW ENFORCEMENT PURPOSES FOR IDENTIFYING SUSPECTS AT NIGHT</t>
  </si>
  <si>
    <t>PARKS AND WILDLIFE DEPT (2YTL26)</t>
  </si>
  <si>
    <t>2YTL2661351042</t>
  </si>
  <si>
    <t>TPWD LE DIVISION REQUEST THE CASE TO STORE EQUIPMENT IN TO PROTECT IT FROM THE ELEMENTS AND ANY OTHER APPLICABLE LE USE.</t>
  </si>
  <si>
    <t>2YTL2661351038</t>
  </si>
  <si>
    <t>2YTL2661351037</t>
  </si>
  <si>
    <t>2YTL2661351039</t>
  </si>
  <si>
    <t>2YTL2661351043</t>
  </si>
  <si>
    <t>2YTL2661351044</t>
  </si>
  <si>
    <t>2YTL2661351045</t>
  </si>
  <si>
    <t>2YTL2661351046</t>
  </si>
  <si>
    <t>2YTL2661422046</t>
  </si>
  <si>
    <t>TPWD LAW ENFORCEMENT TRAINING ACADEMY REQUEST THE CONTAINER TO BE UTILIZED TO STORE TRAINING MATERIALS AND RELATED ITEMS ACROSS A LARGE SPREAD OUT COMPLEX, AND ANY OTHER APPLICABLE LE USE.</t>
  </si>
  <si>
    <t>2YTL2661422043</t>
  </si>
  <si>
    <t>2YTL2661219394</t>
  </si>
  <si>
    <t>TPWD LE DIVISION REQUEST THE TENTS TO ISSUE TO LE OFFICERS TO USE DURING RAPID DEPLOYMENTS IMMEDIATELY FOLLOWING NATURAL DISASTERS TO PROTECT EQUIPMENT AND PERSONAL FROM THE ELEMENTS WHILE DEPLOYED AND ANY OTHER APPLICABLE LE USE.</t>
  </si>
  <si>
    <t>2YTL2661280455</t>
  </si>
  <si>
    <t>TPWD LAW ENFORCEMENT REQUEST THE TENTS TO USED AS COMMAND CENTERS DURING TRAINING EVENTS FOR NATURAL DISASTERS AND COORDINATED RESPONSES. AS WELL AS ANY OTHER APPLICABLE LE USE.</t>
  </si>
  <si>
    <t>2YTL2661280805</t>
  </si>
  <si>
    <t>TPWD LE DIVISION REQUEST THE SLEEPING BAGS TO BE ISSUED TO LAW ENFORCEMENT OFFICERS WITHIN THE DEPARTMENT TO USE WHILE DEPLOYED IN EMERGENCY RESPONSE SITUATIONS AS WELL AS ANY OTHER APPLICABLE USE.</t>
  </si>
  <si>
    <t>2YTL2661491800</t>
  </si>
  <si>
    <t>STORAGE BAG</t>
  </si>
  <si>
    <t>TPWD LE DIVISION REQUEST THE STORAGE BAGS TO ISSUE TO WARDEN TO PROTECT VARIOUS EQUIPMENT FROM ENVIRONMENTAL ELEMENTS DURING PATROL ACTIVITIES IN A WIDE RANGE OF ENVIRONMENTS AND ANY OTHER APPLICABLE LE USE.</t>
  </si>
  <si>
    <t>2YTL2661280803</t>
  </si>
  <si>
    <t>2YTL2661078916</t>
  </si>
  <si>
    <t>TPWD LE DIVISION REQUEST THE SLEEPING BAGS TO ISSUE TO ALL LE OFFICERS IN THE DEPARTMENT AS PART OF THEIR DISASTER RESPONSE EQUIPMENT.</t>
  </si>
  <si>
    <t>2YTL2661280806</t>
  </si>
  <si>
    <t>2YTL2661149943</t>
  </si>
  <si>
    <t>TPWD LE DIVISION AUSTING REQUEST THE DISPLAY SIGNS TO BE USED AT LE OFFICES AND FOR ANY OTHER APPLICABLE USE.</t>
  </si>
  <si>
    <t>PRIMERA POLICE DEPT (2YTJXJ)</t>
  </si>
  <si>
    <t>2YTJXJ6089JG05</t>
  </si>
  <si>
    <t>2YTJXJ60937934</t>
  </si>
  <si>
    <t>WILL BE USED BY LAW ENFORCEMENT BY LAW ENFORCEMENT.  IT WILL BE USED TO TRANSPORT TRAFFIC CONTROL DEVICES CONES TO AREAS NEEDED.</t>
  </si>
  <si>
    <t>2YTJXJ61280448</t>
  </si>
  <si>
    <t>WILL BE USED BY LAW ENFORCEMENT BY LAW ENFORCEMENT WILL BE USED DURING POLICE EVENTS TO TRANSPORT SUPPLY</t>
  </si>
  <si>
    <t>2YTJXJ61007931</t>
  </si>
  <si>
    <t>WILL BE USED BY LAW ENFORCEMENT BY LAW ENFORCEMENT.  THE TIRES WILL BE PLACED ON OUR CURRENT LMTV THAT IS USED BY LAW ENFORCEMENT FOR HIGH WATER RESCUE</t>
  </si>
  <si>
    <t>2YTJXJ61703492</t>
  </si>
  <si>
    <t>WILL BE USED BY LAW-ENFORCEMENT FOR LAW-ENFORCEMENT WILL BE UTILIZED TO POWER 16 X 16 GREEN TENTS THAT WE HAVE ALREADY RECEIVED THROUGH THE 1033 PROGRAM FOR POLICE EVENT SUCH AS NATIONAL NIGHT OUT SAY NO TO DRUGS IN MANY OTHER EVENTS THAT THE POLICE DEPARTMENT HAS THROUGHOUT THE YEAR</t>
  </si>
  <si>
    <t>2YTJXJ61492563</t>
  </si>
  <si>
    <t>WILL BE USED BY LAW ENFORCEMENT FOR LAW ENFORCEMENT.  WILL BE USED AS A BACKUP POWER SYSTEM FOR OUR CURRENTLY 1033 AWARDED DRASH TENTS.  WHICH THE POLICE DEPARTMENT WILL USED DURING A MAN MADE OR NATURAL EVENT</t>
  </si>
  <si>
    <t>2YTJXJ61492039</t>
  </si>
  <si>
    <t>WILL BE USED BY LAW ENFORCEMENT BY LAW ENFORCEMENT.  WILL BE USED TO POWER TRAFFIC CONTROL DEVICES WHEN POWER IS LOST.</t>
  </si>
  <si>
    <t>2YTJXJ61562557</t>
  </si>
  <si>
    <t>WILL BE USED BY LAW ENFORCEMENT BY LAW ENFORCEMENT.  WILL BE USED AS A BACKUP POWER SYSTEM FOR OUR CURRENTLY 1033 AWARDED DRASH TENTS.  WHICH THE POLICE DEPARTMENT WILL USED DURING A MAN MADE OR NATURAL EVENT</t>
  </si>
  <si>
    <t>2YTJXJ61562556</t>
  </si>
  <si>
    <t>2YTJXJ61562551</t>
  </si>
  <si>
    <t>2YTJXJ61492553</t>
  </si>
  <si>
    <t>LIGHT SET,MARKER,EM</t>
  </si>
  <si>
    <t>WILL BE USED BY LAW ENFORCEMENT BY LAW ENFORCEMENT TO SETUP LANDING ZONES FOR MEDICAL EVACS.  OR TO ASSIST IN TRAFFIC CONTROL DURING AN ACCIDENT INVESTIGATION</t>
  </si>
  <si>
    <t>2YTJXJ61078363</t>
  </si>
  <si>
    <t>WILL BE USED BY LAW ENFORCEMENT FOR LAW ENFORCEMENT.  WILL BE RECERTIFIED AND PLACED IN POLICE UNIT TO BE USED WHEN NEEDED</t>
  </si>
  <si>
    <t>2YTJXJ61703501</t>
  </si>
  <si>
    <t>WILL BE USED FOR LAW-ENFORCEMENT BY LAW-ENFORCEMENT WILL BE PLACED IN PATROL UNITS AND UTILIZED IN CASES OF EVENTS SUCH AS AUTO ACCIDENTS</t>
  </si>
  <si>
    <t>2YTJXJ61703500</t>
  </si>
  <si>
    <t>WILL BE USED FOR LAW-ENFORCEMENT BY LAW-ENFORCEMENT WILL BE PLACED IN PETROLEUM UNITS AND USED AS FIRST AID KITS IN THE EVENT OF AUTO ACCIDENTS</t>
  </si>
  <si>
    <t>2YTJXJ61703498</t>
  </si>
  <si>
    <t>WILL BE USED FOR LAW-ENFORCEMENT BY LAW-ENFORCEMENT WILL BE PLACED IN PATROL UNITS AS MEDICAL KITS IN CASE NEEDED DURING EMERGENCIES SUCH AS ACCIDENTS</t>
  </si>
  <si>
    <t>2YTJXJ61633031</t>
  </si>
  <si>
    <t>COMPUTER,DIGITAL</t>
  </si>
  <si>
    <t>WILL BE USED BY LAW ENFORCEMENT BY LAW ENFORCEMENT.  WILL BE USED IN THE DEPARTMENTS COMMUNICATION CENTER FOR RECORDS MANAGEMENT</t>
  </si>
  <si>
    <t>2YTJXJ61492561</t>
  </si>
  <si>
    <t>DSFLATPAN</t>
  </si>
  <si>
    <t>FLAT PANEL MONITOR</t>
  </si>
  <si>
    <t>WILL BE USED BY LAW ENFORCEMENT FOR LAW ENFORCEMENT FOR DISPLAY OF ON GOING INCIDENTS AND SETUP IN OUR ALREADY AWARDED 1033 DRASH SYSTEM</t>
  </si>
  <si>
    <t>2YTJXJ61492555</t>
  </si>
  <si>
    <t>WILL BE USED BY LAW ENFORCEMENT BY LAW ENFORCEMENT TO TO SUPPORT ALREADY AWARDED 1033 DRASH SYSTEM. WILL BE USED AS COMPUTERS FOR A MOBILE COMMAND OR SELTER SYSTEM.</t>
  </si>
  <si>
    <t>2YTJXJ61492554</t>
  </si>
  <si>
    <t>WILL BE USED BY LAW ENFORCEMENT BY LAW ENFORCEMENT TO STORE EQUIPMENT IN TO SUPPORT ALREADY AWARDED 1033 DRASH SYSTEM</t>
  </si>
  <si>
    <t>2YTJXJ61492552</t>
  </si>
  <si>
    <t>2YTJXJ61421311</t>
  </si>
  <si>
    <t>WILL BE USED BY LAW ENFORCEMENT BY LAW ENFORCEMENT.  WILL BE USED AS A EMERGENCY COMMAND CENTER DURING A NATURAL DISASTER.  OR FOR PUBLIC POLICE EVENTS</t>
  </si>
  <si>
    <t>2YTJXJ61421310</t>
  </si>
  <si>
    <t>2YTJXJ61421308</t>
  </si>
  <si>
    <t>2YTJXJ61492042</t>
  </si>
  <si>
    <t>WILL BE USED BY LAW ENFORCEMENT FOR LAW ENFORCEMENT. WILL BE USED FOR POLICE FUNCTIONS LIKE NATIONAL NIGHT OUT.</t>
  </si>
  <si>
    <t>RANSOM CANYON PD (2YTTCM)</t>
  </si>
  <si>
    <t>2YTTCM61219604</t>
  </si>
  <si>
    <t>THIS GENERATOR WILL BE USED FOR LAW ENFORCEMENT PURPOSES BY THE RANSOM CANYON POLICE DEPARTMENT. THIS GENERATOR WILL BE USED TO POWER FUEL PUMPS AT THE CITY PUMP STATION DURING POWER OUTAGES TO ENSURE THE RANSOM CANYON POLICE DEPARTMENT DOES NOT RUN OUT OF FUEL DURING NATURAL OR MANMADE DISASTERS.</t>
  </si>
  <si>
    <t>2YTTCM61149091</t>
  </si>
  <si>
    <t>THIS WILL BE USED FOR LAW ENFORCEMENT PURPOSES BY THE RANSOM CANYON POLICE DEPARTMENT TO POWER THE MAIN DEPARTMENT BUILDING DURING POWER OUTAGES AND DISASTERS. THIS WILL BE UTILIZED BY OFFICERS OF THE RANSOM CANYON POLICE DEPARTMENT.</t>
  </si>
  <si>
    <t>2YTTCM61219607</t>
  </si>
  <si>
    <t>THESE GENERATORS WILL BE USED BY THE RANSOM CANYON POLICE DEPARTMENT. THESE WILL BE USED TO POWER MISCELLANEOUS TOOLS AND AIR COMPRESSORS DURING POWER OUTAGES TO ENSURE RANSOM CANYON POLICE DEPARTMENT'S PATROL VEHICLES REMAIN OPERATIONAL. TWO WILL BE USED AS PRIMARY GENERATORS AND ONE AS A BACK UP.</t>
  </si>
  <si>
    <t>SAN MARCOS POLICE DEPT (2YTKPP)</t>
  </si>
  <si>
    <t>2YTKPP61563112</t>
  </si>
  <si>
    <t>TO BE STORED AT THE SAN MARCOS POLICE DEPARTMENT AND UTILIZED BY THE TRAINING DIVISION ARMORERS FOR THE MAINTENANCE AND REPAIR OF DUTY ISSUED FIREARMS</t>
  </si>
  <si>
    <t>SMITHVILLE POLICE DEPARTMENT (2YTK5T)</t>
  </si>
  <si>
    <t>2YTK5T61350503</t>
  </si>
  <si>
    <t>THIS ROBOT WILL USED BY LAW ENFORCEMENT PERSONNEL OF THE SMITHVILLE POLICE DEPARTMENT TO BETTER SERVE THE COMMUNITY IN HIGH-RISK OPERATIONS TO INCLUDE BARRICADED SUBJECTS, HAZMAT, NATURAL DISASTERS, AND ANY OTHER SITUATIONS IN WHICH AN UNMANNED SYSTEM WILL ENHANCE OFFICER AND PUBLIC SAFETY.</t>
  </si>
  <si>
    <t>SUTTON CSO (2YTLM6)</t>
  </si>
  <si>
    <t>2YTLM661149257</t>
  </si>
  <si>
    <t>THIS UNIT WILL BE USED FOR OFF GRID OPERATIONS FOR THE SHERIFF'S OFFICE MOBILE COMMAND UNIT.</t>
  </si>
  <si>
    <t>2YTLM661149255</t>
  </si>
  <si>
    <t>THIS ITEM WILL BE USED TO MAINTAIN SHERIFF'S OFFICE EQUIPMENT.</t>
  </si>
  <si>
    <t>TENAHA PD (2YTR80)</t>
  </si>
  <si>
    <t>2YTR8061553281</t>
  </si>
  <si>
    <t>TENAHA PD WILL USE THIS ITEM AS A MOBLIE COMMAND POST DURING EMERGENCY SITUATIONS AND CALLS OF SERVICE.</t>
  </si>
  <si>
    <t>2YTR8061563283</t>
  </si>
  <si>
    <t>SEAT,VEHICULAR</t>
  </si>
  <si>
    <t>TENAHA PD WILLUSE THIS ITEM TO REPLACE OLD WORN OUT SEAT CUSHING ON PATROL UNITS.</t>
  </si>
  <si>
    <t>2YTR8061633287</t>
  </si>
  <si>
    <t xml:space="preserve">TENAHA PD WILL USE THIS ITEM DURING EMERGENCY MATTERS BY REMOVING DEBRI AND OTHER HARMFUL MATERIAL DURING A NATURAL OR MAN MADE DISATER. 
</t>
  </si>
  <si>
    <t>2YTR8061078800</t>
  </si>
  <si>
    <t>TENAHA PD WILL USE THIS ITEM TO SECURE HEAVY EVIDENCE AND TO ASSIST WITH VEHICLE MAINTENANCE OF PATROL UNITS.</t>
  </si>
  <si>
    <t>TROUP POLICE DEPT (2YTLY3)</t>
  </si>
  <si>
    <t>2YTLY361421818</t>
  </si>
  <si>
    <t>MAT,FLOOR</t>
  </si>
  <si>
    <t>TROUP PD WOULD LIKE TO ACQUIRE THIS ITEM FOR THE USE IN THE TRAINING FACILITY GYM.</t>
  </si>
  <si>
    <t>2YTLY361149256</t>
  </si>
  <si>
    <t>DSDRYER00</t>
  </si>
  <si>
    <t>CLOTHES DRYER, VENTED</t>
  </si>
  <si>
    <t>TROUP PD WOULD LIKE TO ACQUIRE THIS ITEM FOR THE USE OF WASHING AND DRY OF OFFICER'S PATROL UNIFORMS AND TRAINING CLOTHES.</t>
  </si>
  <si>
    <t>2YTLY361280956</t>
  </si>
  <si>
    <t>TROUP PD WOULD LIKE TO ACQUIRE THIS ITEM TO SUPPORT THE UPKEEP AND MAINTENANCE OF DEPARTMENT PROPERTY, INCLUDING THE POLICE DEPARTMENT GROUNDS, FIRING RANGE, AND TRAINING FACILITY. PROPER MAINTENANCE OF THESE AREAS IS ESSENTIAL TO ENSURE A SAFE, FUNCTIONAL, AND PROFESSIONAL ENVIRONMENT FOR OFFICERS, TRAINING ACTIVITIES, AND PUBLIC INTERACTIONS.</t>
  </si>
  <si>
    <t>2YTLY361280955</t>
  </si>
  <si>
    <t>2YTLY361633591</t>
  </si>
  <si>
    <t>TROUP PD WOULD LIKE TO ACQUIRE THIS ITEM FOR THE USE MOVING AND TRANSPORTING HEAVY EQUIPMENT OBTAINED THROUGH LESO PROGRAM, SEIZED ITEMS, AND TRAINING EQUIPMENT. PREVIOUS TRACTORS OBTAINED THROUGH LESO HAVE BEEN INOPERABLE, DUE TO MISSING PARTS, LOCKED ENGINES, ETC. PREVIOUS ITEMS HAVE BEEN DISPOSED OF.</t>
  </si>
  <si>
    <t>2YTLY361492092</t>
  </si>
  <si>
    <t>TROUP PD WOULD LIKE TO ACQUIRE THIS ITEM FOR THE PURPOSE OF MAINTAINING THE ROAD, GUN RANGE BERM AND DITCHES ON THE PROPERTY OF THE TRAINING FACILITY AND GUN RANGE. THE ITEM WILL ASSIST IN REMOVING DEBRIS FROM DITCHES, ADDING ASPHALT TO THE ROAD, AND ADDING DIRT TO TOP OF BERM, TO HELP KEEP OUR RANGE IN STATE QUALIFICATIONS.</t>
  </si>
  <si>
    <t>2YTLY360796871</t>
  </si>
  <si>
    <t>DSMSCREPE</t>
  </si>
  <si>
    <t>MISC MAINTENANCE AND REPAIR SHOP</t>
  </si>
  <si>
    <t>TROUP PD IS REQUESTING THE ACQUISITION OF A SCISSOR LIFT TO SAFELY ACCESS ELEVATED AREAS WITHIN THE TRAINING FACILITY FOR BUILDING MAINTENANCE AND REPAIRS, EFFICIENT STORAGE OF EQUIPMENT, AND TO PROVIDE A STABLE ELEVATED PLATFORM FOR TRAINING EXERCISES ON THE SHOOTING RANGE.</t>
  </si>
  <si>
    <t>2YTLY361350915</t>
  </si>
  <si>
    <t>DSGRINDE1</t>
  </si>
  <si>
    <t>GRINDER, POWER</t>
  </si>
  <si>
    <t>TROUP PD WOULD LIKE TO ACQUIRE THIS ITEM FOR THE USE OF GROUNDS MAINTENANCE, AND FIXING POLICE EQUIPMENT.</t>
  </si>
  <si>
    <t>2YTLY361350916</t>
  </si>
  <si>
    <t>TROUP PD WOULD LIKE TO ACQUIRE THIS ITEM FOR THE USE OF MAINTENANCE ON GROUNDS EQUIPMENT, AND POLICE EQUIPMENT.</t>
  </si>
  <si>
    <t>2YTLY361421823</t>
  </si>
  <si>
    <t>TROUP PD WOULD LIKE TO ACQUIRE THIS ITEM FOR THE USE OF STORING OUR VEHICLE TOOLS AND EQUIPMENT AT THE POLICE DEPARTMENT AND THE TRAINING FACILITY.</t>
  </si>
  <si>
    <t>2YTLY361421822</t>
  </si>
  <si>
    <t>2YTLY361350914</t>
  </si>
  <si>
    <t>TROUP PD WOULD LIKE TO ACQUIRE THESE ITEMS FOR THE USE OF STORING AND SORTING TOOLS FOR THE POLICE DEPARTMENT'S MAINTENANCE.</t>
  </si>
  <si>
    <t>2YTLY361421824</t>
  </si>
  <si>
    <t>TROUP POLICE DEPARTMENT IS SEEKING TO ACQUIRE THESE ITEMS TO ENSURE RELIABLE BACKUP POWER DURING HAZARDOUS WEATHER EVENTS AND EMERGENCY SITUATIONS THAT MAY DISRUPT NORMAL OPERATIONS. THESE RESOURCES WILL ALSO SUPPORT RURAL COMMAND POSTS ESTABLISHED DURING SEARCH AND RESCUE OPERATIONS, WHERE DEPENDABLE POWER IS CRITICAL FOR COMMUNICATIONS, LIGHTING, AND OPERATIONAL COORDINATION. IN THE PAST, GENERATORS RECEIVED THROUGH THE LESO PROGRAM WERE FOUND TO BE UNUSABLE DUE TO MISSING COMPONENTS</t>
  </si>
  <si>
    <t>2YTLY360866869</t>
  </si>
  <si>
    <t>TROUP PD WANTS TO ACQUIRE THESE ITEMS TO ENSURE RELIABLE BACKUP POWER DURING HAZARDOUS WEATHER AND EMERGENCY SITUATIONS THAT MAY DISRUPT NORMAL OPERATIONS. THESE RESOURCES WILL ALSO SUPPORT RURAL COMMAND POSTS ESTABLISHED DURING SEARCH AND RESCUE OPERATIONS, WHERE DEPENDABLE POWER IS CRITICAL FOR COMMUNICATIONS, LIGHTING, AND OPERATIONAL COORDINATION. PAST RECEIVED GENERATORS HAVE HAD UNFORESEEN MECHANICAL PROBLEMS, LOCKED MOTORS, OR MISSING PARTS, AND WERE DISPOSED OF.</t>
  </si>
  <si>
    <t>2YTLY361491819</t>
  </si>
  <si>
    <t>2YTLY361633424</t>
  </si>
  <si>
    <t>DSCHARGE1</t>
  </si>
  <si>
    <t>BATTERY CHARGER</t>
  </si>
  <si>
    <t>TROUP PD WOULD LIKE TO ACQUIRE THIS ITEM FOR THE USE OF CHARGING THE POLICE DEPT FLEET VEHICLES, ATVS, AND HEAVY EQUIPMENT OBTAINED THROUGH THE LESO PROGRAM. THIS WOULD GREAT REDUCE THE NEED FOR POTENTIALLY FAILING BATTERIES ON OUR EQUIPMENT</t>
  </si>
  <si>
    <t>2YTLY361280920</t>
  </si>
  <si>
    <t>TROUP PD REQUESTS ACQUIRE THIS IS ITEM TO IMPROVE OFFICER FITNESS AND READINESS. LAW ENFORCEMENT REQUIRES STRENGTH, ENDURANCE, AND AGILITY, AND ACCESS TO ON-SITE EQUIPMENT WILL HELP OFFICERS STAY PHYSICALLY PREPARED FOR DUTY WHILE REDUCING THE RISK OF INJURY. REGULAR EXERCISE ALSO SUPPORTS MENTAL HEALTH AND STRESS MANAGEMENT. PROVIDING THESE RESOURCES IS A PRACTICAL INVESTMENT IN OFFICER SAFETY, PERFORMANCE, AND OVERALL EFFECTIVENESS IN SERVING THE COMMUNITY.</t>
  </si>
  <si>
    <t>2YTLY361280922</t>
  </si>
  <si>
    <t>2YTLY361350919</t>
  </si>
  <si>
    <t>WEST POLICE DEPT (2YTPJJ)</t>
  </si>
  <si>
    <t>2YTPJJ61219332</t>
  </si>
  <si>
    <t>THE WEST POLICE DEPARTMENT WILL UTILIZE THIS TRUCK FOR LAW ENFORCEMENT PURPOSES ONLY. WE ARE CURRENTLY WITHOUT A VEHICLE CAPABLE OF HAULING HEAVY EQUIPMENT OR TRAILERS. THIS VEHICLE WOULD MEET THAT NEED ALLOWING US TO EFFICIENTLY TRANSPORT EQUIPMENT OR PROPERTY AS NEEDED.</t>
  </si>
  <si>
    <t>2YTPJJ61350686</t>
  </si>
  <si>
    <t>FOR LAW ENFORCEMENT USE ONLY. THIS COMMAND TRAILER CAN BE UTILIZED FOR SETTING UP A MOBILE COMMAND CENTER DURING DISASTERS OR EMERGENCIES WITHIN THE REGION SURROUNDING THE CITY OF WEST. WEST POLICE DEPARTMENT CAN MORE EFFICIENTLY FULFILL NIMS AND ICS PROTOCOLS WHEN DEPLOYING THIS INCIDENT COMMAND TRAILER.</t>
  </si>
  <si>
    <t>2YTPJJ61280722</t>
  </si>
  <si>
    <t>FOR LAW ENFORCEMENT USE ONLY. THE WEST POLICE DEPARTMENT HAS A SKYTRAK OBTAINED THROUGH LESO AND HAS UTILIZED THE UNIT NUMEROUS TIMES. THE ATTACHMENT REQUESTED HEREIN WOULD ENHANCE THE OPERATION OF THE DEPARTMENT SKYTRAK BY ALLOWING OFFICERS TO MOVE LARGER ITEMS AND CONTAINERS DUE TO THE SIZE AND LENGTH OF THE FORKS THIS ITEM PROVIDES.</t>
  </si>
  <si>
    <t>2YTPJJ61078861</t>
  </si>
  <si>
    <t>THESE COOLERS WILL BE UTILIZED BY THE WEST POLICE DEPARTMENT TO ENHANCE THE ABILITIES AND ACTIONS OF LAW ENFORCEMENT AND EMERGENCY FIRST RESPONDERS DURING EXTREME HEAT AND HUMIDITY CONDITIONS. THESE COOLERS CAN BE POSITIONED IN A MANNER TO REDUCE HEAT RELATED STRESS FOR PERSONNEL NEEDING TO FUNCTION IN HOT CLIMATE OR POOR VENTILATED SETTINGS.</t>
  </si>
  <si>
    <t>2YTPJJ61078863</t>
  </si>
  <si>
    <t>2YTPJJ61078864</t>
  </si>
  <si>
    <t>2YTPJJ61219638</t>
  </si>
  <si>
    <t>FOR LAW ENFORCEMENT USE ONLY. THIS STORAGE CONTAINER WILL BE UTILIZED BY THE WEST POLICE DEPARTMENT TO SAFELY STORE AND PROTECT POLICE DEPARTMENT PROPERTY, TRAINING EQUIPMENT AND EVIDENCE.</t>
  </si>
  <si>
    <t>2YTPJJ61341653</t>
  </si>
  <si>
    <t>FOR LAW ENFORCEMENT USE ONLY. THIS COMPUTER WILL BE UTILIZED FOR RECORDS MANAGEMENT AND ADDITIONAL LAW ENFORCEMENT DATA MANAGEMENT.</t>
  </si>
  <si>
    <t>UT</t>
  </si>
  <si>
    <t>SUMMIT CSO (2YTLK3)</t>
  </si>
  <si>
    <t>2YTLK361210480</t>
  </si>
  <si>
    <t>MOBILE BATTLE COMMAND</t>
  </si>
  <si>
    <t>THE SUMMIT COUNTY SHERIFF'S OFFICE WILL USE THE TRAILER AS A MOBILE COMMAND. THE SCSO HAS VAST TRACTS OF PUBLIC LANDS WHICH GENERATES OVER 100 SEARCH AND RESCUE CALLS PER YEAR. SUMMIT COUNTY WILL HOST MULTIPLE OLYMPIC VENUES IN 2034. THE TRAILER WILL FUNCTION AS A MOBILE COMMAND FOR SEARCH AND RESCUE MISSIONS, COMPLEX CRIME SCENE RESPONSE, OLYMPIC COMMANDS, AND OTHER SITUATIONS REQUIRING ADMINISTRATIVE SUPPORT.</t>
  </si>
  <si>
    <t>VA</t>
  </si>
  <si>
    <t>CARROLL COUNTY SHERIFF DEPT (2YTB1G)</t>
  </si>
  <si>
    <t>2YTB1G61562814</t>
  </si>
  <si>
    <t>SNIPER RIFLE ACTION BARREL</t>
  </si>
  <si>
    <t>REQUESTING THESE ITEMS TO OUTFIT OUR SWAT TEAM WITH RIFLES FOR SNIPERS. I HAVE SPOKEN WITH DLA ANNISTON AND I UNDERSTAND THAT THESE WILL NEED ADDITIONAL PARTS TO PUT THEM INTO SERVICE. WE HAVE ARMORERS HERE TO DO THAT. ITEMS WILL BE USED BY SWORN MEMBERS OF THE CARROLL CO SHERIFF'S OFFICE FOR DUTY USE AND TRAINING ONLY.</t>
  </si>
  <si>
    <t>2YTB1G61350921</t>
  </si>
  <si>
    <t>REQUESTING FOUR OF THESE ITEMS TO UPGRADE OUR SNIPER TEAM RIFLES. OUR TEAM IS CURRENTLY USING LOWER GRADE HUNTING SCOPES ON THEIR RIFLES AND THIS WOULD GREATLY UPGRADE THEIR CAPABILITIES AND THE SAFETY OF THE TEAM. ITEMS WOULD BE ISSUED TO OUR SNIPERS AND WOULD ONLY BE USED BY THOSE SWORN OFFICERS FOR TRAINING AND IN THE PERFORMANCE OF THEIR DUTIES.</t>
  </si>
  <si>
    <t>2YTB1G61492151</t>
  </si>
  <si>
    <t>REQUESTING THESE CAMERAS TO BE USED BY OUR INVESTIGATIONS DIVISION FOR INTERVIEWS AND CRIME SCENE WALK THROUGHS. CAMERAS WOULD BE ISSUED TO AND USED ONLY BY SWORN OFFICERS OF THE CARROLL COUNTY SHERIFF'S OFFICE FOR ON DUTY PURPOSES AND FOR TRAINING.</t>
  </si>
  <si>
    <t>2YTB1G61492224</t>
  </si>
  <si>
    <t>REQUESTING THESE ITEMS TO BE ISSUED TO AND USED ONLY BY SWORN OFFICERS OF THE PATROL AND INVESTIGATIONS DIVISIONS OF THE CARROLL COUNTY SHERIFF'S OFFICE TO STORE CASE FILES FOR CURRENT AND COMPLETED INVESTIGATIONS.</t>
  </si>
  <si>
    <t>CHASE CITY PD (2YTPML)</t>
  </si>
  <si>
    <t>2YTPML61560464</t>
  </si>
  <si>
    <t>WE ARE A RURAL LAW ENFORCEMENT AGENCY AND WOULD ADD THESE ITEMS TO OUR PATROL RIFLES FOR USE ON LAW ENFORCEMENT ACTIVITIES AS NEEDED IN THE EVENT OF AN EMERGENCY SITUATION TO AID THE OFFICERS. THESE ITEMS WOULD ONLY BE UTILIZED BY SWORN OFFICERS WITHIN THIS DEPARTMENT.</t>
  </si>
  <si>
    <t>2YTPML61633316</t>
  </si>
  <si>
    <t>ISU-90 WITH 699 KIT</t>
  </si>
  <si>
    <t>WE ARE A SMALL RURAL LAW ENFORCEMENT AGENCY AND WOULD UTILIZE THIS ITEM TO STORE RANGE EQUIPMENT AND OTHER ITEMS AS NEEDED BY THIS DEPARTMENT. THIS ITEM WOULD ONLY BE UTILIZED BY MEMBERS OF OUR AGENCY.</t>
  </si>
  <si>
    <t>DICKENSON COUNTY SHERIFFS OFFICE (2YTDCB)</t>
  </si>
  <si>
    <t>2YTDCB61492753</t>
  </si>
  <si>
    <t>DICKENSON COUNTY SHERIFF'S OFFICE IS A FULL-SERVICE LAW ENFORCEMENT AGENCY.  THIS EQUIPMENT WILL BE USED TO SETUP AND ENHANCE RADIO COMMUNICATIONS IN DISASTER AREAS.  IN ADDITION, IT WILL PROVIDE BACKUP COMMUNICATIONS IN THE EVENT OF A PROLONGED TOWER SITE OUTAGE.</t>
  </si>
  <si>
    <t>2YTDCB61492752</t>
  </si>
  <si>
    <t>2YTDCB61492137</t>
  </si>
  <si>
    <t>DICKENSON COUNTY SHERIFF'S OFFICE IS A FULL-SERVICE LAW ENFORCEMENT AGENCY.  THIS EQUIPMENT WILL BE USED FOR MOVING SUPPLIES DURING DISASTER RECOVERY AND RESPONSE AS WELL AS MOVING LARGE ITEMS OF EVIDENCE.</t>
  </si>
  <si>
    <t>2YTDCB61562868</t>
  </si>
  <si>
    <t>DICKENSON COUNTY SHERIFF'S OFFICE IS A FULL-SERVICE LAW ENFORCEMENT AGENCY.  THIS EQUIPMENT WILL BE USED TO TO KEEP AGENCY VEHICLES, EQUIPMENT, GROUNDS, AND STRUCTURES CLEAN.</t>
  </si>
  <si>
    <t>FRANKLIN POLICE DEPT (2YTEBB)</t>
  </si>
  <si>
    <t>2YTEBB61005887</t>
  </si>
  <si>
    <t>THE CITY OF FRANKLIN COVERS 8.5 SQUARE MILES WITH A POPULATION OF 8,300 CITIZENS. THE FRANKLIN POLICE DEPARTMENT HAS 29 SWORN MEMBERS AND THE PRIMARY LAW ENFORCEMENT AGENCY IN THE CITY. THE REFLEX SIGHTS WILL BE ISSUED TO ALL MEMBERS FOR THEIR PATROL RIFLES AND CARRIED IN THEIR PATROL VEHICLES.</t>
  </si>
  <si>
    <t>2YTEBB61492689</t>
  </si>
  <si>
    <t>BOAT,PATROL,FIBERGL</t>
  </si>
  <si>
    <t>THE CITY OF FRANKLIN POLICE DEPARTMENT IS A CERTIFIED LAW ENFORCEMENT AGENCY EMPLOYING 29 SWORN MEMBERS AND COVERING 9 SQUARE MILES WITH A POPULATION OF 8,300 CITIZENS. THE BOAT WILL BE USED TO PATROL THE WATERWAYS IN THE CITY OF FRANKLIN AND PERFORM SEARCH AND RESCUE OPERATIONS. THE CITY HAS A PUBLIC BOAT RAMP AND KAYAK LAUNCH.</t>
  </si>
  <si>
    <t>2YTEBB61149163</t>
  </si>
  <si>
    <t>UTILITY VEHICLE,OFF ROAD</t>
  </si>
  <si>
    <t>THE CITY OF FRANKLIN POLICE DEPARTMENT IS A CERTIFIED LAW ENFORCEMENT AGENCY EMPLOYING 29 SWORN MEMBERS AND COVERING 9 SQUARE MILES WITH A POPULATION OF 8,300 CITIZENS. THE OFF ROAD UTILITY VEHICLE WILL BE USED AS A SWAT SUPPORT VEHICLE, IT WILL CARRY PERSONNEL AND GEAR NEEDED TO COMPLETE THE MISSION.</t>
  </si>
  <si>
    <t>2YTEBB60654796</t>
  </si>
  <si>
    <t>THE CITY OF FRANKLIN COVERS 8.5 SQUARE MILES WITH A POPULATION OF 8,300 CITIZENS. THE FRANKLIN POLICE DEPARTMENT HAS 29 SWORN MEMBERS AND THE PRIMARY LAW ENFORCEMENT AGENCY IN THE CITY. THE COMMERCIAL VAN WILL BE USED BY THE SWAT TEAM AS THE VEHICLE THE TEAM WILL DEPLOY FROM. CURRENTLY THE POLICE DEPARTMENT DOES NOT HAVE A VEHICLE THAT CAN HOLD ALL THE TEAM MEMBERS AND THEIR EQUIPMENT.</t>
  </si>
  <si>
    <t>2YTEBB60866821</t>
  </si>
  <si>
    <t>THE CITY OF FRANKLIN COVERS 8.5 SQUARE MILES WITH A POPULATION OF 8,300 CITIZENS. THE FRANKLIN POLICE DEPARTMENT HAS 29 SWORN MEMBERS AND THE PRIMARY LAW ENFORCEMENT AGENCY IN THE CITY. THE LENS WILL BE ATTACHED TO THE CAMERAS WE WERE AWARDED, THE CAMERAS WILL BE GIVEN TO THE CRIME SCENE TECHNICIANS AND THE DETECTIVES TO PHOTOGRAPH CRIME SCENES.</t>
  </si>
  <si>
    <t>2YTEBB61422163</t>
  </si>
  <si>
    <t>THE CITY OF FRANKLIN POLICE DEPARTMENT IS A CERTIFIED LAW ENFORCEMENT AGENCY EMPLOYING 29 SWORN MEMBERS AND COVERING 9 SQUARE MILES WITH A POPULATION OF 8,300 CITIZENS. THE CAMERA LENS WILL BE ATTACHED TO THE CAMERAS PREVIOUSLY OBTAINED THROUGH THE PROGRAM AND GIVEN TO THE CRIME SCENE TECHNICIANS.</t>
  </si>
  <si>
    <t>2YTEBB61422161</t>
  </si>
  <si>
    <t>2YTEBB61422160</t>
  </si>
  <si>
    <t>2YTEBB61492013</t>
  </si>
  <si>
    <t>THE CITY OF FRANKLIN POLICE DEPARTMENT IS A CERTIFIED LAW ENFORCEMENT AGENCY EMPLOYING 29 SWORN MEMBERS AND COVERING 9 SQUARE MILES WITH A POPULATION OF 8,300 CITIZENS. THE FIELD PACKS WILL BE GIVEN TO THE SWAT TEAM TO STORE THEIR GEAR AND OTHER ITEMS NEEDED FOR DEPLOYMENTS.</t>
  </si>
  <si>
    <t>2YTEBB61492008</t>
  </si>
  <si>
    <t>THE CITY OF FRANKLIN POLICE DEPARTMENT IS A CERTIFIED LAW ENFORCEMENT AGENCY EMPLOYING 29 SWORN MEMBERS AND COVERING 9 SQUARE MILES WITH A POPULATION OF 8,300 CITIZENS. THE BAGS WILL BE GIVEN TO THE SWAT TEAM TO CARRY ALL OF THEIR ARMOR AND GEAR REQUIRED TO DEPLOY.</t>
  </si>
  <si>
    <t>RUSSELL COUNTY SHERIFF OFFICE (2YTKH1)</t>
  </si>
  <si>
    <t>2YTKH16132JG01</t>
  </si>
  <si>
    <t>SMYTH COUNTY SHERIFFS OFFICE (2YTK5Z)</t>
  </si>
  <si>
    <t>2YTK5Z61280319</t>
  </si>
  <si>
    <t>THE ABOVE EQUIPMENT WILL BE USED FOR A LAW ENFORCEMENT AGENCY FOR LAW ENFORCEMENT PURPOSES. THESE PURPOSES INCLUDE LITTER CONTROL PROGRAM, MOVING UTV VEHICLES TO PUBLIC EVENTS, AND ANY OTHER EVENT WITHIN OUR JURISDICTION THAT WOULD REQUIRE THE MOVING OF EVIDENCE OR OTHER OBJECTS THAT A NORMAL PATROL VEHICLE IS CAPABLE OF MOVING.</t>
  </si>
  <si>
    <t>STATE POLICE (2YTMXW)</t>
  </si>
  <si>
    <t>2YTMXW61351582</t>
  </si>
  <si>
    <t>THE VIRGINIA STATE POLICE REQUESTS THIS FORKLIFT TO BE UTILIZED BY SWORN PERSONNEL FOR MOVING LARGE BULK LAW ENFORCEMENT EQUIPMENT AND SUPPLIES.</t>
  </si>
  <si>
    <t>2YTMXW61219518</t>
  </si>
  <si>
    <t>DEHUMIDIFIER</t>
  </si>
  <si>
    <t>THE VIRGINIA STATE POLICE REQUESTS THESE DEHUMIDIFIERS TO BE UTILIZED BY SWORN PERSONNEL FOR MAINTAINING THE MOISTURE LEVEL IN UNOCCUPIED STORAGE BUILDINGS.</t>
  </si>
  <si>
    <t>2YTMXW61149529</t>
  </si>
  <si>
    <t>HEATER,SPACE,ELECTR</t>
  </si>
  <si>
    <t>THE VIRGINIA STATE POLICE REQUESTS THESE HEATERS TO BE UTILIZED BY SWORN PERSONNEL FOR HEATING REMOTE TRAINING BUILDINGS.</t>
  </si>
  <si>
    <t>2YTMXW61149528</t>
  </si>
  <si>
    <t>HEATER</t>
  </si>
  <si>
    <t>THE VIRGINIA STATE POLICE REQUESTS THESE HEATERS TO BE UTILIZED BY SWORN PERSONNEL TO WARM REMOTE TRAINING BUILDINGS.</t>
  </si>
  <si>
    <t>2YTMXW61210487</t>
  </si>
  <si>
    <t>VIRGINIA STATE POLICE REQUESTS THESE TRENCHING TOOLS TO BE UTILIZED BY SWORN PERSONNEL FOR EMERGENCY SITUATIONS.</t>
  </si>
  <si>
    <t>2YTMXW61210481</t>
  </si>
  <si>
    <t>VIRGINIA STATE POLICE REQUESTS THESE TOOL KIT TO BE UTILIZED BY SWORN PERSONNEL FOR MAINTENANCE AND REPAIR OF DEPARTMENT VEHICLES AND EQUIPMENT.</t>
  </si>
  <si>
    <t>2YTMXW61210486</t>
  </si>
  <si>
    <t>2YTMXW61280482</t>
  </si>
  <si>
    <t>2YTMXW61008606</t>
  </si>
  <si>
    <t>TOOL KIT,AIRCRAFT M</t>
  </si>
  <si>
    <t>THE VIRGINIA STATE POLICE REQUESTS THIS TOOL KIT TO BE UTILIZED BY SWORN PERSONNEL IN THE DEPARTMENT'S AVIATION DIVISION FOR MAINTENANCE AND REPAIR OF OUR AIRCRAFT FLEET.</t>
  </si>
  <si>
    <t>2YTMXW61280478</t>
  </si>
  <si>
    <t>2YTMXW61219721</t>
  </si>
  <si>
    <t>THE VIRGINIA STATE POLICE REQUESTS THESE TOOL KITS TO BE UTILIZED BY SWORN PERSONNEL FOR VEHICLE MAINTENANCE AND REPAIR.</t>
  </si>
  <si>
    <t>2YTMXW61008608</t>
  </si>
  <si>
    <t>THE VIRGINIA STATE POLICE REQUESTS THESE KEYBOARDS TO BE UTILIZED BY SWORN PERSONNEL TO COMPLETE ADMINISTRATIVE DUTIES FOR THE DEPARTMENT.</t>
  </si>
  <si>
    <t>2YTMXW61078607</t>
  </si>
  <si>
    <t>DSMONIT08</t>
  </si>
  <si>
    <t>MONITOR, COMPUTER</t>
  </si>
  <si>
    <t>THE VIRGINIA STATE POLICE REQUESTS THESE COMPUTER MONITORS TO BE UTILIZED BY SWORN PERSONNEL FOR CONDUCTING ADMINISTRATIVE COMPUTER WORK FOR THE DEPARTMENT.</t>
  </si>
  <si>
    <t>2YTMXW61149523</t>
  </si>
  <si>
    <t>CLEANER,VACUUM,ELEC</t>
  </si>
  <si>
    <t>THE VIRGINIA STATE POLICE REQUESTS THIS VACUUM CLEANER TO BE UTILIZED BY SWORN PERSONNEL FOR MAINTAINING AREA OFFICES.</t>
  </si>
  <si>
    <t>2YTMXW61210243</t>
  </si>
  <si>
    <t>DSPELCNLG</t>
  </si>
  <si>
    <t>CASE, PELICAN, LARGE, &gt;500 SQ IN</t>
  </si>
  <si>
    <t>THE VIRGINIA STATE POLICE REQUESTS THESE CASES TO BE UTILIZED BY SWORN PERSONNEL FOR STORAGE OF EQUIPMENT AND SUPPLIES.</t>
  </si>
  <si>
    <t>WASHINGTON COUNTY SHERIFF DEPT (2YTM9Q)</t>
  </si>
  <si>
    <t>2YTM9Q60866173</t>
  </si>
  <si>
    <t>DSTENDERV</t>
  </si>
  <si>
    <t>SPECIAL SERVICE VESSELS</t>
  </si>
  <si>
    <t>WASHINGTON COUNTY SHERIFF'S OFFICE IS A LAW ENFORCEMENT AGENCY IN THE STATE OF VIRGINIA. OUR AGENCY COULD USE THIS BOAT FOR LAKE PATROLS ON SOUTH HOLSTON LAKE. THIS BOAT WOULD BE USED BY LAW ENFORCEMENT PERSONNEL.</t>
  </si>
  <si>
    <t>2YTM9Q60725184</t>
  </si>
  <si>
    <t>USED FOR LAW ENFORCEMENT PURPOSES ONLY. USED FOR HIGH WATER RESCUES AND LAW ENFORCEMENT WATER RECOVERIES.</t>
  </si>
  <si>
    <t>2YTM9Q60866847</t>
  </si>
  <si>
    <t>DSBUS0000</t>
  </si>
  <si>
    <t>BUS</t>
  </si>
  <si>
    <t>WASHINGTON COUNTY SHERIFF'S OFFICE IS A LAW ENFORCEMENT AGENCY IN THE STATE OF VIRGINIA. OUR AGENCY COULD USE THIS BUS FOR TRANSPORT OF PRISONERS. THIS VEHICLE WILL BE USED BY LAW ENFORCEMENT PERSONNEL.</t>
  </si>
  <si>
    <t>2YTM9Q61007623</t>
  </si>
  <si>
    <t>WASHINGTON COUNTY SHERIFF'S OFFICE IS A LAW ENFORCEMENT AGENCY IN THE STATE OF VIRGINIA. OUR AGENCY COULD USE THIS TRUCK FOR PATROLING AND PRISONER TRANSPORTS. THIS VEHICLE WILL BE USED BY LAW  ENFORCEMENT PERSONNEL.</t>
  </si>
  <si>
    <t>2YTM9Q61078215</t>
  </si>
  <si>
    <t>WASHINGTON COUNTY SHERIFF'S OFFICE IS A LAW ENFORCEMENT AGENCY IN THE STATE OF VIRGINIA. OUR AGENCY COULD USE THIS PICK-UP FOR PATROLING AND PRISONER TRANSPORT. THIS VEHICLE WILL BE USED BY LAW ENFORCEMENT PERSONNEL.</t>
  </si>
  <si>
    <t>2YTM9Q60866354</t>
  </si>
  <si>
    <t>WASHINGTON COUNTY SHERIFF'S OFFICE IS A LAW ENFORCEMENT AGENCY IN THE STATE OF VIRGINIA. OUR AGENCY COULD USE THIS DUMP TRUCK FOR HAULING ROCK OR DIRT TO MAINTAIN THE ROAD AT OUR SHOOTING RANGE. THIS VEHICLE WILL BE USED BY LAW ENFORCEMENT PERSONNEL.</t>
  </si>
  <si>
    <t>2YTM9Q61078451</t>
  </si>
  <si>
    <t>TO BE USED FOR LAW ENFORCEMENT PURPOSES ONLY. TO BE USED TO TRANSPORT LAW ENFORCEMENT EQUIPMENT TO SEARCH AND RESCUE OPERATIONS, SPECIAL EVENTS, AND OTHER CALLS OF SERVICE.</t>
  </si>
  <si>
    <t>2YTM9Q60866848</t>
  </si>
  <si>
    <t>WASHINGTON COUNTY SHERIFF'S OFFICE IS A LAW ENFORCEMENT AGENCY IN THE STATE OF VIRGINIA. OUR AGENCY COULD USE A BOX TRAILER FOR TRANSPORTING EQUIPMENT AND STORAGE. THIS TRAILER WILL BE USED BY LAW ENFORCEMENT PERSONNEL.</t>
  </si>
  <si>
    <t>2YTM9Q61078227</t>
  </si>
  <si>
    <t>WASHINGTON COUNTY SHERIFF'S OFFICE IS A LAW ENFORCEMENT AGENCY IN THE STATE OF VIRGINIA. OUR AGENCY COULD USE THIS BOAT TRAILER FOR HAULING A SEA FORCE 670 SOLAS JET RESCUE BOAT THAT WE RECENTLY RECEIVED FROM MILITARY SURPLUS. THIS TRAILER WILL BE USED BY LAW ENFORCEMENT PERSONNEL.</t>
  </si>
  <si>
    <t>2YTM9Q60866179</t>
  </si>
  <si>
    <t>WASHINGTON COUNTY SHERIFF'S OFFICE IS A LAW ENFORCEMENT AGENCY IN THE STATE OF VIRGINIA. OUR AGENCY COULD USE THIS DROP DECK TRAILER FOR HAULING EQUIPMENT LIKE A BOOM LIFT. THIS TRAILER WILL BE USED BY LAW ENFORCEMENT PERSONNEL.</t>
  </si>
  <si>
    <t>2YTM9Q61148852</t>
  </si>
  <si>
    <t>WASHINGTON COUNTY SHERIFF'S OFFICE IS A LAW ENFORCEMENT AGENCY IN THE STATE OF VIRGINIA. OUR AGENCY COULD USE THIS LANDOFF TRAILER FOR HAULING HEAVY EQUIPMENT. THIS TRAILER WILL BE USED BY LAW ENFORCEMENT PERSONNEL.</t>
  </si>
  <si>
    <t>2YTM9Q60866357</t>
  </si>
  <si>
    <t>WASHINGTON COUNTY SHERIFF'S OFFICE IS A LAW ENFORCEMENT AGENCY IN THE STATE OF VIRGINIA. OUR AGENCY COULD USE THIS PIECE OF EQUIPMENT FOR GRADING AND SPREADING GRAVEL AT OUR FIRING RANGE. THIS VEHICLE WILL BE USED BY LAW ENFORCEMENT PERSONNEL.</t>
  </si>
  <si>
    <t>2YTM9Q6106JG50</t>
  </si>
  <si>
    <t>2YTM9Q61149117</t>
  </si>
  <si>
    <t>TO BE USED FOR LAW ENFORCEMENT PURPOSES ONLY. USED ON PATROL DEPUTY WEAPON PLATFORMS FOR ENHANCED TARGET ACQUISITION IN LAW ENFORCEMENT PATROLS AND TRAINING.</t>
  </si>
  <si>
    <t>2YTM9Q60866538</t>
  </si>
  <si>
    <t>USED FOR LAW ENFORCEMENT PURPOSES ONLY. USED AS ALTERNATIVE POWER SOURCES FOR LAW ENFORCEMENT OPERATIONS DURING POWER DISRUPTIONS AND REMOTE POWER SOURCES.</t>
  </si>
  <si>
    <t>WA</t>
  </si>
  <si>
    <t>GRAYS HARBOR CSO (2YTESP)</t>
  </si>
  <si>
    <t>2YTESP61492266</t>
  </si>
  <si>
    <t>THESE WOULD BE USED IN OUR ARMORY TO PROPERLY STORE FIREARMS.</t>
  </si>
  <si>
    <t>2YTESP61492267</t>
  </si>
  <si>
    <t>THIS WILL BE USED TO ASSIST US WITH THE MOVING OF EVIDENCE AROUND OUR DEPARTMENT AND EVIDENCE FACILITIES</t>
  </si>
  <si>
    <t>2YTESP61492268</t>
  </si>
  <si>
    <t>ISSUED TO DEPUTIES FOR DAY TO DAY DUTIES THAT INCLUDE ASSISTING THE PUBLIC IN NUMEROUS WAYS.</t>
  </si>
  <si>
    <t>2YTESP61422270</t>
  </si>
  <si>
    <t>WOULD BE USED FOR DUTY FIREARM MAINTENANCE.</t>
  </si>
  <si>
    <t>2YTESP61703484</t>
  </si>
  <si>
    <t>LADDER,SAFETY STEP</t>
  </si>
  <si>
    <t>TO BE USED BY THE GRAYS HARBOR COUNTY SHERIFFS OFFICE IN ITS DUTIES FOR HARD TO REACH PLACES AND AS NEEDED.</t>
  </si>
  <si>
    <t>2YTESP61704081</t>
  </si>
  <si>
    <t>TO BE USED BY THE GRAYS HARBOR COUNTY SHERIFFS OFFICE TO ASSIST WITH POTENTIAL RESCUE OPERATIONS.</t>
  </si>
  <si>
    <t>2YTESP61562418</t>
  </si>
  <si>
    <t>DSHOSCART</t>
  </si>
  <si>
    <t>HOSPITAL CART</t>
  </si>
  <si>
    <t>TO BE USED BY MEDICAL STAFF IN OUR CORRECTIONAL FACILITY. OR AT THE RANGE FOR WEAPON TOOLS AND CLEANER</t>
  </si>
  <si>
    <t>2YTESP61422229</t>
  </si>
  <si>
    <t>WILL BE USED FOR SCENE DOCUMENTATION IN CRIMINAL INVESTIGATIONS.</t>
  </si>
  <si>
    <t>2YTESP61633242</t>
  </si>
  <si>
    <t>TO BE USED BY THE GRAYS HARBOR COUNTY SHERIFF'S OFFICE FOR DEPUTIES TO TRAIN TO BE SAFER IN THE PERFORMANCE OF THEIR DUTIES.</t>
  </si>
  <si>
    <t>2YTESP61684073</t>
  </si>
  <si>
    <t>TO BE USED BY THE GRAYS HARBOR COUNTY SHERIFFS OFFICE FOR EQUIPMENT STORAGE AND OR TRANSPORT</t>
  </si>
  <si>
    <t>2YTESP61472385</t>
  </si>
  <si>
    <t>USED TO HELP ORGANIZE PATROL EQUIPMENT AND POSSIBLE RANGE USE</t>
  </si>
  <si>
    <t>2YTESP61563247</t>
  </si>
  <si>
    <t>TENT, LIGHT KIT, BASE-X</t>
  </si>
  <si>
    <t>TO BE USED BY THE GRAYS HARBOR COUNTY SHERIFF'S OFFICE TO PROVIDE LIGHT IN LOW LIGHT SITUATIONS TO HELP PERFORM PATROL DUTIES AND DEPARTMENTAL FUNCTIONS.</t>
  </si>
  <si>
    <t>2YTESP61472405</t>
  </si>
  <si>
    <t>ISSUED TO DEPUTIES TO STORE PATROL EQUIPMENT</t>
  </si>
  <si>
    <t>2YTESP61472406</t>
  </si>
  <si>
    <t>ISSUED TO ROAD DEPUTIES TO STORE PATROL EQUIPMENT</t>
  </si>
  <si>
    <t>2YTESP61472429</t>
  </si>
  <si>
    <t>ISSUED TO STAFF TO STORE GEAR AND EQUIPMENT</t>
  </si>
  <si>
    <t>2YTESP61472404</t>
  </si>
  <si>
    <t>ISSAQUAH POLICE DEPT (2YTFTU)</t>
  </si>
  <si>
    <t>2YTFTU61149003</t>
  </si>
  <si>
    <t>USE BY LAW ENFORCEMENT AGENCY FOR FITNESS.</t>
  </si>
  <si>
    <t>KING COUNTY SHERIFF'S OFFICE (2YTF7N)</t>
  </si>
  <si>
    <t>2YTF7N61633644</t>
  </si>
  <si>
    <t>DSMISCIND</t>
  </si>
  <si>
    <t>MISCELLANEOUS SPECIAL INDUSTRY MACHINERY</t>
  </si>
  <si>
    <t>ITEM IS A CHAINSAW, WILL BE USED BY SHERIFF'S OFFICE DEPUTIES TO CLEAR ROADS AND TRAILS OF FALLEN TREES.  SPECIFICALLY DEPUTIES ASSIGNED TO SEARCH AND RESCUE DUTIES.</t>
  </si>
  <si>
    <t>2YTF7N61007980</t>
  </si>
  <si>
    <t>COMPRESSOR,RECIPROCATING</t>
  </si>
  <si>
    <t>HIGH PRESSURE AIR COMPRESSORS.  WILL BE USED BY SHERIFF'S OFFICE PERSONNEL TO FILL AIR TANKS.  FOR EXAMPLE, EMERGENCY AIR TANKS USED BY HELICOPTER CREWS.</t>
  </si>
  <si>
    <t>2YTF7N60937397</t>
  </si>
  <si>
    <t>PRESSURE WASHER TO HELP MAINTAIN CLEANLINESS OF SHERIFF'S OFFICE VEHICLES AND EQUIPMENT.</t>
  </si>
  <si>
    <t>2YTF7N61148939</t>
  </si>
  <si>
    <t>TOOL KIT, TO BE USED BY SHERIFF'S OFFICE DEPUTIES TO PERFORM MINOR MAINTENANCE TO VEHICLES AND EQUIPMENT.</t>
  </si>
  <si>
    <t>2YTF7N61774481</t>
  </si>
  <si>
    <t>INCH LB TORQUE WRENCHES.  WILL BE USED BY SHERIFF'S OFFICE DEPUTIES WHEN PERFORMING MAINTENANCE ON ITEMS.  SPECIFICALLY ROBOTS THAT REQUIRE ACCURATE TORQUE WHEN PERFORMING MAINTENANCE ON THEM.</t>
  </si>
  <si>
    <t>2YTF7N61210445</t>
  </si>
  <si>
    <t>TOOL KITS, FOR USE BY SHERIFF'S OFFICE DEPUTIES FOR PERFORMING MINOR MAINTENANCE TO VEHICLES AND EQUIPMENT.</t>
  </si>
  <si>
    <t>2YTF7N61210444</t>
  </si>
  <si>
    <t>DSGPS0000</t>
  </si>
  <si>
    <t>GLOBAL POSITIONING SATELLITE (GPS) EQUIP</t>
  </si>
  <si>
    <t>FOR USE BY SHERIFF'S OFFICE DEPUTIES FOR NAVIGATION IN A VEHICLE.  GARMIN NUVI.</t>
  </si>
  <si>
    <t>2YTF7N61492181</t>
  </si>
  <si>
    <t>ITEM IS ACTUALLY THE BATTERY CHARGER FOR THE LIFEPAK15.  WILL BE USED TO CHARGE BATTERIES FOR THE SHERIFF'S OFFICE AIR RESCUE LIFEPAK15.  WILL SUPPORT SEARCH AND RESCUE.</t>
  </si>
  <si>
    <t>2YTF7N61703661</t>
  </si>
  <si>
    <t>RECORDER SYSTEM,DEF</t>
  </si>
  <si>
    <t>PORTABLE DEFIBRILLATOR SYSTEM, FOR USE BY SHERIFF'S OFFICE DEPUTIES TO AID PERSONS SUFFERING CARDIAC EVENTS.</t>
  </si>
  <si>
    <t>2YTF7N61401991</t>
  </si>
  <si>
    <t>KIT BAGS, FOR USE BY SHERIFF'S OFFICE PERSONNEL TO TRANSPORT AND STORE ITEMS. CLOTHING, TOOLS, ETC.</t>
  </si>
  <si>
    <t>2YTF7N61331317</t>
  </si>
  <si>
    <t>KIT BAGS, FOR USE BY SHERIFF'S OFFICE TO CARRY AND STORE ITEMS.  
FOR EXAMPLE, TACTICAL EQUIPMENT.</t>
  </si>
  <si>
    <t>2YTF7N61331316</t>
  </si>
  <si>
    <t>2YTF7N61058938</t>
  </si>
  <si>
    <t>KIT BAGS, WILL BE USED BY SHERIFF'S OFFICE DEPUTIES FOR STORAGE AND TRANSPORT OF EQUIPMENT.</t>
  </si>
  <si>
    <t>2YTF7N60796006</t>
  </si>
  <si>
    <t>THESE ITEMS WILL BE USED FOR THE SAFETY AND WELFARE OF OUR RAPID DEPLOYMENT PERSONNEL WHILE DEPLOYED FOR CIVIL  AND PUBLIC ORDER</t>
  </si>
  <si>
    <t>2YTF7N60726005</t>
  </si>
  <si>
    <t>THIS ITEM WOULD BE USED FOR SAFETY, AND WELFARE OF LAW ENFORCEMENT RAPID RESPONSE TEAM WHILE DEPLOYED FOR CIVIL ACTION.</t>
  </si>
  <si>
    <t>2YTF7N60786843</t>
  </si>
  <si>
    <t>THESE HYDRATION CARRIERS WOULD BE USED TO SUPPLY WATER TO OUR RAPID DEPLOYMENT FORCE WHO ARE DEPLOYED DURING CIVIC ACTIONS AND COMMUNITY EVENTS AND PUBLIC ORDER SITUATIONS.   THESE ITEMS WILL IMPROVE THE SAFETY, HEALTH AND WELFARE OF OUR DEPUTIES AND ALLOW THEM TO PROVIDE A PROFESSIONAL SERVICE TO THE COMMUNITY.</t>
  </si>
  <si>
    <t>2YTF7N60796007</t>
  </si>
  <si>
    <t>THIS ITEM WOULD BE USED FOR THE SAFETY AND WELFARE OF OUR RAPID DEPLOYMENT PERSONNEL WHEN DEPLOYED FOR PUBLIC AND CIVIL ACTIONS AND ORDER.</t>
  </si>
  <si>
    <t>MONTESANO POLICE DEPT (2YTHYA)</t>
  </si>
  <si>
    <t>2YTHYA61633217</t>
  </si>
  <si>
    <t>SLIDE HAMMER,GROUND ROD</t>
  </si>
  <si>
    <t>OUR AGENCY NEEDS THIS EQUIPMENT.  WILL BE USED BY REQUESTING AGENCY FOR LAW ENFORCEMENT PURPOSES ONLY.  WILL BE USED TO INSTALL GROUND RODS AT FIREARMS RANGE</t>
  </si>
  <si>
    <t>2YTHYA61633225</t>
  </si>
  <si>
    <t>POINT OF CAPTURE KIT</t>
  </si>
  <si>
    <t xml:space="preserve">OUR AGENCY NEEDS THIS EQUIPMENT.  WILL BE USED BY REQUESTING AGENCY FOR LAW ENFORCEMENT PURPOSES ONLY.  WILL BE ISSUED TO POLICE OFFICERS - SWAT MEMBERS FOR DAILY DUTY USE.
</t>
  </si>
  <si>
    <t>2YTHYA61008096</t>
  </si>
  <si>
    <t>OUR AGENCY NEEDS THIS EQUIPMENT.  WILL BE USED BY REQUESTING AGENCY FOR LAW ENFORCEMENT PURPOSES ONLY.  WILL BE ISSUED TO POLICE OFFICERS - SWAT MEMBERS FOR DUTY USE WHILE OPERATING IN DARK ENVIRONMENTS. VERIFIED ITEMS HAVE IN-TACT LENSES.</t>
  </si>
  <si>
    <t>2YTHYA61633215</t>
  </si>
  <si>
    <t>ROD,GROUND</t>
  </si>
  <si>
    <t>OUR AGENCY NEEDS THIS EQUIPMENT.  WILL BE USED BY REQUESTING AGENCY FOR LAW ENFORCEMENT PURPOSES ONLY.  WILL BE INSTALLED AT FIREARMS TRAINING RANGE</t>
  </si>
  <si>
    <t>2YTHYA60937959</t>
  </si>
  <si>
    <t>OUR AGENCY NEEDS THIS EQUIPMENT.  WILL BE USED BY REQUESTING AGENCY FOR LAW ENFORCEMENT PURPOSES ONLY.  WILL BE ISSUED TO POLICE OFFICERS - SWAT MEMBERS FOR DUTY USE DURING PHYSICAL TRAINING EXERCISES AND FOR MAINTAINING PHYSICAL FITNESS.</t>
  </si>
  <si>
    <t>2YTHYA61633216</t>
  </si>
  <si>
    <t>FLAG,NATIONAL</t>
  </si>
  <si>
    <t>OUR AGENCY NEEDS THIS EQUIPMENT.  WILL BE USED BY REQUESTING AGENCY FOR LAW ENFORCEMENT PURPOSES ONLY.  WILL BE DISPLAYED AT OUR DEPARTMENT</t>
  </si>
  <si>
    <t>2YTHYA61401861</t>
  </si>
  <si>
    <t>OUR AGENCY NEEDS THIS EQUIPMENT. WILL BE USED FOR LAW ENFORCEMENT PURPOSES ONLY. WILL BE ISSUED TO POLICE OFFICERS-SWAT MEMBERS FOR STORAGE OF ISSUED GEAR.</t>
  </si>
  <si>
    <t>2YTHYA61543146</t>
  </si>
  <si>
    <t>LAW ENFORCEMENT ENS</t>
  </si>
  <si>
    <t xml:space="preserve">OUR AGENCY NEEDS THIS EQUIPMENT.  WILL BE USED BY REQUESTING AGENCY FOR LAW ENFORCEMENT PURPOSES ONLY.  WILL BE ISSUED TO POLICE OFFICERS - SWAT MEMBERS FOR DUTY USE DURING GENERAL DAILY OPERATIONS.
</t>
  </si>
  <si>
    <t>2YTHYA61543145</t>
  </si>
  <si>
    <t>THURSTON COUNTY SHERIFF'S OFFICE (2YTLTK)</t>
  </si>
  <si>
    <t>2YTLTK61422135</t>
  </si>
  <si>
    <t>THIS WOULD BE USED BY ONLY LAW ENFORCEMENT PERSONNEL FOR LAW ENFORCEMENT OPERATIONS. THIS WOULD BE USED TO ASSIST MARKSMAN OBSERVER TEAMS FOR QRF AND OVERWATCH MISSIONS.</t>
  </si>
  <si>
    <t>2YTLTK61492134</t>
  </si>
  <si>
    <t>THESE WILL ONLY BE USED BY LAW ENFORCEMENT PERSONNEL FOR LAW ENFORCEMENT PURPOSES. THESE WILL BE USED BY MARKMAN OBSERVER TEAMS FOR OVERWATCH AND QRF TEAMS TO PROTECT THE GENERAL PUBLIC.</t>
  </si>
  <si>
    <t>WI</t>
  </si>
  <si>
    <t>AUGUSTA POLICE DEPARTMENT (2YTRJ5)</t>
  </si>
  <si>
    <t>2YTRJ561219413</t>
  </si>
  <si>
    <t>THE AUGUSTA POLICE DEPARTMENT IS IN NEED OF A SPARE PATROL VEHICLE AS OUR CURRENT SQUAD IS NEARING THE END OF ITS USEFUL LIFE.</t>
  </si>
  <si>
    <t>2YTRJ560725010</t>
  </si>
  <si>
    <t>TRUCK,PANEL</t>
  </si>
  <si>
    <t>THE AUGUSTA POLICE DEPARTMENT WOULD USE THIS VEHICLE FOR THE TRANSPORTATION OF MEMBERS OF OUR AMISH COMMUNITY DURING LARGE SCALE EMERGENCIES OR NATURAL DISASTERS.</t>
  </si>
  <si>
    <t>DOJ/DEA WEST MILWAUKEE (2YTRTP)</t>
  </si>
  <si>
    <t>2YTRTP61280253</t>
  </si>
  <si>
    <t>THE DEA HAS A TACTICAL TEAM OF AGENTS THAT SERVE SUBPOENAS TO THE WORST ACCUSED IN ALL TYPES OF ENVIRONMENTS. THIS EQUIPMENT IS TO GIVE AGENTS AN ADVANTAGE TO BETTER ENABLE THEM TO COMPLETE THE OPERATION SAFELY. LEA HAS CONFIRMED THAT THE SITE HAS BEEN CONTACTED AND ACCEPTED CONDITION OF PROPERTY.</t>
  </si>
  <si>
    <t>2YTRTP61280442</t>
  </si>
  <si>
    <t>2YTRTP61280465</t>
  </si>
  <si>
    <t>2YTRTP61350894</t>
  </si>
  <si>
    <t>ILLUMINATOR,INFRARED</t>
  </si>
  <si>
    <t>FALL CREEK POLICE DEPT (2YTDYP)</t>
  </si>
  <si>
    <t>2YTDYP61563055</t>
  </si>
  <si>
    <t>OFFICERS OF THE FALL CREEK POLICE DEPARTMENT WILL USE THIS VEHICLE FOR TRAINING, UNDERCOVER OPERATIONS, AND OTHER DEPARTMENT NEEDS SUCH AS TRANSPORTING BARRICADES FOR PARADE ROUTES.</t>
  </si>
  <si>
    <t>2YTDYP61633226</t>
  </si>
  <si>
    <t>THE VILLAGE OF FALL CREEK POLICE DEPARTMENT WILL USE THIS GENERATOR TO HELP RUN POWER TO NECESSARY ITEMS AT THE POLICE DEPARTMENT IN CASE OF A POWER OUTAGE UNTIL POWER IS RESTORED.</t>
  </si>
  <si>
    <t>2YTDYP61563227</t>
  </si>
  <si>
    <t>THE VILLAGE OF FALL CREEK POLICE DEPARTMENT WILL USE THIS GENERATOR TO PROVIDE POWER AT EMERGENCY SCENES OR LARGE SCALE EVENTS THAT REQUIRE A POWER SOURCE.</t>
  </si>
  <si>
    <t>JACKSON COUNTY SHERIFFS OFFICE (2YTFUS)</t>
  </si>
  <si>
    <t>2YTFUS61281026</t>
  </si>
  <si>
    <t>THE JACKSON COUNTY SHERIFF'S OFFICE IS SEEKING OPTICS LIKE THIS FOR USE ON PATROL RIFLES FOR SWORN LAW ENFORCEMENT PERSONNEL. INCREASING THE ACCURACY AND EFFECTIVENESS WHEN DEPLOYING A PATROL RIFLE IN A USE OF FORCE INCIDENT NOT ONLY STOPS AN ACTIVE THREAT FASTER, IT ALSO DECREASES THE LIKELIHOOD OF UNINTENDED HARM FROM ROUNDS MISSING THEIR TARGET. OPTICS FOR OUR RIFLES WILL INCREASE SAFETY FOR LAW ENFORCEMENT AND THE PUBLIC.</t>
  </si>
  <si>
    <t>NORWALK POLICE DEPARTMENT (2YTQZD)</t>
  </si>
  <si>
    <t>2YTQZD61280655</t>
  </si>
  <si>
    <t>THE NORWALK POLICE DEPARTMENT WOULD USE THIS TRUCK TO STORE CRIME SCENE EQUIPMENT AND RESPOND TO CRIME SCENES.</t>
  </si>
  <si>
    <t>2YTQZD61280656</t>
  </si>
  <si>
    <t>UTILITY VEHICLE,4WD</t>
  </si>
  <si>
    <t>NORWALK POLICE WOULD USE THIS FOR OFF ROAD PATROL AND SPECIAL EVENTS.</t>
  </si>
  <si>
    <t>2YTQZD61280657</t>
  </si>
  <si>
    <t>ONEIDA COUNTY SHERIFFS OFFICE (2YT13N)</t>
  </si>
  <si>
    <t>2YT13N61492829</t>
  </si>
  <si>
    <t>THIS ITEM WILL BE UTILIZED BY THE ONEIDA COUNTY SHERIFF'S OFFICE FOR MOVING VARIOUS ITEMS AROUND SHERIFF'S OFFICE PROPERTY AS WELL AS MAINTENANCE ON SHERIFF'S OFFICE BUILDINGS.</t>
  </si>
  <si>
    <t>2YT13N61492805</t>
  </si>
  <si>
    <t>IMMERSIBLE BUMP HEL</t>
  </si>
  <si>
    <t>THESE ITEMS WILL BE UTILIZED BY THE ONEIDA COUNTY SHERIFF'S OFFICE FOR RAPPEL AND WATER OPERATIONS AS WELL AS TRAINING FOR RAPPEL AND WATER OPERATIONS.</t>
  </si>
  <si>
    <t>2YT13N61492806</t>
  </si>
  <si>
    <t>SCOUT SWIMMERS VEST</t>
  </si>
  <si>
    <t>THIS EQUIPMENT WILL BE UTILIZED BY THE ONEIDA COUNTY SHERIFF'S OFFICE DURING WATER OPERATIONS AND TRAINING FOR WATER OPERATIONS. THIS EQUIPMENT WILL HELP KEEP OFFICERS AFLOAT WHEN IN THE WATER.</t>
  </si>
  <si>
    <t>2YT13N61422226</t>
  </si>
  <si>
    <t>THESE ITEMS WILL BE UTILIZED BY THE ONEIDA COUNTY SHERIFF'S OFFICE TO PROTECT HEARING DURING FIREARMS TRAINING OPERATIONS.</t>
  </si>
  <si>
    <t>TREMPEALEAU CSO (2YTLXY)</t>
  </si>
  <si>
    <t>2YTLXY60938138</t>
  </si>
  <si>
    <t>THE TREMPEALEAU COUNTY SHERIFF'S OFFICE IS REQUESTING THE SIGHT TO BE USED ON OUR RIFLES. THE SIGHT WILL ASSIST IN FASTER TARGET ACQUISITION AND MORE ACCURATE FIRING. THEY WILL KEEP THE DEPUTIES SAFER AND THE COMMUNITY SAFER AS A RESULT.</t>
  </si>
  <si>
    <t>2YTLXY60938136</t>
  </si>
  <si>
    <t>2YTLXY60938137</t>
  </si>
  <si>
    <t>WAUKESHA POLICE DEPT (2YTNCL)</t>
  </si>
  <si>
    <t>2YTNCL61421892</t>
  </si>
  <si>
    <t>THE WAUKESHA POLICE DEPARTMENT TACTICAL UNIT IS REQUESTING THESE ITEMS TO AID IN OFFICER SAFETY DURING NIGHT TIME OPERATIONS TO INCLUDE BARRICADED SUBJECTS, HOSTAGE RESCUE, OPEN FIELD SEARCHES, COUNTER TERRORISM OPERATIONS, ETC. I HAVE REACHED OUT TO THE SIGHT AND UNDERSTAND ACCEPT THE CONDITION OF THE ITEMS. WE ARE REQUESTING 10 UNITS WITH IN -TACT LENSES.</t>
  </si>
  <si>
    <t>2YTNCL61079113</t>
  </si>
  <si>
    <t>THE WAUKESHA POLICE DEPARTMENT TACTICAL UNIT IS IN NEED OF THESE ILLUMINATORS TO ASSIST IN OUR NIGHT TIME CAPABILITIES. THESE ITEMS WILL BE USED TO ASSIST IN SEARCH AND RESCUE, HOSTAGE RESCUE, COUNTER TERRORISM, AND OTHER LOW LIGHT INCIDENTS. I HAVE REACHED OUT TO THE SITE AND UNDERSTAND AND ACCEPT THE CONDITION. I HAVE BEEN DENIED FOR EVERY ILLUMINATOR I REQUEST. I AM REQUESTING 7 BUT WILL SETTLE FOR 5.</t>
  </si>
  <si>
    <t>2YTNCL60866887</t>
  </si>
  <si>
    <t>THE WAUKESHA POLICE DEPARTMENT TACTICAL UNIT WOULD LIKE THESE ITEMS TO ASSIST IN IMPROVING EFFICIENCY IN NIGHT TIME TACTICAL OPERATIONS AND TARGET IDENTIFICATION. THESE ITEMS WOULD ASSIST IN SEARCH AND RESCUE OPERATIONS, BARRICADED SUBJECTS, HOSTAGE SITUATIONS, COUNTER TERRORISM, AND OVERALL OFFICER SAFETY. WE HAVE REACHED OUT TO THE SIGHT AND ACCEPT AND UNDERSTAND THE CONDITION.</t>
  </si>
  <si>
    <t>WV</t>
  </si>
  <si>
    <t>BERKELEY COUNTY SHERIFF OFFICE (2YTN6M)</t>
  </si>
  <si>
    <t>2YTN6M60795985</t>
  </si>
  <si>
    <t>DSALLIN1P</t>
  </si>
  <si>
    <t>ALL IN ONE PRINTER, FAX, SCANNER</t>
  </si>
  <si>
    <t>TO BE UTILIZED BY THE BERKELEY COUNTY SHERIFFS OFFICE FOR A LAW ENFORCEMENT PURPOSE.  THESE PRINTERS WILL BE USED BY OUR EVIDENCE ROOM DEPUTY TO PRINT LETTERS, SCAN EVIDENCE DOCUMENTS AND MANAGE PRINTING AND SCANNING FUNCTIONS WITHIN THE MASSIVE EVIDENCE ROOM THAT HE MANAGES.</t>
  </si>
  <si>
    <t>RTD resubmission due to DLA site inventory adjustment; this omitted customer origianal justification</t>
  </si>
  <si>
    <t>THIS VEHICLE WOULD BE USED BY THE RIVERTON POLICE DEPARTMENT AS A PATROL VEHICLE. WE WOULD REPAIR ANY MINOR DAMAGE AND INSTALL NEEDED EQUIPMENT TO PERFORM PATROL DUTIES.</t>
  </si>
  <si>
    <t>Requested DTID is no longer in the inventory.</t>
  </si>
  <si>
    <t>2YTRSC61219600</t>
  </si>
  <si>
    <t>RIVERTON PD (2YTRSC)</t>
  </si>
  <si>
    <t>WY</t>
  </si>
  <si>
    <t>SYSTEM</t>
  </si>
  <si>
    <t>2YTRSC61219598</t>
  </si>
  <si>
    <t>TO BE UTILIZED BY THE BERKELEY COUNTY SHERIFFS OFFICE FOR A LAW ENFORCEMENT PURPOSE.  THESE MONITORS WILL BE USED BY OUR DEPUTIES TO WRITE LETTERS, CRIMINAL INVESTIGATIVE REPORTS AND TRAFFIC CRASH REPORTS.  THEY CAN ALSO BE USED TO UTILIZE OUR INTRANET AND PERFORM A HOST OF OTHER NECESSARY DUTIES.</t>
  </si>
  <si>
    <t xml:space="preserve">
Sales Order #: 2289686831
RTD Screening Code: DOD
Reason for Rejection: Y9</t>
  </si>
  <si>
    <t>2YTN6M61421484</t>
  </si>
  <si>
    <t>TO BE UTILIZED BY THE BERKELEY COUNTY SHERIFFS OFFICE FOR A LAW ENFORCEMENT PURPOSE.  THESE PRINTERS WILL BE USED BY OUR DEPUTIES TO PRINT LETTERS, CRIMINAL INVESTIGATIVE REPORTS AND TRAFFIC CRASH REPORTS.</t>
  </si>
  <si>
    <t>PRINTER,AUTOMATIC D</t>
  </si>
  <si>
    <t>2YTN6M61219880</t>
  </si>
  <si>
    <t>THE NORWALK POLICE DEPT WOULD USE THIS FOR EMERGENCY POWER AT THE POLICE STATION.</t>
  </si>
  <si>
    <t xml:space="preserve">
Sales Order #: 2291227224
RTD Screening Code: GSA
Reason for Rejection: Y9</t>
  </si>
  <si>
    <t>2YTQZD61703568</t>
  </si>
  <si>
    <t>THIS ITEM WILL BE USED BY THE ONEIDA COUNTY SHERIFFS OFFICE FOR MOVING ITEMS AND EQUIPMENT IN AND AROUND SHERIFF'S OFFICES PROPERTY. THIS WILL HELP CIVILIAN STAFF SUPPORT LAW ENFORCEMENT OPERATIONS.</t>
  </si>
  <si>
    <t xml:space="preserve">
Sales Order #: 2291328289
RTD Screening Code: DOD
Reason for Rejection: Y9</t>
  </si>
  <si>
    <t>2YT13N61703655</t>
  </si>
  <si>
    <t>THE WAUKESHA POLICE DEPARTMENT TACTICAL UNIT WOULD LIKE THIS EQUIPMENT TO ASSIST IN NIGHT TIME OPERATIONS TO IMPROVE PUBLIC SAFETY. THESE OPERATIONS WOULD INCLUDE SEARCH AND RESCUE, TERRORIST RESPONSE, AMONG OTHERS. WE HAVE REACHED OUT TO THE SITE AND UNDERSTAND AND ACCEPT THE CONDITION.</t>
  </si>
  <si>
    <t xml:space="preserve">
Sales Order #: 2285889628
RTD Screening Code: DOD
Reason for Rejection: Y9</t>
  </si>
  <si>
    <t>2YTNCL60866615</t>
  </si>
  <si>
    <t>THE WASHINGTON COUNTY SHERIFFS OFFICE WILL USE THIS UNIT FOR PATROL OF SPECIAL EVENTS AND FOR THE SWAT TEAM DURING RURAL OPERATIONS</t>
  </si>
  <si>
    <t xml:space="preserve">
Sales Order #: 2290701378
RTD Screening Code: DOD
Reason for Rejection: Y9</t>
  </si>
  <si>
    <t>2YTM9261632985</t>
  </si>
  <si>
    <t>WASHINGTON COUNTY SHERIFF OFFICE (2YTM92)</t>
  </si>
  <si>
    <t>THIS REFLEX SIGHT WILL ACQUIRED AND MAINTAINED BY THE JACKSON COUNTY WI SHERIFF'S OFFICE. IT WILL BE ISSUED TO SWORN LAW ENFORCEMENT FOR USE ON A PATROL CARBINE. LAW ENFORCEMENT OFFICERS DEPLOY PATROL CARBINES IN RESPONSE TO ACTIVE OR POTENTIAL THREATS TO THE COMMUNITY OR THEMSELVES. RED DOT OPTICS INCREASE THE OVERALL SAFETY OF THE COMMUNITY BY INCREASING THE SPEED AND EFFECTIVENESS AT WHICH A THREAT CAN BE STOPPED AS WELL AS DECREASING THE CHANCES OF UNTENDED HARM FROM ERRANT ROUNDS.</t>
  </si>
  <si>
    <t xml:space="preserve">
Sales Order #: 2290165934
RTD Screening Code: DOD
Reason for Rejection: Y9</t>
  </si>
  <si>
    <t>2YTFUS61772081</t>
  </si>
  <si>
    <t>THE WASHINGTON COUNTY SHERIFFS OFFICE WILL USE THIS UNIT ON THE SWAT TEAM FOR THE SNIPERS TO WORK NIGHT OPERATIONS.</t>
  </si>
  <si>
    <t xml:space="preserve">
Sales Order #: 2290578971
RTD Screening Code: DOD
Reason for Rejection: Y9</t>
  </si>
  <si>
    <t>2YTM9261562748</t>
  </si>
  <si>
    <t>THE TREMPEALEAU COUNTY SHERIFF'S OFFICE IS REQUESTING THE NIGHT VISION SCOPE FOR OUR EMERGENCY RESPONSE TEAM SNIPERS. WE CURRENTLY DO NOT HAVE NIGHT VISION CAPABILITY WITH OUR SNIPERS AND THIS WOULD INCREASE SAFETY FOR OUR COUNTY. I CONTACTED DLA DS BARSTOW WHO CONFIRMED THE CONDITION AND WE ACCEPT THAT.</t>
  </si>
  <si>
    <t xml:space="preserve">
Sales Order #: 2290524810
RTD Screening Code: DOD
Reason for Rejection: Y9</t>
  </si>
  <si>
    <t>2YTLXY61562751</t>
  </si>
  <si>
    <t>THIS ITEM WILL BE UTILIZED BY THE ONEIDA COUNTY SHERIFF'S OFFICE AND WILL HOPEFULLY BE FITTED WITH A SCOOP OR OTHER SNOW MOVING ATTACHMENT TO ASSIST WITH SNOW REMOVAL DURING WINTER MONTHS.</t>
  </si>
  <si>
    <t>2YT13N61562832</t>
  </si>
  <si>
    <t>THIS VEHICLE WILL BE UTILIZED BY THE ONEIDA COUNTY SHERIFF'S OFFICE FOR TRANSPORT OF PERSONNEL AND EQUIPMENT AROUND SHERIFF'S OFFICE PROPERTIES AS WELL AS SUPPORT FOR SEARCH AND RESCUE OPERATIONS.</t>
  </si>
  <si>
    <t>2YT13N61422810</t>
  </si>
  <si>
    <t>THE CAMPBELL POLICE DEPARTMENT WOULD USE THIS ALL TERRAIN VEHICLE FOR SEARCH AND RESCUE AS WELL AS PATROL FOR COMMUNITY EVENTS.</t>
  </si>
  <si>
    <t>2YTBW161422230</t>
  </si>
  <si>
    <t>CAMPBELL POLICE DEPT (2YTBW1)</t>
  </si>
  <si>
    <t xml:space="preserve">
Sales Order #: 2289097707
Reason for Rejection: YG</t>
  </si>
  <si>
    <t>2YTRTP61350895</t>
  </si>
  <si>
    <t>THE JACKSON COUNTY SHERIFF'S OFFICE WILL USE THIS OPTIC TO INCREASE THE EFFECTIVENESS OF A SWORN DEPUTY WHEN THEY DEPLOY THEIR PATROL RIFLE TO PROTECT THE PUBLIC OR STOP A THREAT. HAVING AN OPTIC WILL DECREASE THE LIKELIHOOD OF ROUNDS GOING OFF TARGET THUS REDUCING THE CHANCES OF UNINTENDED HARM.</t>
  </si>
  <si>
    <t xml:space="preserve">
Sales Order #: 2289117944
RTD Screening Code: DOD
Reason for Rejection: Y9</t>
  </si>
  <si>
    <t>2YTFUS61631023</t>
  </si>
  <si>
    <t>THE TREMPEALEAU COUNTY SHERIFF'S OFFICE IS REQUESTING 20 ILLUMINATORS. THESE ILLUMINATORS WILL BE MOUNTED TO THE RIFLES OF OUR TACTICAL TEAM MEMBERS AND USED IN TACTICAL SITUATIONS. THESE WILL ENHANCE THE SAFETY OF OUR TEAM BY BEING ABLE TO MOVE THROUGH THE DARK SAFER WITH OUR NIGHT VISION BY USING THE ILLUMINATORS TO NAVIGATE. THEY WILL ALSO ALLOW FOR US TO IDENTIFY TARGETS AND ILLUMINATE OBJECTS SO ONLY TEAM MEMBERS CAN SEE. WE CURRENTLY DO NOT HAVE ANY ILLUMINATORS TO ASSIST US.</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</si>
  <si>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 needs to be in the justification comment box.</t>
  </si>
  <si>
    <t>2YTLXY61422050</t>
  </si>
  <si>
    <t>LESOHQ</t>
  </si>
  <si>
    <t>THE AUGUSTA POLICE DEPARTMENT WOULD USE THIS ATV TO REPLACE A PREVIOUSLY REQUISITIONED ATV THAT SUFFERED A TRANSMISSION FAILURE.</t>
  </si>
  <si>
    <t>ALLOCATION:  LESO HQ has deemed that this property is not needed based on the property the agency already has on their books. Even without the non-functioning ATV the LEA already has a 1 for 1 count of like items based on the officer count.</t>
  </si>
  <si>
    <t>2YTRJ561421323</t>
  </si>
  <si>
    <t>THE TREMPEALEAU COUNTY SHERIFF'S OFFICE IS REQUESTING THE PACKS TO BE USED BY OUR DEPUTIES AND ERT MEMBERS FOR GEAR STORAGE AND QUICK RESPONSE BAGS. THEY WILL GIVE US INCREASED ABILITY TO HAVE THE EQUIPMENT WE NEED ON CALLS QUICKER AND MORE EFFECTIVELY.</t>
  </si>
  <si>
    <t xml:space="preserve">
Sales Order #: 2286983714
RTD Screening Code: DOD
Reason for Rejection: YG</t>
  </si>
  <si>
    <t>2YTLXY61008140</t>
  </si>
  <si>
    <t>WE ARE REQUESTING TWO CLEARING BARRELS FOR USE BY ALL SWORN SHERIFF'S DEPUTIES IN OUR GUN-CLEANING AREAS.</t>
  </si>
  <si>
    <t>CYCLE: This item has moved into the unapproved General Services Administration GSA cycle and cannot be approved to LESO customers.</t>
  </si>
  <si>
    <t>CLEARING BARREL,PED</t>
  </si>
  <si>
    <t>2YTKKS61259689</t>
  </si>
  <si>
    <t>SAINT CROIX COUNTY SHERIFFS OFFICE (2YTKKS)</t>
  </si>
  <si>
    <t>LAW ENFORCEMENT USE</t>
  </si>
  <si>
    <t>2YTFUS61630971</t>
  </si>
  <si>
    <t>LEA</t>
  </si>
  <si>
    <t>THE NORWALK POLICE DEPARTMENT WOULD UTILIZE THIS PIECE OF EQUIPMENT TO ADD DIRT TO THE DEPARTMENT'S FIREARM RANGE BACKSTOP.</t>
  </si>
  <si>
    <t xml:space="preserve">
Sales Order #: 2288244187
RTD Screening Code: DOD
Reason for Rejection: Y9</t>
  </si>
  <si>
    <t>2YTQZD61219599</t>
  </si>
  <si>
    <t>THE WASHINGTON COUNTY SHERIFFS OFFICE WOULD USE THIS UNIT FOR THE SWAT TEAM DURING BARRICADE INCIDENTS. THE SHERIFFS  OFFICE MULTI JURISDICTION MOBILE FIELD FORCE TEAM WOULD ALSO USE THIS UNIT DURING CIVIL UNREST.</t>
  </si>
  <si>
    <t xml:space="preserve">
Sales Order #: 2288682542
RTD Screening Code: DOD
Reason for Rejection: BQ</t>
  </si>
  <si>
    <t>2YTM9261210423</t>
  </si>
  <si>
    <t>THE DEA HAS A TACTICAL TEAM OF AGENTS THAT SERVE SUBPOENAS TO THE WORST ACCUSED IN ALL TYPES OF ENVIRONMENTS. THIS EQUIPMENT IS TO GIVE AGENTS AN ADVANTAGE TO BETTER ENABLE THEM TO COMPLETE THE OPERATION SAFETY. LEA HAS CONFIRMED THE SITE HAS BEEN CONTACTED AND ACCEPTED CONDITION OF PROPERTY.</t>
  </si>
  <si>
    <t xml:space="preserve">
Sales Order #: 2287833391
RTD Screening Code: DOD
Reason for Rejection: Y9</t>
  </si>
  <si>
    <t>2YTRTP61149011</t>
  </si>
  <si>
    <t>THESE GLOVES WILL PROVIDE A LAYER OF PROTECTION TO THE HANDS OF ACSO STAFF DURING INCLEMENT WEATHER.</t>
  </si>
  <si>
    <t xml:space="preserve">
Sales Order #: 2287640280
RTD Screening Code: DOD
Reason for Rejection: Y9</t>
  </si>
  <si>
    <t>2YTA0M61148871</t>
  </si>
  <si>
    <t>ASHLAND COUNTY SHERIFF DEPT (2YTA0M)</t>
  </si>
  <si>
    <t>THIS EQUIPMENT IS NEEDED FOR OPERATIONAL USE IN CONJUNCTION WITH NIGHT VISION APPARATUS'S DURING THE APPREHENSION OF HIGH VALUE TARGET. LEA TO CONFIRM AND ACCEPTE CONDITION OF DEVICE. LEA HAS CONFIRMED THE SITE HAS BEEN CONTACTED AND ACCEPTED CONDITION OF PROPERTY. LEA HAS CONFIRMED THE SITE HAS BEEN CONTACTED AND ACCEPTED CONDITION OF PROPERTY</t>
  </si>
  <si>
    <t xml:space="preserve">
Sales Order #: 2287729141
RTD Screening Code: DOD
Reason for Rejection: Y9</t>
  </si>
  <si>
    <t>2YTRTP61078525</t>
  </si>
  <si>
    <t>2YTFUS61079153</t>
  </si>
  <si>
    <t>2YTFUS61079152</t>
  </si>
  <si>
    <t>2YTFUS61079151</t>
  </si>
  <si>
    <t>LAW ENFORCEMENT USE.</t>
  </si>
  <si>
    <t>2YTFUS61079150</t>
  </si>
  <si>
    <t>THE WAUKESHA POLICE DEPARTMENT TACTICAL UNIT IS IN NEED OF THESE ITEMS TO ENHANCE OFFICER SAFETY DURING LOW LIGHT OPERATIONS TO INCLUDE SEARCH AND RESCUE, HOSTAGE RESCUE, COUTER TERRORISM OPERATIONS, AND OTHER INCIDENTS THAT THREATEN THE GENERAL PUBLIC AT NIGHT. I HAVE REACHED OUT TO THE SITE AND ACCEPT THE CONDITION THE ITEMS ARE CURRENTLY IN. IF WE CANNOT RECEIVE 8 ITEMS WE WOULD LIKE 6.</t>
  </si>
  <si>
    <t xml:space="preserve">
Sales Order #: 2287163684
RTD Screening Code: DOD
Reason for Rejection: Y9</t>
  </si>
  <si>
    <t>2YTNCL61078404</t>
  </si>
  <si>
    <t>THE WASHINGTON COUNTY SHERIFFS OFFICE WI WOULD USE THIS UNIT AT THE COUNTY FAIR FOR DEPUTIES TO RESPOND TO INCIDENTS AND AT PARADES IN THE SAME CAPACITY. THE UNIT WOULD BE AVAILABLE FOR SEARCH AND RESCUE OPERATIONS AND ALSO WOULD GET USED BY THE SHERIFFS OFFICE MULTI JURISDICTIONAL SWAT TEAM FOR WOODLAND AND RURAL OPERATIONS.</t>
  </si>
  <si>
    <t xml:space="preserve">
Sales Order #: 2287150379
RTD Screening Code: DOD
Reason for Rejection: YH</t>
  </si>
  <si>
    <t>2YTM9261078226</t>
  </si>
  <si>
    <t>THE WASHINGTON COUNTY SHERIFFS OFFICE, WI WOULD USE THIS UNIT AT THE COUNTY FAIR FOR DEPUTIES TO RESPOND TO INCIDENTS AND AT PARADES IN THE SAME CAPACITY. THE UNIT WOULD BE AVAILABLE FOR SEARCH AND RESCUE OPERATIONS AND ALSO WOULD GET USED BY THE SHERIFFS OFFICE MULTI JURISDICTIONAL SWAT TEAM FOR WOODLAND AND RURAL OPERATIONS.</t>
  </si>
  <si>
    <t xml:space="preserve">
Sales Order #: 2287150389
RTD Screening Code: DOD
Reason for Rejection: YH</t>
  </si>
  <si>
    <t>2YTM9261078223</t>
  </si>
  <si>
    <t>EQUIPMENT IS NEEDED TO HELP MAINTAIN TOP PHYSICAL FITNESS DURING THE APPREHENSION OF HIGH VALUE TARGET. LEA HAS CON??RMED THE SITE HAS BEEN CONTACTED AND ACCEPTED CONDITION OF PROPERTY.</t>
  </si>
  <si>
    <t>DUMBELL</t>
  </si>
  <si>
    <t>DSDUMBBEL</t>
  </si>
  <si>
    <t>2YTRTP61078779</t>
  </si>
  <si>
    <t>THIS EQUIPMENT IS NEEDED FOR OPERATIONAL USE IN CONJUNCTION WITH NIGHT VISION APPARATUS'S DURING THE APPREHENSION OF HIGH VALUE TARGET.  LEA TO CONFIRM AND ACCEPTE CONDITION OF DEVICE. LEA HAS CONFIRMED THE SITE HAS BEEN CONTACTED AND ACCEPTED CONDITION OF PROPERTY</t>
  </si>
  <si>
    <t xml:space="preserve">
Sales Order #: 2287229025
RTD Screening Code: DOD
Reason for Rejection: Y9</t>
  </si>
  <si>
    <t>2YTRTP61007952</t>
  </si>
  <si>
    <t>THE WAUKESHA POLICE DEPARTMENT NEEDS THESE ITEMS TO ENHANCE OFFICER SAFETY DURING LOW LIGHT AND NIGHT TIME OPERATIONS TO INCLUDE, SEARCH AND RESCUE, HOSTAGE RESCUE, COUNTER TERRORISM, AND OTHER OPERATIONS THAT POSE A THREAT TO THE GENERAL PUBLIC AT NIGHT. I HAVE REACHED OUT TO THE SITE AND ACCEPT THE CONDITION OF THE ITEMS. I REQUESTED 8, BUT WOULD NEED AT LEAST 6.</t>
  </si>
  <si>
    <t xml:space="preserve">
Sales Order #: 2287254163
RTD Screening Code: DOD
Reason for Rejection: Y9</t>
  </si>
  <si>
    <t>2YTNCL61078406</t>
  </si>
  <si>
    <t>THE CAMPBELL POLICE DEPARTMENT WOULD USE THIS ATV FOR SEARCH AND RESCUE OPERATIONS, TRAINING, AND COMMUNITY EVENTS.</t>
  </si>
  <si>
    <t>2YTBW161078478</t>
  </si>
  <si>
    <t>THIS ITEM WILL BE UTILIZED BY THE ONEIDA COUNTY SHERIFF'S OFFICE TO DESTROY DOCUMENTS CONTAINING SENSITIVE INFORMATION. IT IS IMPORTANT FOR SENSITIVE INFORMATION TO BE DESTROYED WHEN DISCARDING PAPER DOCUMENTS.</t>
  </si>
  <si>
    <t xml:space="preserve">
Sales Order #: 2287033084
RTD Screening Code: DOD
Reason for Rejection: Y9</t>
  </si>
  <si>
    <t>2YT13N60937953</t>
  </si>
  <si>
    <t>THE COLUMBUS POLICE DEPARTMENT WILL ISSUE THESE TO OFFICERS FOR TRAINING AND USE DURING CALLS WHICH MAY REQUIRE EYE PROTECTION. THIS WOULD INCLUDE BUT NOT LIMITED TO ACTIVE THREATS OR NATURAL DISASTERS.</t>
  </si>
  <si>
    <t xml:space="preserve">
Sales Order #: 2286802337
RTD Screening Code: DOD
Reason for Rejection: Y9</t>
  </si>
  <si>
    <t>2YTCPL61007548</t>
  </si>
  <si>
    <t>COLUMBUS POLICE DEPARTMENT (2YTCPL)</t>
  </si>
  <si>
    <t>TO BE USED BY THE GRAYS HARBOR COUNTY SHERIFFS OFFICE AND TRAINED AND CERTIFIED OPERATORS FOR EMERGENCY AND TACTICAL SITUATIONS.</t>
  </si>
  <si>
    <t>2YTESP61914962</t>
  </si>
  <si>
    <t>TO BE USED BY THE GRAYS HARBOR COUNTY SHERIFFS OFFICE FOR DUTY USE THAT MAY INCLUDE BREACHING KITS FOR PATROL DEPUTIES</t>
  </si>
  <si>
    <t>HAMMER,HAND</t>
  </si>
  <si>
    <t>2YTESP61774660</t>
  </si>
  <si>
    <t>TO BE USED BY THE GRAYS HARBOR SHERIFFS OFFICE BY ARMORERS AND OTHER MECHANICAL NEEDS</t>
  </si>
  <si>
    <t xml:space="preserve">
Sales Order #: 2292085449
RTD Screening Code: DOD
Reason for Rejection: Y9</t>
  </si>
  <si>
    <t>2YTESP61774508</t>
  </si>
  <si>
    <t xml:space="preserve">OUR AGENCY NEEDS THIS EQUIPMENT.  WILL BE USED BY REQUESTING AGENCY FOR LAW ENFORCEMENT PURPOSES ONLY.  WILL BE ISSUED TO POLICE OFFICERS AND DEPARTMENT OFFICE STAFF FOR DAILY MAINTENANCE TASKS AT THE STATION AND FOR PATROL VEHICLES.
</t>
  </si>
  <si>
    <t>2YTHYA61774586</t>
  </si>
  <si>
    <t>OUR AGENCY NEEDS THIS EQUIPMENT.  WILL BE USED BY REQUESTING AGENCY FOR LAW ENFORCEMENT PURPOSES ONLY.  WILL BE ISSUED TO POLICE OFFICERS AND DEPARTMENT PERSONNEL FOR DARK ENVIRONMENT OPERATIONS IN THE FIELD AND INSIDE DEPARTMENT BUILDINGS.</t>
  </si>
  <si>
    <t>LIGHT SET,GENERAL I</t>
  </si>
  <si>
    <t>2YTHYA61764601</t>
  </si>
  <si>
    <t>ACQUIRING ANPEQ15 SIGNIFICANTLY IMPROVES NIGHT VISION EFFICACY DURING LOW LIGHT ENFORCEMENT ACTIONS. THESE DEVICES EMIT BOTH VISIBLE AND INFRARED LASERS, ALLOWING AGENTS EQUIPPED WITH NIGHT VISION GOGGLES TO RAPIDLY ACQUIRE THREATS AND COORDINATE FIELDS OF FIRE WITHOUT EXPOSING THEIR POSITIONS TO HOSTILE, ARMED TRAFFICKING NETWORKS. UTILIZING THIS DEFENSE SURPLUS ENSURES FISCAL RESPONSIBILITY BY EQUIPPING FEDERAL AGENTS WITH FIELD PROVEN GEAR.</t>
  </si>
  <si>
    <t>2YTQWZ61774395</t>
  </si>
  <si>
    <t>DOJ/DEA SEATTLE DIVISION (2YTQWZ)</t>
  </si>
  <si>
    <t>TO BE USED BY THE GRAYS HARBOR SHERIFFS OFFICE TO STORE AND TRANSPORT EQUIPMENT</t>
  </si>
  <si>
    <t>CYCLE - property in GSA cycle.</t>
  </si>
  <si>
    <t>2YTESP61754503</t>
  </si>
  <si>
    <t xml:space="preserve">
Sales Order #: 2291873263
RTD Screening Code: GSA
Reason for Rejection: YG</t>
  </si>
  <si>
    <t>2YTESP61684078</t>
  </si>
  <si>
    <t xml:space="preserve">
Sales Order #: 2291873284
RTD Screening Code: GSA
Reason for Rejection: YG</t>
  </si>
  <si>
    <t>2YTESP61684068</t>
  </si>
  <si>
    <t>TO BE USED BY THE GRAYS HARBOR COUNTY SHERIFFS OFFICE FOR EQUIPMENT TRANSPORT AND OR STORAGE</t>
  </si>
  <si>
    <t xml:space="preserve">
Sales Order #: 2291873304
RTD Screening Code: GSA
Reason for Rejection: YG</t>
  </si>
  <si>
    <t>2YTESP61684065</t>
  </si>
  <si>
    <t>OUR AGENCY NEEDS THIS EQUIPMENT. WILL BE USED FOR LAW ENFORCEMENT PURPOSES ONLY. WILL BE ISSUED TO OUR FIREARMS UNIT FOR MAINTENANCE OF OUR FIREARMS.</t>
  </si>
  <si>
    <t xml:space="preserve">
Sales Order #: 2289999611
RTD Screening Code: DOD
Reason for Rejection: YG</t>
  </si>
  <si>
    <t>2YTHYA61491860</t>
  </si>
  <si>
    <t>WILL BE ISSUED FOR EITHER TRAINING OR SELF CARE OR TO HELP THE PUBLIC</t>
  </si>
  <si>
    <t xml:space="preserve">
Sales Order #: 2290373602
RTD Screening Code: DOD
Reason for Rejection: YG</t>
  </si>
  <si>
    <t>2YTESP61562408</t>
  </si>
  <si>
    <t>ISSUED TO DEPUTIES FOR STORAGE IN THEIR PATROL VEHICLES</t>
  </si>
  <si>
    <t xml:space="preserve">
Sales Order #: 2290373583
RTD Screening Code: DOD
Reason for Rejection: YG</t>
  </si>
  <si>
    <t>2YTESP61562426</t>
  </si>
  <si>
    <t>ISSUED TO DEPUTIES FOR STORAGE IN PATROL VEHICLE</t>
  </si>
  <si>
    <t xml:space="preserve">
Sales Order #: 2290373580
RTD Screening Code: DOD
Reason for Rejection: YG</t>
  </si>
  <si>
    <t>2YTESP61562425</t>
  </si>
  <si>
    <t>TO BE USED IN OUR CORRECTIONAL FACILITY OR FOR WEAPON CLEANING</t>
  </si>
  <si>
    <t xml:space="preserve">
Sales Order #: 2290373578
RTD Screening Code: DOD
Reason for Rejection: YG</t>
  </si>
  <si>
    <t>2YTESP61562420</t>
  </si>
  <si>
    <t>OUR AGENCY NEEDS THIS EQUIPMENT.  WILL BE USED BY REQUESTING AGENCY FOR LAW ENFORCEMENT PURPOSES ONLY.  WILL BE ISSUED TO POLICE OFFICERS - SWAT MEMBERS FOR DUTY USE DURING DUSTY, HAZARDOUS OPERATIONS.</t>
  </si>
  <si>
    <t xml:space="preserve">
Sales Order #: 2290919730
RTD Screening Code: DOD
Reason for Rejection: Y9</t>
  </si>
  <si>
    <t>2YTHYA61633223</t>
  </si>
  <si>
    <t>FOR USE BY SHERIFF'S OFFICE TO AID IN THE MAINTENANCE OF GENERATOR SYSTEMS.</t>
  </si>
  <si>
    <t>In GSA cycle</t>
  </si>
  <si>
    <t>LOAD BANK,ELECTRICA</t>
  </si>
  <si>
    <t>2YTF7N61563327</t>
  </si>
  <si>
    <t>SMALL DIGITAL CAMERAS.  FOR USE BY SHERIFF'S OFFICE PERSONNEL TO DOCUMENT CRIME SCENES AND OTHER INCIDENTS.</t>
  </si>
  <si>
    <t>In GSA Cycle</t>
  </si>
  <si>
    <t>2YTF7N61563325</t>
  </si>
  <si>
    <t>TO BE USED BY THE GRAYS HARBOR COUNTY SHERIFF'S OFFICE TO SAFELY STORE AND PROTECT EQUIPMENT FOR DEPARTMENTAL USE.</t>
  </si>
  <si>
    <t>2YTESP61543250</t>
  </si>
  <si>
    <t>2YTESP61543249</t>
  </si>
  <si>
    <t>TO BE USED BY THE GRAYS HARBOR COUNTY SHERIFF'S OFFICE TO SAFELY STORE EQUIPMENT FOR DEPARTMENTAL USE.</t>
  </si>
  <si>
    <t>2YTESP61543245</t>
  </si>
  <si>
    <t>2YTESP61543244</t>
  </si>
  <si>
    <t>2YTESP61543243</t>
  </si>
  <si>
    <t>TO BE USED BY THE GRAYS HARBOR COUNTY SHERIFF'S OFFICE TO ISSUE TO DEPUTIES FOR PATROL USE TO SAFELY PERFORM THEIR DUTIES.</t>
  </si>
  <si>
    <t>2YTESP61543241</t>
  </si>
  <si>
    <t>ISSUED TO DEPUTIES TO BE USED IN CRITICAL INCIDENTS</t>
  </si>
  <si>
    <t xml:space="preserve">
Sales Order #: 2290389850
RTD Screening Code: DOD
Reason for Rejection: YG</t>
  </si>
  <si>
    <t>2YTESP61472428</t>
  </si>
  <si>
    <t>ISSUED TO DEPUTIES TO ASSIST IN CRITICAL INCIDENTS SUCH AS VIOLENT INTRUDERS</t>
  </si>
  <si>
    <t xml:space="preserve">
Sales Order #: 2290373605
RTD Screening Code: DOD
Reason for Rejection: YG</t>
  </si>
  <si>
    <t>2YTESP61472423</t>
  </si>
  <si>
    <t>KITS WOULD BE ISSUED TO DEPUTIES TO BE USED IN THE FIELD OR FOR TRAINING PURPOSES. THESE COULD BE USED TO HELP TRAIN DEPUTIES AND HELP THE PUBLIC AS WELL.</t>
  </si>
  <si>
    <t xml:space="preserve">
Sales Order #: 2290313467
RTD Screening Code: GSA
Reason for Rejection: YG</t>
  </si>
  <si>
    <t>2YTESP61422232</t>
  </si>
  <si>
    <t>USED FOR TRAINING PURPOSES AND PRESENTATIONS.</t>
  </si>
  <si>
    <t xml:space="preserve">
Sales Order #: 2290313470
RTD Screening Code: GSA
Reason for Rejection: YG</t>
  </si>
  <si>
    <t>PROJECTOR,MULTIMEDIA</t>
  </si>
  <si>
    <t>2YTESP61422231</t>
  </si>
  <si>
    <t>POSSIBLE USE WITHIN THE SHERIFF'S OFFICE FOR INVESTIGATIVE PURPOSES AND OR RECRUITMENT.</t>
  </si>
  <si>
    <t xml:space="preserve">
Sales Order #: 2290329623
RTD Screening Code: GSA
Reason for Rejection: YG</t>
  </si>
  <si>
    <t>VIDEO RECORDING AND REPRODUCING EQUIPMEN</t>
  </si>
  <si>
    <t>DSVIDEORE</t>
  </si>
  <si>
    <t>2YTESP61422228</t>
  </si>
  <si>
    <t>OUR AGENCY NEEDS THIS EQUIPMENT. WILL BE USED FOR LAW ENFORCEMENT PURPOSES ONLY. WILL BE ISSUED TO POLICE OFFICERS-SWAT MEMBERS FOR RIFLE SUPPRESSION.</t>
  </si>
  <si>
    <t xml:space="preserve">
Sales Order #: 2289999609
RTD Screening Code: DOD
Reason for Rejection: YG</t>
  </si>
  <si>
    <t>SUPPRESSOR,FLASH</t>
  </si>
  <si>
    <t>2YTHYA61421866</t>
  </si>
  <si>
    <t>OUR AGENCY NEEDS THIS EQUIPMENT. WILL BE USED FOR LAW ENFORCEMENT PURPOSES ONLY. WILL BE ISSUED TO OFFICERS FOR PATROL RIFLE EQUIPMENT.</t>
  </si>
  <si>
    <t xml:space="preserve">
Sales Order #: 2289999589
RTD Screening Code: DOD
Reason for Rejection: YG</t>
  </si>
  <si>
    <t>SKU,LEUPOLD,3.5,LR</t>
  </si>
  <si>
    <t>2YTHYA61421864</t>
  </si>
  <si>
    <t>OUR AGENCY NEEDS THIS EQUIPMENT. WILL BE USED FOR LAW ENFORCEMENT PURPOSES ONLY. WILL BE ISSUED TO POLICE OFFICERS - SNIPER TEAM FOR WEAPON SUPPRESSION.</t>
  </si>
  <si>
    <t xml:space="preserve">
Sales Order #: 2289999608
RTD Screening Code: DOD
Reason for Rejection: YG</t>
  </si>
  <si>
    <t>2YTHYA61421863</t>
  </si>
  <si>
    <t>OUR AGENCY NEEDS THIS EQUIPMENT. WILL BE USED FOR LAW ENFORCEMENT PURPOSES ONLY. WILL BE STORED IN THE POLICE DEPARTMENT FOR WEAPONS CLEARING.</t>
  </si>
  <si>
    <t xml:space="preserve">
Sales Order #: 2289999594
RTD Screening Code: DOD
Reason for Rejection: Y9</t>
  </si>
  <si>
    <t>WEAPONS WASHER</t>
  </si>
  <si>
    <t>2YTHYA61491865</t>
  </si>
  <si>
    <t>OUR AGENCY NEEDS THIS EQUIPMENT. WILL BE USED FOR LAW ENFORCEMENT PURPOSES ONLY. WILL BE ISSUED TO POLICE OFFICERS - SWAT MEMBERS FOR STORAGE OF ASSIGNED GEAR.</t>
  </si>
  <si>
    <t xml:space="preserve">
Sales Order #: 2289999597
RTD Screening Code: DOD
Reason for Rejection: Y9</t>
  </si>
  <si>
    <t>2YTHYA61401859</t>
  </si>
  <si>
    <t>FOR USE BY THE MILTON POLICE DEPARTMENT TO SUPPLY TO OFFICERS WHEN TRAVELLING OUT OF STATE TO PROTECT EQUIPMENT AND GEAR WHILE FLYING, ENSURING THAT THE DEPARTMENT DOES NOT INCUR ANY LOSSES OF DEPARTMENT PROPERTY.</t>
  </si>
  <si>
    <t xml:space="preserve">
Sales Order #: 2289999614
RTD Screening Code: DOD
Reason for Rejection: Y9</t>
  </si>
  <si>
    <t>2YTHST61401984</t>
  </si>
  <si>
    <t>MILTON POLICE DEPT (2YTHST)</t>
  </si>
  <si>
    <t>OUR AGENCY NEEDS THIS EQUIPMENT. WILL BE USED FOR LAW ENFORCEMENT PURPOSES ONLY. WILL BE ISSUED TO OFFICERS FOR WEAPONS CLEANING AND OTHER USES.</t>
  </si>
  <si>
    <t>BROOMS, BRUSHES, MOPS, SPONGES</t>
  </si>
  <si>
    <t>DSBROOMBR</t>
  </si>
  <si>
    <t>2YTHYA61491862</t>
  </si>
  <si>
    <t>ROLLING TOOLBOXES.  TO BE USED BY SHERIFF'S DEPUTIES TO STORE TOOLS AND EQUIPMENT.  WILL AID IN MAINTENANCE AND STORAGE OF EQUIPMENT.</t>
  </si>
  <si>
    <t xml:space="preserve">
Sales Order #: 2289544618
RTD Screening Code: DOD
Reason for Rejection: Y9</t>
  </si>
  <si>
    <t>2YTF7N61421303</t>
  </si>
  <si>
    <t>FOR USE BY THE MILTON POLICE DEPARTMENT SWAT TEAM SNIPERS TO BE ABLE TO SAFELY AND EFFECTIVELY DEPLOY ON NIGHT MISSIONS. THIS WILL ALLOW THE TEAM TO CORRECTLY IDENTIFY SUBJECTS AT NIGHT WHILE MAINTAINING SAFETY. CONFIRMED STATUS AND CONDITION WITH SUSQUEHANNA. WE ACCEPT STATUS AND CONDITION.</t>
  </si>
  <si>
    <t xml:space="preserve">
Sales Order #: 2289564970
RTD Screening Code: DOD
Reason for Rejection: Y9</t>
  </si>
  <si>
    <t>2YTHST61421436</t>
  </si>
  <si>
    <t>FOR USE BY THE MILTON POLICE DEPARTMENT SWAT TEAM SNIPERS TO BE ABLE TO WORK IN NIGHT CONDITIONS AND STILL EFFECTIVELY LOCATE AND PROPERLY IDENTIFY SUBJECTS. CONFIRMED STATUS AND CONDITION WITH RILEY. WE ACCEPT STATUS AND CONDITION.</t>
  </si>
  <si>
    <t xml:space="preserve">
Sales Order #: 2289358035
RTD Screening Code: DOD
Reason for Rejection: Y9</t>
  </si>
  <si>
    <t>2YTHST61350995</t>
  </si>
  <si>
    <t>FOR USE BY THE MILTON POLICE DEPARTMENT FOR TRANSPORTING EVIDENCE AND OTHER LARGE ITEMS THAT WILL NOT FIT IN DEPARTMENT PATROL VEHICLES.</t>
  </si>
  <si>
    <t xml:space="preserve">
Sales Order #: 2289338541
RTD Screening Code: DOD
Reason for Rejection: Y9</t>
  </si>
  <si>
    <t>2YTHST61350910</t>
  </si>
  <si>
    <t>SMALL FORKLIFT, TO BE USED BY SHERIFF'S OFFICE PERSONNEL.  WILL BE USED TO LOAD AND UNLOAD HEAVY ITEMS SUCH AS PALLETS OF FLARES.  WILL ALSO BE USED TO MOVE TRAILERS.</t>
  </si>
  <si>
    <t xml:space="preserve">
Sales Order #: 2289443080
RTD Screening Code: DOD
Reason for Rejection: Y9</t>
  </si>
  <si>
    <t>2YTF7N61421319</t>
  </si>
  <si>
    <t>ATV, TO BE USED BY SHERIFF'S OFFICE DEPUTIES FOR ACCESSING ROADS AND TRAILS NOT DRIVEABLE BY FULL SIZE VEHICLES.  WILL SUPPORT SEARCH AND RESCUE AND TACTICAL TEAMS.</t>
  </si>
  <si>
    <t xml:space="preserve">
Sales Order #: 2287785602
RTD Screening Code: DOD
Reason for Rejection: Y9</t>
  </si>
  <si>
    <t>2YTF7N61219425</t>
  </si>
  <si>
    <t>FOR USE BY THE MILTON POLICE DEPARTMENT TO USE FOR DETECTIVES AS AN UNDERCOVER VEHICLE WHILE CONDUCTING SURVEILLANCE AND VEHICLE FOLLOWS FOR HIGH PRIORITY CASES INVOLVING VIOLENT AND DANGEROUS SUSPECTS.</t>
  </si>
  <si>
    <t xml:space="preserve">
Sales Order #: 2288159233
RTD Screening Code: DOD
Reason for Rejection: Y9</t>
  </si>
  <si>
    <t>VEHICLE,SPORT UTILITY,CLASS IV,LARGE 4X4</t>
  </si>
  <si>
    <t>2YTHST61219377</t>
  </si>
  <si>
    <t>NECESSARY TO STORE SERIALIZED ITEMS IN A SECURE LOCKER</t>
  </si>
  <si>
    <t>2YTTCT61078806</t>
  </si>
  <si>
    <t>DHS/ICE (2YTTCT)</t>
  </si>
  <si>
    <t>NECESSARY TO STORE SERIALIZED EQUIPMENT IN A LOCKABLE RACK</t>
  </si>
  <si>
    <t>2YTTCT61078805</t>
  </si>
  <si>
    <t>OUR AGENCY NEEDS THIS EQUIPMENT.  WILL BE USED BY REQUESTING AGENCY FOR LAW ENFORCEMENT PURPOSES ONLY.  WILL BE ISSUED TO POLICE OFFICERS AND DEPARTMENT OFFICE STAFF FOR DAILY WRITING TASKS AND DOCUMENTING INFORMATION.</t>
  </si>
  <si>
    <t xml:space="preserve">
Sales Order #: 2287640284
RTD Screening Code: DOD
Reason for Rejection: Y9</t>
  </si>
  <si>
    <t>MARKER ASSORTMENT,TUBE TYPE</t>
  </si>
  <si>
    <t>2YTHYA61148842</t>
  </si>
  <si>
    <t>FOR USE BY THE MILTON POLICE DEPARTMENT FOR THE TRANSPORTATION OF EVIDENCE ITEMS, AS WELL AS TRAINING EQUIPMENT TO AND FROM TRAINING VENUES, REDUCING THE AMOUNT OF VEHICLES NEEDED TO TRANSPORT EVIDENCE OR EQUIPMENT, AND MAKING THE DEPARTMENT MORE EFFICIENT AS A WHOLE.</t>
  </si>
  <si>
    <t xml:space="preserve">
Sales Order #: 2286616559
RTD Screening Code: DOD
Reason for Rejection: Y9</t>
  </si>
  <si>
    <t>2YTHST61078376</t>
  </si>
  <si>
    <t>THE PEND OREILLE COUNTY SHERIFF'S OFFICE REQUESTS IR ILLUMINATORS, TO ACCOMPANY EXISTING NIGHT VISION, TO PROVIDE ILLUMINATION FOR GROUND UNITS OPERATING IN WOODED OR RURAL AREAS WHERE VISIBILITY IS NEAR ZERO, ENHANCING SEARCH CAPABILITIES FOR MISSING PERSONS, BORDER SECURITY AND EMERGENCY SITUATIONS INVOLVING FEMA.</t>
  </si>
  <si>
    <t xml:space="preserve">
Sales Order #: 2287117692
RTD Screening Code: DOD
Reason for Rejection: Y9</t>
  </si>
  <si>
    <t>2YTJH461008101</t>
  </si>
  <si>
    <t>PEND OREILLE CSO (2YTJH4)</t>
  </si>
  <si>
    <t>THESE TWO TOOL KITS WILL BE ASSIGNED TO THE BOMB SQUAD TO ASSIST WITH MAINTENANCE, CONSTRUCTION, AND MITIGATION EFFORTS.</t>
  </si>
  <si>
    <t>2YTF9E61008589</t>
  </si>
  <si>
    <t>KITSAP COUNTY SHERIFF OFFICE (2YTF9E)</t>
  </si>
  <si>
    <t>FOR SEARCH AND RESCUE OPERATIONS AND FOR HIGH WATER RESCUE OPERATIONS FOR THE PIERCE COUNTY SHERIFF OFFICE SEARCH AND RESCUE AND SWIFTWATER TEAMS. IT WILL BE AVAILABLE FOR MULTIJURISDICTIONAL INCIDENTS.</t>
  </si>
  <si>
    <t xml:space="preserve">
Sales Order #: 2286590337
RTD Screening Code: DOD
Reason for Rejection: YG</t>
  </si>
  <si>
    <t>2YTJMP60867395</t>
  </si>
  <si>
    <t>PIERCE COUNTY SHERIFF DEPT (2YTJMP)</t>
  </si>
  <si>
    <t>THESE ITEMS WOULD BE USED FOR LAW ENFORCEMENT PURPOSES TO SECURE AN AREA FOR ADDITIONAL  OUTSIDE STORAGE TO  HOUSE CRITICAL EQUIPMENT USED FOR SAFETY AND SECURITY FOR THE PROTECTION OF THE COMMUNITY AND THE DEPARTMENT MEMBERS.</t>
  </si>
  <si>
    <t>2YTF7N61008106</t>
  </si>
  <si>
    <t>OUR AGENCY NEEDS THIS EQUIPMENT.  WILL BE USED BY REQUESTING AGENCY FOR LAW ENFORCEMENT PURPOSES ONLY.  WILL BE ISSUED TO POLICE OFFICERS - SWAT MEMBERS FOR DUTY USE WHILE OPERATING IN DARK ENVIRONMENTS WHILE UTILIZING ISSUED NIGHT VISION EQUIPMENT.</t>
  </si>
  <si>
    <t xml:space="preserve">
Sales Order #: 2287045323
RTD Screening Code: DOD
Reason for Rejection: Y9</t>
  </si>
  <si>
    <t>2YTHYA61008053</t>
  </si>
  <si>
    <t>FOR USE BY THE MILTON POLICE DEPARTMENT TO USE IN THE DEPARTMENT GYM SO THAT OFFICERS CAN MAINTAIN PHYSICAL FITNESS.</t>
  </si>
  <si>
    <t xml:space="preserve">
Sales Order #: 2286616565
RTD Screening Code: DOD
Reason for Rejection: Y9</t>
  </si>
  <si>
    <t>2YTHST61078349</t>
  </si>
  <si>
    <t>OUR AGENCY NEEDS THIS EQUIPMENT.  WILL BE USED BY REQUESTING AGENCY FOR LAW ENFORCEMENT PURPOSES ONLY.  WILL BE UTILIZED AT THE POLICE DEPARTMENT TO MAINTAIN SPARE PATROL VEHICLE BATTERIES WHILE NOT IN USE.</t>
  </si>
  <si>
    <t xml:space="preserve">
Sales Order #: 2282428284
RTD Screening Code: RTD2
Reason for Rejection: Y9</t>
  </si>
  <si>
    <t>2YTHYA60302077</t>
  </si>
  <si>
    <t xml:space="preserve">
Sales Order #: 2287117690
RTD Screening Code: DOD
Reason for Rejection: Y9</t>
  </si>
  <si>
    <t>2YTHYA60938095</t>
  </si>
  <si>
    <t>WASHINGTON COUNTY SHERIFF'S OFFICE IS A LAW ENFORCEMENT AGENCY IN THE STATE OF VIRGINIA. OUR AGENCY COULD USE THIS PICK-UP FOR PATROLS AND PRISONER TRANSPORTS. THIS VEHICLE WILL BE USED BY LAW ENFORCEMENT PERSONNEL.</t>
  </si>
  <si>
    <t xml:space="preserve">
Sales Order #: 2292026562
RTD Screening Code: DOD
Reason for Rejection: Y9</t>
  </si>
  <si>
    <t>2YTM9Q61844317</t>
  </si>
  <si>
    <t xml:space="preserve">
Sales Order #: 2292145722
RTD Screening Code: DOD
Reason for Rejection: Y9</t>
  </si>
  <si>
    <t>2YTM9Q61844313</t>
  </si>
  <si>
    <t>WASHINGTON COUNTY SHERIFF'S OFFICE IS A LAW ENFORCEMENT AGENCY IN THE STATE OF VIRGINIA. OUR AGENCY COULD USE THIS PICK-UP FOR PATROLING AND PRISONERS TRANSPORTS. THIS VEHICLE WILL BE USED BY LAW ENFORCEMENT PERSONNEL.</t>
  </si>
  <si>
    <t xml:space="preserve">
Sales Order #: 2292026566
RTD Screening Code: DOD
Reason for Rejection: Y9</t>
  </si>
  <si>
    <t>2YTM9Q61844303</t>
  </si>
  <si>
    <t>WE ARE SMALL LOCAL ENFORCEMENT AGENCY AND WOULD UTILIZE THESE ITEMS TO OUTFIT OUR OFFICERS WITH RIFLE MAGAZINES TO COMPLETE FAST RESPONSE VESTS ISSUED TO EACH UNIT. THESE ITEMS WILL BE USED BY SWORN OFFICERS ONLY.</t>
  </si>
  <si>
    <t xml:space="preserve">
Sales Order #: 2292145721
RTD Screening Code: DOD
Reason for Rejection: Y4</t>
  </si>
  <si>
    <t>2YTPML61844492</t>
  </si>
  <si>
    <t>THE CITY OF FRANKLIN POLICE DEPARTMENT IS A CERTIFIED LAW ENFORCEMENT AGENCY EMPLOYING 29 SWORN MEMBERS AND COVERING 9 SQUARE MILES WITH A POPULATION OF 8,300 CITIZENS. THE CAMERA FLASHES WILL BE GIVEN TO THE CRIME SCENE TECHNICIANS TO DOCUMENT CRIME SCENES AND ACCIDENTS.</t>
  </si>
  <si>
    <t>Rejected by ECG1611.  Comments: Unable to approve due to being in GSA cycle. .</t>
  </si>
  <si>
    <t>FLASH, CAMERA</t>
  </si>
  <si>
    <t>DSFLASH00</t>
  </si>
  <si>
    <t>2YTEBB61774570</t>
  </si>
  <si>
    <t>THE CITY OF FRANKLIN POLICE DEPARTMENT IS A CERTIFIED LAW ENFORCEMENT AGENCY EMPLOYING 29 SWORN MEMBERS AND COVERING 9 SQUARE MILES WITH A POPULATION OF 8,300 CITIZENS. THE CAMERAS WILL BE GIVEN TO THE CRIME SCENE TECHNICIANS TO ASSIST IN DOCUMENTING AND PROCESSING CRIME SCENES AND ACCIDENTS.</t>
  </si>
  <si>
    <t>2YTEBB61774568</t>
  </si>
  <si>
    <t>WASHINGTON COUNTY SHERIFF'S OFFICE IS A LAW ENFORCEMENT AGENCY IN THE STATE OF VIRGINIA. OUR AGENCY COULD USE THIS SUV FOR PATROLS AND PRISONER TRANSPORTS. THIS VEHICLE WILL BE USED BY LAW ENFORCEMENT PERSONNEL.</t>
  </si>
  <si>
    <t>No approved Tactical Vehicle Package on file for armored SUV.</t>
  </si>
  <si>
    <t>2YTM9Q61914754</t>
  </si>
  <si>
    <t>WASHINGTON COUNTY SHERIFF'S OFFICE IS A LAW ENFORCEMENT AGENCY IN THE STATE OF VIRGINIA. OUR AGENCY COULD USE THIS TRAILER FOR STORAGE OF TWO ATV'S AND WOULD BE BE ABLE TO TRANSPORT THEM IN A MINUTE NOTICE FOR A EMERGENCY CALL OUTS. THIS TRAILER WILL BE USED BY LAW ENFORCEMENT PERSONNEL.</t>
  </si>
  <si>
    <t>2YTM9Q61774600</t>
  </si>
  <si>
    <t>WASHINGTON COUNTY SHERIFF'S OFFICE IS A LAW ENFORCEMENT AGENCY IN THE STATE OF VIRGINIA. OUR AGENCY COULD USE THIS TRAILER FOR HAULING EQUIPMENT. THIS TRAILER WILL BE USED BY LAW ENFORCEMENT PERSONNEL.</t>
  </si>
  <si>
    <t xml:space="preserve">
Sales Order #: 2291480759
RTD Screening Code: DOD
Reason for Rejection: Y9</t>
  </si>
  <si>
    <t>2YTM9Q61773750</t>
  </si>
  <si>
    <t>THE CITY OF FRANKLIN POLICE DEPARTMENT IS A CERTIFIED LAW ENFORCEMENT AGENCY EMPLOYING 29 SWORN MEMBERS AND COVERING 9 SQUARE MILES WITH A POPULATION OF 8,300 CITIZENS. THE CAMERA FLASHES WILL BE GIVEN TO THE CRIME SCENE TECHS TO ASSIST THEM WITH PROCESSING CRIME SCENES AND PRESERVING EVIDENCE.</t>
  </si>
  <si>
    <t>Requisition Canceled.</t>
  </si>
  <si>
    <t>2YTEBB61774524</t>
  </si>
  <si>
    <t>USED FOR LAW ENFORCEMENT PURPOSES ONLY. USED TO MOVE PALLETS OF SUPPLIES AND VARIOUS RADIO EQUIPMENT USED FOR LAW ENFORCEMENT COMMUNICATIONS.</t>
  </si>
  <si>
    <t xml:space="preserve">
Sales Order #: 2291820818
RTD Screening Code: DOD
Reason for Rejection: Y9</t>
  </si>
  <si>
    <t>2YTM9Q61773909</t>
  </si>
  <si>
    <t>USED FOR LAW ENFORCEMENT PURPOSES ONLY. USED TO TRANSPORT LAW ENFORCEMENT VEHICLES, BICYCLES, AND ATV'S TO VARIOUS CALLS FOR LAW ENFORCEMENT SERVICES.</t>
  </si>
  <si>
    <t xml:space="preserve">
Sales Order #: 2291534916
RTD Screening Code: DOD
Reason for Rejection: Y9</t>
  </si>
  <si>
    <t>2YTM9Q61773904</t>
  </si>
  <si>
    <t xml:space="preserve">
Sales Order #: 2291480742
RTD Screening Code: DOD
Reason for Rejection: Y9</t>
  </si>
  <si>
    <t>2YTM9Q61773753</t>
  </si>
  <si>
    <t>REQUESTING THESE ITEMS TO SUPPLY AT LEAST ONE OFFICER ON EACH PATROL SHIFT WITH A MAGNIFIED OPTIC ON THEIR PATROL RIFLES. HAVING THE ABILITY FOR A ZOOMED VIEW IN CERTAIN SITUATIONS IS A BIG SAFETY ADDITION AS IT OFFICERS MAY BE ABLE TO DISCERN WEAPONS FROM OTHER ITEMS. ITEMS WOULD BE ISSUED ONLY TO SWORN DEPUTIES OF THE CARROLL COUNTY SHERIFF'S OFFICE TO BE USED FOR TRAINING AND DUTY PURPOSES.</t>
  </si>
  <si>
    <t>2YTB1G61774013</t>
  </si>
  <si>
    <t>DICKENSON COUNTY SHERIFF'S OFFICE IS A FULL-SERVICE LAW ENFORCEMENT AGENCY.  THIS ITEM WILL BE USED FOR MAINTENANCE OF DEPARTMENT VEHICLES AND EQUIPMENT.</t>
  </si>
  <si>
    <t xml:space="preserve">
Sales Order #: 2290796898
RTD Screening Code: DOD
Reason for Rejection: Y9</t>
  </si>
  <si>
    <t>2YTDCB61633056</t>
  </si>
  <si>
    <t>THE CITY OF FRANKLIN POLICE DEPARTMENT IS A CERTIFIED LAW ENFORCEMENT AGENCY EMPLOYING 29 SWORN MEMBERS AND COVERING 9 SQUARE MILES WITH A POPULATION OF 8,300 CITIZENS. THE SURVEILLANCE CAMERA WILL USE MOUNTED TO A TELEPHONE POLE AND USED AS AN OVERT SURVEILLANCE CAMERA IN AN AREA OF FRANKLIN THAT HAS SEEN AN UPTICK IN FIREARM RELATED OFFENSES RECENTLY.</t>
  </si>
  <si>
    <t>CAMERA SYSTEM,SURVEILLANCE</t>
  </si>
  <si>
    <t>2YTEBB61633605</t>
  </si>
  <si>
    <t>WASHINGTON COUNTY SHERIFF'S OFFICE IS A LAW ENFORCEMENT AGENCY LOCATED IN THE STATE OF VIRGINIA. OUR AGENCY COULD USE THIS EXCAVATOR TO LOAD EQUIPMENT, WORK ON FIRING RANGE, USE IN TIMES OF NATURAL DISASTERS TO REMOVE DEBRIS, AND LOAD AGGREGATES. THIS EQUIPMENT WOULD BE USED BY LAW ENFORCEMENT PERSONNEL ONLY.</t>
  </si>
  <si>
    <t xml:space="preserve">
Sales Order #: 2290545588
RTD Screening Code: DOD
Reason for Rejection: Y9</t>
  </si>
  <si>
    <t>EXCAVATOR,UTILITY,CRAWLER MOUNTED</t>
  </si>
  <si>
    <t>2YTM9Q61562427</t>
  </si>
  <si>
    <t>REQUESTING THESE ITEMS TO OUTFIT OUR SWAT TEAM AS WELL AS EXPAND OUR DEPARTMENTAL CAPABILITIES FOR CROWD AND RIOT CONTROL. THE ADDITION OF THE ITEMS WILL GREATLY IMPROVE OUR CAPABILITIES AND THE SAFETY OF OFFICERS AS WELL AS THE PEOPLE WE ARE DEALING WITH. TO BE ISSUED AND USED ONLY BY SWORN OFFICERS FOR TRAINING AND DUTY USE.</t>
  </si>
  <si>
    <t xml:space="preserve">
Sales Order #: 2290494766
RTD Screening Code: DOD
Reason for Rejection: Y9</t>
  </si>
  <si>
    <t>2YTB1G61562697</t>
  </si>
  <si>
    <t>TO BE USED BY DEPUTIES WITH THE RUSSELL COUNTY SHERIFF'S OFFICE TO HELP LIGHT SCENES OF NATURAL DISASTERS, RESCUE SITUATIONS, CRIME SCENES AND OTHER EVENTS THAT REQUIRE OUTDOOR LIGHTING THAT IS NOT READILY AVAILABLE.</t>
  </si>
  <si>
    <t xml:space="preserve">
Sales Order #: 2287883016
RTD Screening Code: DOD
Reason for Rejection: YG</t>
  </si>
  <si>
    <t>2YTKH161079197</t>
  </si>
  <si>
    <t>THIS ITEM WILL BE PRIMARILY USED WITH THE POLICE DEPARTMENTS SPECIAL RESPONSE TEAM. THE DRONE WILL ASSIST IN SEARCH WARRANTS, HOSTAGE RESCUE, BARRICADED SUBJECTS, SEARCHING FOR MISSING PERSONS, ETC.</t>
  </si>
  <si>
    <t>2YTJXL61422286</t>
  </si>
  <si>
    <t>PRINCE GEORGE POLICE DEPARTMENT (2YTJXL)</t>
  </si>
  <si>
    <t>2YTJXL61422285</t>
  </si>
  <si>
    <t>THE CITY OF FRANKLIN POLICE DEPARTMENT IS A CERTIFIED LAW ENFORCEMENT AGENCY EMPLOYING 29 SWORN MEMBERS AND COVERING 9 SQUARE MILES WITH A POPULATION OF 8,300 CITIZENS. THE PATROL BOAT WILL BE USED ON THE BLACKWATER RIVER TO ENFORCE MARITIME LAWS AS WELL AS PERFORM SEARCH AND RESCUE MISSIONS. FRANKLIN HAS A BOAT RAMP AND FISHING PIER THAT IS VERY POPULAR AMONGST THE CITIZENS AND THE POLICE DEPARTMENT RESPONDS THERE REGULARLY FOR PEOPLE FALLING IN THE WATER AND BOATING INCIDENTS.</t>
  </si>
  <si>
    <t xml:space="preserve">
Sales Order #: 2289486274
RTD Screening Code: DOD
Reason for Rejection: Y6</t>
  </si>
  <si>
    <t>2YTEBB61351192</t>
  </si>
  <si>
    <t>WASHINGTON COUNTY SHERIFF'S OFFICE IS A LAW ENFORCEMENT AGENCY IN THE STATE OF VIRGINIA. OUR AGENCY COULD USE THIS CRANE TO PICK-UP HEAVY EQUIPMENT AND MOVE IT ON AND OFF TRAILERS AS WE NEED TO. THIS CRANE WILL BE USED BY LAW ENFORCEMENT PERSONNEL.</t>
  </si>
  <si>
    <t>CRANES AND CRANE-SHOVELS</t>
  </si>
  <si>
    <t>DSCRANESH</t>
  </si>
  <si>
    <t>2YTM9Q61491797</t>
  </si>
  <si>
    <t>REQUESTING THESE ITEMS TO BE ABLE TO ADD TO AND SUPPLEMENT ITEMS FOR INDIVIDUAL OFFICERS OF THE CARROLL COUNTY SHERIFF'S OFFICE TO BE ABLE TO PROVIDE FIRST AID AND LIFESAVING CARE WHILE ON DUTY. ITEMS WOULD ONLY BE USED BY SWORN OFFICERS OF THE CARROLL COUNTY SHERIFF'S OFFICE. WE CURRENTLY HAVE 49 SWORN FULL TIME AND PART TIME OFFICERS AND THIS NUMBER WOULD PROVIDE FOR EVERY OFFICER AS WELL AS A KIT AVAILABLE IN OUR DISPATCH RECEIVING AREA, BOOKING, FIRING RANGE, COURT HOLDING AREA, PATROL ROOMS</t>
  </si>
  <si>
    <t xml:space="preserve">
Sales Order #: 2288443299
RTD Screening Code: GSA
Reason for Rejection: YG</t>
  </si>
  <si>
    <t>2YTB1G61219879</t>
  </si>
  <si>
    <t>WASHINGTON COUNTY SHERIFF'S OFFICE IS A LAW ENFORCEMENT AGENCY IN THE STATE OF VIRGINIA. OUR AGENCY COULD USE THIS TRAILER FOR CRIME SCENE INVESTIGATION'S AND PROCESSING EVIDENCE. THIS TRAILER WILL BE USED BY LAW ENFORCEMENT PERSONNEL.</t>
  </si>
  <si>
    <t xml:space="preserve">
Sales Order #: 2289337572
RTD Screening Code: DOD
Reason for Rejection: Y9</t>
  </si>
  <si>
    <t>2YTM9Q61350842</t>
  </si>
  <si>
    <t>WASHINGTON COUNTY SHERIFF'S OFFICE IS A LAW ENFORCEMENT AGENCY IN THE STATE OF VIRGINIA. OUR AGENCY COULD USE THIS SPEED BUGGY TO ALERT OUR CITIZENS OF THERE SPEED ON OUR COUNTY ROADS. THIS RADAR BUGGY WILL BE USED BY LAW ENFORCEMENT PERSONNEL.</t>
  </si>
  <si>
    <t xml:space="preserve">
Sales Order #: 2289358020
RTD Screening Code: DOD
Reason for Rejection: Y9</t>
  </si>
  <si>
    <t>2YTM9Q61350750</t>
  </si>
  <si>
    <t>WASHINGTON COUNTY SHERIFF'S OFFICE IS A LAW ENFORCEMENT AGENCY IN THE STATE OF VIRGINIA. OUR AGENCY COULD US THESE SPEED BUGGIES TO MAKE OUR CITIZENS AWARE OF THERE SPEED THROUGH OUT OUR COUNTY. THESE SPEED TRAILERS WILL BE USED BY LAW ENFORCEMENT PERSONNEL.</t>
  </si>
  <si>
    <t xml:space="preserve">
Sales Order #: 2289086341
RTD Screening Code: DOD
Reason for Rejection: Y9</t>
  </si>
  <si>
    <t>2YTM9Q61350746</t>
  </si>
  <si>
    <t>OUR LAW ENFORCEMENT AGENCY WILL DEPLOY THESE SPEED TRAILERS TO ADDRESS COMMUNITY SPEEDING COMPLAINTS. BY VISUALLY DISPLAYING DRIVER SPEEDS, THE EQUIPMENT SERVES AS A DIRECT DETERRENT WHILE COLLECTING DATA TO IDENTIFY PEAK SPEEDING HOURS. THIS ALLOWS US TO STRATEGICALLY SCHEDULE ENFORCEMENT ACTIVITY FOR MAXIMUM IMPACT AND ROAD SAFETY.</t>
  </si>
  <si>
    <t xml:space="preserve">
Sales Order #: 2289210582
RTD Screening Code: DOD
Reason for Rejection: Y9</t>
  </si>
  <si>
    <t>2YTK5Z61350885</t>
  </si>
  <si>
    <t>THE CITY OF FRANKLIN POLICE DEPARTMENT IS A CERTIFIED LAW ENFORCEMENT AGENCY EMPLOYING 29 SWORN MEMBERS AND COVERING 9 SQUARE MILES WITH A POPULATION OF 8,300 CITIZENS. THE TRUCK SERVICING PLATFORM WILL BE UTILIZED BY THE POLICE DEPARTMENT TO INSTALL COVERT CAMERAS THROUGHOUT THE CITY WITHOUT OTHER DEPARTMENTS KNOWING THE LOCATION. IT WILL ALSO BE USED TO PERFORM REPAIRS ON THE POLICE DEPARTMENT'S ROOF AND ELEVATED AREAS.</t>
  </si>
  <si>
    <t xml:space="preserve">
Sales Order #: 2289504374
RTD Screening Code: DOD
Reason for Rejection: Y9</t>
  </si>
  <si>
    <t>2YTEBB61351131</t>
  </si>
  <si>
    <t>THE CITY OF FRANKLIN COVERS 9 SQ MILES AND SERVES 8,500 CITIZENS. THE FRANKLIN POLICE DEPARTMENT IS THE PRIMARY LAW ENFORCEMENT AGENCY IN THE AREA EMPLOYING 29 SWORN PERSONNEL. THE TRAILER WILL BE USED TO NOTIFY SPEEDERS OF THEIR SPEED IN OUR AREAS THAT GET THE MOST SPEEDING COMPLAINTS.</t>
  </si>
  <si>
    <t xml:space="preserve">
Sales Order #: 2288642194
RTD Screening Code: DOD
Reason for Rejection: Y9</t>
  </si>
  <si>
    <t>2YTEBB61350720</t>
  </si>
  <si>
    <t>WE ARE A LOCAL LAW ENFORCEMENT AGENCY AND WOULD UTILIZE THESE TO HELP REDUCE SPEEDING COMPLAINTS IN OUR JURISDICTION. THESE ITEMS WOULD ONLY BE UTILIZED BY SWORN OFFICERS WITHIN THIS DEPARTMENT.</t>
  </si>
  <si>
    <t xml:space="preserve">
Sales Order #: 2288642204
RTD Screening Code: DOD
Reason for Rejection: Y9</t>
  </si>
  <si>
    <t>2YTPML61350869</t>
  </si>
  <si>
    <t>THIS WILL BE ISSUED TO LAW ENFORCEMENT DEPUTIES FOR PATROLS AND LAW ENFORCEMENT DUTIES.</t>
  </si>
  <si>
    <t xml:space="preserve">
Sales Order #: 2285876708
RTD Screening Code: DOD
Reason for Rejection: YH</t>
  </si>
  <si>
    <t>2YTNUS60866704</t>
  </si>
  <si>
    <t>WISE COUNTY SHERIFF OFFICE (2YTNUS)</t>
  </si>
  <si>
    <t>VIRGINIA STATE POLICE REQUESTS THESE STORAGE LOCKERS TO BE UTILIZED BY SWORN PERSONNEL FOR STORAGE OF SUPPLIES AND EQUIPMENT.</t>
  </si>
  <si>
    <t xml:space="preserve">
Sales Order #: 2288882153
RTD Screening Code: DOD
Reason for Rejection: YH</t>
  </si>
  <si>
    <t>2YTMXW61280485</t>
  </si>
  <si>
    <t>THIS ITEM WOULD ONLY BE USED BY SWORN PERSONELL OF THE PRINCE GEORGE COUNTY POLICE DEPT. THESE ITEMS WOULD BE USED FOR SEARCH AND RESCUE MISSIONS AS WELL AS MISSING PERSON. THESE ITEMS WOULD ALSO BE USED BY OUR SPECIAL RESPONSE TEAM DURING VARIOUS LOW LIGHT OPERATIONS</t>
  </si>
  <si>
    <t xml:space="preserve">
Sales Order #: 2284445828
RTD Screening Code: DOD
Reason for Rejection: YG</t>
  </si>
  <si>
    <t>THERMAL SIGHTS</t>
  </si>
  <si>
    <t>DSTHRMSIG</t>
  </si>
  <si>
    <t>2YTJXL60654415</t>
  </si>
  <si>
    <t>THE CITY OF FRANKLIN POLICE DEPARTMENT IS A CERTIFIED LAW ENFORCEMENT AGENCY EMPLOYING 29 SWORN MEMBERS AND COVERING 9 SQUARE MILES WITH A POPULATION OF 8,300 CITIZENS. OUR DEPARTMENT IS STARTING A DRONE PROGRAM WITH FOUR DRONE OPERATORS, THE DEPARTMENT CURRENTLY DOES NOT HAVE ANY DRONES. THE DRONES WILL BE USED FOR SEARCH AND RESCUE FOR MISSING AND ENDANGERED PEOPLE. IT CAN ALSO BE USED FOR SCENE OVERWATCH DURING CRITICAL INCIDENTS AS A SAFE WAY TO INVESTIGATE INDUSTRIAL CHEMICAL SPILLS.</t>
  </si>
  <si>
    <t>2YTEBB61351203</t>
  </si>
  <si>
    <t>WASHINGTON COUNTY SHERIFF'S OFFICE IS A LAW ENFORCEMENT AGENCY IN THE STATE OF VIRGINIA. OUR AGENCY COULD USE THIS ROAD TRACTOR FOR PULLING TRAILERS AND HAULING EQUIPMENT AND VEHICLES. THIS TRUCK WILL BE USED BY LAW ENFORCEMENT PERSONNEL.</t>
  </si>
  <si>
    <t xml:space="preserve">
Sales Order #: 2289337568
RTD Screening Code: DOD
Reason for Rejection: Y9</t>
  </si>
  <si>
    <t>2YTM9Q61350737</t>
  </si>
  <si>
    <t xml:space="preserve">
Sales Order #: 2289338558
RTD Screening Code: DOD
Reason for Rejection: Y9</t>
  </si>
  <si>
    <t>2YTM9Q61350734</t>
  </si>
  <si>
    <t>TO BE USED BY DEPUTIES WITH RUSSELL COUNTY SHERIFF'S OFFICE FOR EMERGENCY SITUATIONS TO INCLUDE HAULING HEAVY LOADS AND MOVING PEOPLE AROUND IN THE SNOW.</t>
  </si>
  <si>
    <t xml:space="preserve">
Sales Order #: 2287981012
RTD Screening Code: DOD
Reason for Rejection: YG</t>
  </si>
  <si>
    <t>2YTKH161079203</t>
  </si>
  <si>
    <t>WASHINGTON COUNTY SHERIFF'S OFFICE IS A LAW ENFORCEMENT AGENCY LOCATED IN THE STATE OF VIRGINIA. THIS VEHICLE WOULD BE USED FOR NATURAL DISASTER RECOVERY, EMERGENCY SUPPLY DISTRIBUTION, AND RURAL AREA PATROL. VEHICLE WOULD BE USED BY LAW ENFORCEMENT PERSONNEL ONLY.</t>
  </si>
  <si>
    <t xml:space="preserve">
Sales Order #: 2288071750
RTD Screening Code: DOD
Reason for Rejection: YH</t>
  </si>
  <si>
    <t>2YTM9Q61219361</t>
  </si>
  <si>
    <t>REQUESTING TWO OF THESE ITEMS TO UPGRADE THE CAPABILITIES AND SAFETY OF OUR SNIPER TEAM FOR THE CARROLL COUNTY SHERIFF'S OFFICE. THESE ITEMS WOULD BE ISSUED TO AND ONLY USED BY OUR TWO SNIPERS ASSIGNED TO THE SWAT TEAM AND WOULD BE USED IN THE PERFORMANCE OF THEIR DUTY AND FOR TRAINING PURPOSES ONLY. I HAVE SPOKEN TO RTD RILEY PERSONNEL AND WAS TOLD THAT THESE ARE OPERATIONAL UNITS.</t>
  </si>
  <si>
    <t>2YTB1G61350917</t>
  </si>
  <si>
    <t>WASHINGTON COUNTY SHERIFF'S OFFICE IS A LAW ENFORCEMENT AGENCY IN THE STATE OF VIRGINIA. OUR AGENCY COULD USE THIS CAT D-7 DOZER FOR PUSHING DIRT AT OUR SHOOTING RANGE. THIS DOZER WILL BE USED BY LAW ENFORCEMENT PERSONNEL.</t>
  </si>
  <si>
    <t>Rejected by ECG1611.</t>
  </si>
  <si>
    <t>2YTM9Q61280753</t>
  </si>
  <si>
    <t>WASHINGTON COUNTY SHERIFF'S OFFICE IS A LAW ENFORCEMENT AGENCY IN THE STATE OF VIRGINIA. OUR AGENCY COULD USE THIS BOAT TRAILER FOR HAULING A BOAT. THIS TRAILER WILL BE USED BY LAW ENFORCEMENT PERSONNEL.</t>
  </si>
  <si>
    <t>2YTM9Q61350755</t>
  </si>
  <si>
    <t>WASHINGTON COUNTY SHERIFF'S OFFICE IS A LAW ENFORCEMENT AGENCY IN THE STATE OF VIRGINIA. OUR AGENCY COULD USE THIS TRUCK FOR PATROLS AND TRANSPORTING PRISONERS. THIS VEHICLE WILL BE USED BY LAW ENFORCEMENT PERSONNEL.</t>
  </si>
  <si>
    <t xml:space="preserve">
Sales Order #: 2288071743
RTD Screening Code: DOD
Reason for Rejection: Y9</t>
  </si>
  <si>
    <t>2YTM9Q61219461</t>
  </si>
  <si>
    <t>WASHINGTON COUNTY SHERIFF'S OFFICE IS A LAW ENFORCEMENT AGENCY IN THE STATE OF VIRGINIA. OUR AGENCY COULD USE THIS VEHICLE FOR PATROLS AND PRISONER TRANSPORTS. THIS VEHICLE WILL BE USE BY LAW ENFORCEMENT PERSONNEL.</t>
  </si>
  <si>
    <t xml:space="preserve">
Sales Order #: 2288071748
RTD Screening Code: DOD
Reason for Rejection: Y9</t>
  </si>
  <si>
    <t>2YTM9Q61219460</t>
  </si>
  <si>
    <t xml:space="preserve">
Sales Order #: 2288563101
RTD Screening Code: DOD
Reason for Rejection: Y9</t>
  </si>
  <si>
    <t>2YTMXW61210241</t>
  </si>
  <si>
    <t>WASHINGTON COUNTY SHERIFF'S OFFICE IS A LAW ENFORCEMENT AGENCY IN THE STATE OF VIRGINIA. OUR AGENCY COULD USE THIS ATV FOR SEARCH AND RESCUE OPERATIONS. THIS ATV WILL BE USED BY LAW ENFORCEMENT PERSONNEL.</t>
  </si>
  <si>
    <t xml:space="preserve">
Sales Order #: 2288524675
RTD Screening Code: DOD
Reason for Rejection: Y9</t>
  </si>
  <si>
    <t>2YTM9Q61280116</t>
  </si>
  <si>
    <t>WASHINGTON COUNTY SHERIFF'S OFFICE IS A LAW ENFORCEMENT AGENCY IN THE STATE OF VIRGINIA. OUR AGENCY COULD USE THIS LOW BOY TRAILER FOR HAULING HEAVY DUTY EQUIPMENT. THIS TRAILER WILL BE USED BY LAW ENFORCEMENT PERSONNEL.</t>
  </si>
  <si>
    <t xml:space="preserve">
Sales Order #: 2288563111
RTD Screening Code: DOD
Reason for Rejection: Y9</t>
  </si>
  <si>
    <t>2YTM9Q61280115</t>
  </si>
  <si>
    <t xml:space="preserve">
Sales Order #: 2288443110
RTD Screening Code: DOD
Reason for Rejection: Y9</t>
  </si>
  <si>
    <t>2YTM9Q61280111</t>
  </si>
  <si>
    <t xml:space="preserve">
Sales Order #: 2288524673
RTD Screening Code: DOD
Reason for Rejection: Y9</t>
  </si>
  <si>
    <t>2YTM9Q61280103</t>
  </si>
  <si>
    <t xml:space="preserve">
Sales Order #: 2288924324
RTD Screening Code: DOD
Reason for Rejection: Y9</t>
  </si>
  <si>
    <t>2YTMXW61210479</t>
  </si>
  <si>
    <t>THE CITY OF FRANKLIN POLICE DEPARTMENT IS A CERTIFIED LAW ENFORCEMENT AGENCY EMPLOYING 29 SWORN MEMBERS AND COVERING 9 SQUARE MILES WITH A POPULATION OF 8,300 CITIZENS. THE ALL-TERRAIN VEHICLE WILL BE USED TO ACCESS CRIME SCENES THAT ARE IN THE WOODS AND OFF ROAD AREAS AS WELL AS FOR THE PUBLIC EVENTS TO TRANSPORT EQUIPMENT AND PERSONNEL.</t>
  </si>
  <si>
    <t xml:space="preserve">
Sales Order #: 2288637361
RTD Screening Code: DOD
Reason for Rejection: Y9</t>
  </si>
  <si>
    <t>2YTEBB61280179</t>
  </si>
  <si>
    <t xml:space="preserve">
Sales Order #: 2288706318
RTD Screening Code: DOD
Reason for Rejection: Y9</t>
  </si>
  <si>
    <t>2YTEBB61280178</t>
  </si>
  <si>
    <t>WE ARE A RURAL LAW ENFORCEMENT AGENCY AND WOULD UTILIZE THIS ITEM TO AID IN NOT ONLY LAW ENFORCEMENT SERVICE BUT AS A SEARCH AND RESCUE VEHICLE TO GAIN ACCESS TO REMOTE AREA OF OUR JURISDICTION ALONG WITH MUTUAL AID FOR OTHER LAW ENFORCEMENT AGENCIES IN OUR AREA. THIS ITEM WOULD ONLY BE UTILIZED BY SWORN OFFICERS FROM OUR DEPARTMENT.</t>
  </si>
  <si>
    <t xml:space="preserve">
Sales Order #: 2288647050
RTD Screening Code: DOD
Reason for Rejection: Y9</t>
  </si>
  <si>
    <t>2YTPML61280204</t>
  </si>
  <si>
    <t xml:space="preserve">
Sales Order #: 2288504914
RTD Screening Code: DOD
Reason for Rejection: Y9</t>
  </si>
  <si>
    <t>2YTPML61280203</t>
  </si>
  <si>
    <t>WE ARE A SMALL LOCAL LAW ENFORCEMENT AGENCY AND WOULD UTILIZE THESE ITEMS TO OUTFIT OUR PATROL RIFLES TO BETTER AID OUR UNITS IN THE EVENT OF FIREARM USAGE. THESE ITEMS WOULD ONLY BE UTILIZED BY SWORN OFFICERS WITHIN THIS DEPARTMENT.</t>
  </si>
  <si>
    <t xml:space="preserve">
Sales Order #: 2287283494
RTD Screening Code: DOD
Reason for Rejection: YH</t>
  </si>
  <si>
    <t>2YTPML61078512</t>
  </si>
  <si>
    <t>THE CITY OF FRANKLIN POLICE DEPARTMENT IS A CERTIFIED LAW ENFORCEMENT AGENCY EMPLOYING 29 SWORN MEMBERS AND COVERING 9 SQUARE MILES WITH A POPULATION OF 8,300 CITIZENS. FRANKLIN PD IS CURRENTLY STARTING A DRONE PROGRAM AND DO NOT CURRENTLY HAVE A DRONE TO FLY. THE DRONE WILL BE USED FOR SEARCH AND RESCUE, MISSING ADULTS AND CHILDREN AND SCENE OVERWATCH FOR LARGE EVENTS AND CRITICAL INCIDENTS.</t>
  </si>
  <si>
    <t>2YTEBB61219965</t>
  </si>
  <si>
    <t>WASHINGTON COUNTY SHERIFF'S OFFICE IS A LAW ENFORCEMENT AGENCY IN THE STATE OF VIRGINIA. OUR AGENCY COULD USE THIS PICK-UP FOR PATROLING AND PRISONER TRANSPORTS. THIS VEHICLE WILL BE USED BY LAW ENFORCEMENT PERSONNEL.</t>
  </si>
  <si>
    <t xml:space="preserve">
Sales Order #: 2288615170
RTD Screening Code: DOD
Reason for Rejection: Y9</t>
  </si>
  <si>
    <t>2YTM9Q61280100</t>
  </si>
  <si>
    <t>WASHINGTON COUNTY SHERIFF'S OFFICE IS A LAW ENFORCEMENT AGENCY LOCATED IN THE STATE OF VIRGINIA. THE AGENCY WOULD USE THIS VEHICLE FOR PATROL AND THE TRANSPORTATION OF PRISONERS. THIS VEHICLE WOULD BE USED BY LAW ENFORCEMENT PERSONNEL ONLY.</t>
  </si>
  <si>
    <t xml:space="preserve">
Sales Order #: 2288071747
RTD Screening Code: DOD
Reason for Rejection: Y9</t>
  </si>
  <si>
    <t>2YTM9Q61219341</t>
  </si>
  <si>
    <t>WE ARE A SMALL RURAL LAW ENFORCEMENT AGENCY AND WOULD USE THIS VEHICLE TO AID IN PATROL ACTIVITIES AND INCLEMENT WEATHER AS NEEDED TO PROVIDE SERVICE TO OUR JURISDICTION. THIS ITEM WOULD ONLY BE USED BY SWORN LAW ENFORCEMENT OFFICERS WITHIN THIS AGENCY.</t>
  </si>
  <si>
    <t xml:space="preserve">
Sales Order #: 2288647044
RTD Screening Code: DOD
Reason for Rejection: Y9</t>
  </si>
  <si>
    <t>2YTPML61280205</t>
  </si>
  <si>
    <t>CANCELLED:  LESO HQ is unable to approve your request for property at this time in order to allow for equitable distribution of property</t>
  </si>
  <si>
    <t>2YTM9Q61280107</t>
  </si>
  <si>
    <t>2YTEBB61280177</t>
  </si>
  <si>
    <t>TO BE USED FOR LAW ENFORCEMENT PURPOSES ONLY. USED BY LAW ENFORCEMENT DEPUTIES TO RESPOND TO CALLS OF SERVICE, AND OTHER LAW ENFORCEMENT DUTIES.</t>
  </si>
  <si>
    <t xml:space="preserve">
Sales Order #: 2287749868
RTD Screening Code: DOD
Reason for Rejection: Y9</t>
  </si>
  <si>
    <t>2YTM9Q61148994</t>
  </si>
  <si>
    <t xml:space="preserve">
Sales Order #: 2288057418
RTD Screening Code: DOD
Reason for Rejection: YG</t>
  </si>
  <si>
    <t>2YTKH161079202</t>
  </si>
  <si>
    <t xml:space="preserve">
Sales Order #: 2288057420
RTD Screening Code: DOD
Reason for Rejection: YG</t>
  </si>
  <si>
    <t>2YTKH161079201</t>
  </si>
  <si>
    <t xml:space="preserve">
Sales Order #: 2288057122
RTD Screening Code: DOD
Reason for Rejection: YG</t>
  </si>
  <si>
    <t>2YTKH161079200</t>
  </si>
  <si>
    <t xml:space="preserve">
Sales Order #: 2288057432
RTD Screening Code: DOD
Reason for Rejection: YG</t>
  </si>
  <si>
    <t>2YTKH161079199</t>
  </si>
  <si>
    <t xml:space="preserve">
Sales Order #: 2288057433
RTD Screening Code: DOD
Reason for Rejection: YG</t>
  </si>
  <si>
    <t>2YTKH161079198</t>
  </si>
  <si>
    <t xml:space="preserve">
Sales Order #: 2288057426
RTD Screening Code: DOD
Reason for Rejection: YG</t>
  </si>
  <si>
    <t>2YTKH161079196</t>
  </si>
  <si>
    <t>THE VIRGINIA STATE POLICE REQUESTS THIS FORKLIFT TO BE UTILIZED BY SWORN PERSONNEL FOR MOVING BULK SUPPLIES AND EQUIPMENT.</t>
  </si>
  <si>
    <t xml:space="preserve">
Sales Order #: 2287785589
RTD Screening Code: DOD
Reason for Rejection: Y9</t>
  </si>
  <si>
    <t>2YTMXW61149510</t>
  </si>
  <si>
    <t>WASHINGTON COUNTY SHERIFF'S OFFICE IS A LAW ENFORCEMENT AGENCY IN THE STATE OF VIRGINIA. OUR AGENCY COULD USE THESE BREAKER KITS FOR OUR SWAT TEAMS TO MAKE ENTRY'S WHERE THESE TOOLS WILL HELP TO GAIN ENTRY. THIS EQUIPMENT WILL BE USED BY LAW ENFORCEMENT PERSONNEL.</t>
  </si>
  <si>
    <t>MARINE BREAKER KIT,</t>
  </si>
  <si>
    <t>2YTM9Q61219666</t>
  </si>
  <si>
    <t xml:space="preserve">
Sales Order #: 2287119115
RTD Screening Code: DOD
Reason for Rejection: Y9</t>
  </si>
  <si>
    <t>2YTM9Q61078452</t>
  </si>
  <si>
    <t>WASHINGTON COUNTY SHERIFF'S OFFICE IS A LAW ENFORCEMENT AGENCY IN THE STATE OF VIRGINIA. OUR AGENCY COULD USE THIS ROAD TRACTOR FOR PULLING TRAILERS AND PICKING UP AND HAULING EQUIPMENT. THIS TRUCK WILL BE USED BY LAW ENFORCEMENT PERSONNEL.</t>
  </si>
  <si>
    <t xml:space="preserve">
Sales Order #: 2287217455
RTD Screening Code: DOD
Reason for Rejection: Y9</t>
  </si>
  <si>
    <t>2YTM9Q61078217</t>
  </si>
  <si>
    <t>WISE POLICE DEPARTMENT REQUESTS A SIGHT, REFLEX OPTIC FOR PATROL RIFLES TO SUPPORT ACTIVE SHOOTER RESPONSE, HOSTAGE RESCUE, AND HIGH-RISK WARRANT SERVICE. OFFICERS WILL USE THIS OPTIC IN CLOSE-QUARTERS ENVIRONMENTS SUCH AS SCHOOLS AND RESIDENCES WHERE RAPID TARGET ACQUISITION IS CRITICAL TO PROTECT LIFE. IT WILL ALSO BE USED IN SCENARIO-BASED FIREARMS TRAINING, INCLUDING LOW-LIGHT AND MOVING THREAT ENGAGEMENTS, TO MAINTAIN OPERATIONAL READINESS.</t>
  </si>
  <si>
    <t xml:space="preserve">
Sales Order #: 2287414025
RTD Screening Code: DOD
Reason for Rejection: Y9</t>
  </si>
  <si>
    <t>2YTNUT61358585</t>
  </si>
  <si>
    <t>WISE POLICE DEPT (2YTNUT)</t>
  </si>
  <si>
    <t xml:space="preserve">
Sales Order #: 2287217466
RTD Screening Code: DOD
Reason for Rejection: Y9</t>
  </si>
  <si>
    <t>2YTNUT60938156</t>
  </si>
  <si>
    <t>WISE POLICE DEPARTMENT REQUESTS A SIGHT, REFLEX OPTIC FOR ONE OF SIX PATROL RIFLES WITHOUT OPTICS TO SUPPORT LAW ENFORCEMENT RESPONSE. OFFICERS WILL USE THIS OPTIC IN ENVIRONMENTS WHERE RAPID TARGET ACQUISITION IS CRITICAL TO PROTECT LIFE. IT WILL ALSO BE USED IN SCENARIO-BASED FIREARMS TRAINING, INCLUDING LOW-LIGHT AND MOVING THREAT ENGAGEMENTS, TO MAINTAIN OPERATIONAL READINESS.</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</si>
  <si>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statements need to be in the justification comment box.</t>
  </si>
  <si>
    <t>2YTNUT61079100</t>
  </si>
  <si>
    <t>2YTNUT61079099</t>
  </si>
  <si>
    <t>2YTNUT61079098</t>
  </si>
  <si>
    <t>2YTNUT61079097</t>
  </si>
  <si>
    <t>THE VIRGINIA STATE POLICE REQUESTS THESE TOOL KITS TO BE UTILIZED BY SWORN PERSONNEL IN THE DEPARTMENT'S AVIATION DIVISION FOR REPAIR AND MAINTENANCE OF OUR CURRENT FLEET OF AIRCRAFT.</t>
  </si>
  <si>
    <t xml:space="preserve">
Sales Order #: 2287414032
RTD Screening Code: DOD
Reason for Rejection: Y9</t>
  </si>
  <si>
    <t>2YTMXW61078605</t>
  </si>
  <si>
    <t>VIRGINIA STATE POLICE REQUESTS APPROVAL FOR THIS PALLET JACK TO BE USED BY SWORN PERSONNEL FOR MOVING BULK PROPERTY WITHIN THE WAREHOUSE.</t>
  </si>
  <si>
    <t xml:space="preserve">
Sales Order #: 2285864002
RTD Screening Code: GSA
Reason for Rejection: YG</t>
  </si>
  <si>
    <t>2YTMXW60796467</t>
  </si>
  <si>
    <t>USED FOR LAW ENFORCEMENT PURPOSES ONLY. USED TO TRANSPORT LAW ENFORCEMENT FOUR WHEELERS FOR SEARCH AND RESCUE OPERATIONS, AND SPECIAL EVENTS.</t>
  </si>
  <si>
    <t xml:space="preserve">
Sales Order #: 2286803381
RTD Screening Code: DOD
Reason for Rejection: Y9</t>
  </si>
  <si>
    <t>2YTM9Q61007829</t>
  </si>
  <si>
    <t>USED FOR LAW ENFORCEMENT PURPOSES ONLY. USED TO TRANSPORT BICYCYLE PATROL BIKES FOR SEARCH AND RESCUE OPERATIONS, AND SPECIAL EVENTS.</t>
  </si>
  <si>
    <t xml:space="preserve">
Sales Order #: 2286803339
RTD Screening Code: DOD
Reason for Rejection: Y9</t>
  </si>
  <si>
    <t>2YTM9Q61007828</t>
  </si>
  <si>
    <t>USED FOR LAW ENFORCEMENT PURPOSES ONLY. USED TO TRANSPORT ALL TERRAIN VEHICLES FOR SEARCH AND RESCUE OPERATIONS, AND SPECIAL EVENTS.</t>
  </si>
  <si>
    <t xml:space="preserve">
Sales Order #: 2286803362
RTD Screening Code: DOD
Reason for Rejection: Y9</t>
  </si>
  <si>
    <t>2YTM9Q61007827</t>
  </si>
  <si>
    <t xml:space="preserve">
Sales Order #: 2286803380
RTD Screening Code: DOD
Reason for Rejection: Y9</t>
  </si>
  <si>
    <t>2YTM9Q61007826</t>
  </si>
  <si>
    <t xml:space="preserve">
Sales Order #: 2287217456
RTD Screening Code: DOD
Reason for Rejection: Y9</t>
  </si>
  <si>
    <t>2YTNUT60938158</t>
  </si>
  <si>
    <t xml:space="preserve">
Sales Order #: 2287217424
RTD Screening Code: DOD
Reason for Rejection: Y9</t>
  </si>
  <si>
    <t>2YTNUT60938157</t>
  </si>
  <si>
    <t xml:space="preserve">
Sales Order #: 2287217472
RTD Screening Code: DOD
Reason for Rejection: Y9</t>
  </si>
  <si>
    <t>2YTNUT60938153</t>
  </si>
  <si>
    <t>2YTNUT60938155</t>
  </si>
  <si>
    <t>2YTNUT60938154</t>
  </si>
  <si>
    <t>WASHINGTON COUNTY SHERIFF'S OFFICE IS A LAW ENFORCEMENT AGENCY IN THE STATE OF VIRGINIA. OUR AGENCY COULD USE THIS TRUCK FOR HAULING EQUIPMENT AND PULLING TRAILERS WITH EQUIPMENT. THIS TRUCK WILL BE USED BY LAW ENFORCEMENT PERSONNEL.</t>
  </si>
  <si>
    <t xml:space="preserve">
Sales Order #: 2286803378
RTD Screening Code: DOD
Reason for Rejection: Y9</t>
  </si>
  <si>
    <t>2YTM9Q61007792</t>
  </si>
  <si>
    <t>FOR LAW ENFORCEMENT USE ONLY. THE WEST POLICE DEPARTMENT WILL USE THIS VEHICLE FOR LAW ENFORCEMENT AND EMERGENCY RESPONSE ACTIVITIES IN AND AROUND THE CITY OF WEST. THIS UNIT CAN BE EQUIPPED WITH EMERGENCY LIGHTING AND EQUIPMENT CREATING A VALUABLE ASSET TO THE WEST POLICE DEPARTMENT.</t>
  </si>
  <si>
    <t xml:space="preserve">
Sales Order #: 2291528291
RTD Screening Code: DOD
Reason for Rejection: Z2</t>
  </si>
  <si>
    <t>2YTPJJ61773745</t>
  </si>
  <si>
    <t>FOR LAW ENFORCEMENT USE ONLY. THE WEST POLICE DEPARTMENT WILL UTILIZE THIS STRUCTURE AS A TRAINING OR VEHICLE AND EQUIPMENT STORAGE ENCLOSURE. THE STRUCTURE CAN BE ERECTED AT THE WEST POLICE DEPARTMENT TRAINING GROUNDS OR OTHER CITY OF WEST PROPERTY FOR THE STORAGE OF POLICE DEPARTMENT PROPERTY AND EQUIPMENT.</t>
  </si>
  <si>
    <t xml:space="preserve">
Sales Order #: 2290385291
RTD Screening Code: DON
Reason for Rejection: YH</t>
  </si>
  <si>
    <t>STRUCTURE,TENSION F</t>
  </si>
  <si>
    <t>2YTPJJ61562474</t>
  </si>
  <si>
    <t>TROUP PD WOULD LIKE TO ACQUIRE THIS ITEM FOR THE USE OF TRANSPORTING HEAVY EQUIPMENT OBTAINED THROUGH LESO, HEAVY MACHINERY, AND OTHER SEIZED ITEMS BY THE POLICE DEPARTMENT. THIS ITEM WILL HELP BY UTILIZING OUR OWN EQUIPMENT, RATHER THAN PAYING TRANSPORT COMPANIES.</t>
  </si>
  <si>
    <t xml:space="preserve">
Sales Order #: 2290969146
RTD Screening Code: DOD
Reason for Rejection: YH</t>
  </si>
  <si>
    <t>2YTLY361633261</t>
  </si>
  <si>
    <t>TENAHA PD WILL USE THIS ITEM FOR VEHILE MAINTANCE REQUIREMENTS FOR FLEET VEHICLES.</t>
  </si>
  <si>
    <t xml:space="preserve">
Sales Order #: 2290863339
RTD Screening Code: DOD
Reason for Rejection: YH</t>
  </si>
  <si>
    <t>2YTR8061633087</t>
  </si>
  <si>
    <t>ITEM WILL BE USED BY ERATH COUNTY SHERIFFS OFFICE FOR LAW ENFORCEMENT USE ONLY. ITEM WILL BE USED TO REPAIR, MAINTAIN, AND INSTALL EQUIPMENT AND PARTS ON ECSO VEHICLES AND EQUIPMENT. THIS WILL HELP SAVE MONEY TO THE CITIZENS OF THE COUNTY BY NOT HAVING TO PAY A SHOP TO DO THE WORK. ITEM WILL ALLOW US TO STORE TOOLS PROPERLY FOR LONGER USE AND EASIER TO LOCATE RIGHT TOOL.</t>
  </si>
  <si>
    <t xml:space="preserve">
Sales Order #: 2290732847
RTD Screening Code: GSA
Reason for Rejection: YG</t>
  </si>
  <si>
    <t>2YTDTW61562999</t>
  </si>
  <si>
    <t>ERATH CSO (2YTDTW)</t>
  </si>
  <si>
    <t>TROUP PD WOULD LIKE TO ACQUIRE THIS ITEM FOR THE USE OF VEHICLE MAINTENANCE ON PATROL VEHICLES, AND THE INSPECTION OF SEIZED VEHICLES FOR CONTRABAND HIDES UNDER VEHICLES. THIS WOULD GREATLY ASSIST OFFICERS IN LOCATING SUCH AREAS.</t>
  </si>
  <si>
    <t xml:space="preserve">
Sales Order #: 2291250425
RTD Screening Code: GSA
Reason for Rejection: YH</t>
  </si>
  <si>
    <t>2YTLY361633592</t>
  </si>
  <si>
    <t>TENAHA PD WILL USE THIS ITEM DURING EMERGENCY SITUATIONS BEING HOUSE AT TENAHA PD FOR USE BY TENAHA PD FOR DEPARTMENT ISSUED CLOTHING ITEMS.</t>
  </si>
  <si>
    <t xml:space="preserve">
Sales Order #: 2290973866
RTD Screening Code: GSA
Reason for Rejection: YH</t>
  </si>
  <si>
    <t>2YTR8061633285</t>
  </si>
  <si>
    <t>TENAHA PD WILL USE THIS ITEM FOR WEATHER OR MAN REALATED EMERGENCIES. THIS ITEM CAN ALSO BE USED FOR AND AT A MOBILE COMMAND LOCATION TO PROVIDE ELECTRICTY FOR IMPORTANT OPERATIONS.</t>
  </si>
  <si>
    <t xml:space="preserve">
Sales Order #: 2290732852
RTD Screening Code: DOD
Reason for Rejection: YH</t>
  </si>
  <si>
    <t>2YTR8061632976</t>
  </si>
  <si>
    <t>TENAHA PD WILL USE THIS ITEM HELP MAINTAIN PHYSICAL FITNESS FOR OFFICERS WHICH IS VERY IMPORTANT FOR OFFICER SAFTEY AND THE OVERALL WELL BEING OF THE OFFICER.</t>
  </si>
  <si>
    <t xml:space="preserve">
Sales Order #: 2290637291
RTD Screening Code: DOD
Reason for Rejection: YH</t>
  </si>
  <si>
    <t>2YTR8061632974</t>
  </si>
  <si>
    <t>WILL BE USED FOR LAW ENFORCEMENT BY LAW ENFORCEMENT.  COMPUTERS WILL BE USED IN ALREADY 1033 OBTAINED DRASH SYSTEM FOR OFFICERS TO WORK ON.</t>
  </si>
  <si>
    <t xml:space="preserve">
Sales Order #: 2290373582
RTD Screening Code: DOD
Reason for Rejection: YH</t>
  </si>
  <si>
    <t>2YTJXJ61492575</t>
  </si>
  <si>
    <t>THESE BOATS WILL BE UTILIZED BY THE HARRIS COUNTY SHERIFF'S OFFICE. THESE BOATS WILL AID OFFICERS TO GAIN ACCESS TO WATER WAYS AND CONDUCT PATROLS ON THE WATER. THEY WILL ALSO BE UTILIZED IN A TIME OF NEED DURING A CATASTROPHIC EVENT SUCH AS A HURRICANE.</t>
  </si>
  <si>
    <t xml:space="preserve">
Sales Order #: 2291534917
RTD Screening Code: DOD
Reason for Rejection: Y9</t>
  </si>
  <si>
    <t>BOAT,CMT RECON CRAF</t>
  </si>
  <si>
    <t>2YTE5N61774028</t>
  </si>
  <si>
    <t>HARRIS CSO (2YTE5N)</t>
  </si>
  <si>
    <t>WILL BE USED FOR LAW ENFORCEMENT BY LAW ENFORCEMENT.  ITEM WILL BE USED BY POLICE DEPARTMENT TO TRAINING OFFICERS ON LESS THEN LETHAL.</t>
  </si>
  <si>
    <t xml:space="preserve">
Sales Order #: 2290923242
RTD Screening Code: DOD
Reason for Rejection: YH</t>
  </si>
  <si>
    <t>CAPABILITIES SET,NON-LETHAL</t>
  </si>
  <si>
    <t>2YTJXJ61563254</t>
  </si>
  <si>
    <t>WILL BE USED BY LAW ENFORCEMENT BY LAW ENFORCEMENT TO MOVE AROUND AREAS THAT ARE HARD TO MOVE DURING POLICE EVENTS</t>
  </si>
  <si>
    <t xml:space="preserve">
Sales Order #: 2288110149
RTD Screening Code: DOD
Reason for Rejection: YH</t>
  </si>
  <si>
    <t>2YTJXJ61219390</t>
  </si>
  <si>
    <t>LAW ENFORCEMENT DUTIES OFTEN REQUIRE OFFICERS TO PERFORM PHYSICALLY DEMANDING TASKS SUCH AS PURSUING SUSPECTS, RESTRAINING INDIVIDUALS, AND ASSISTING INJURED PERSONS. ACCESS TO APPROPRIATE FITNESS EQUIPMENT WILL ALLOW OFFICERS TO MAINTAIN THE STRENGTH, ENDURANCE, AND OVERALL CONDITIONING NECESSARY TO SAFELY AND EFFECTIVELY PERFORM THEIR DUTIES. PROVIDING THIS EQUIPMENT WILL SUPPORT OFFICER WELLNESS, REDUCE THE RISK OF INJURY, AND ENHANCE OPERATIONAL READINESS IN SERVING THE COMMUNITY.</t>
  </si>
  <si>
    <t xml:space="preserve">
Sales Order #: 2285870191
RTD Screening Code: GSA
Reason for Rejection: YG</t>
  </si>
  <si>
    <t>2YTTBX60796513</t>
  </si>
  <si>
    <t>COMANCHE PD (2YTTBX)</t>
  </si>
  <si>
    <t>TROUP PD WOULD LIKE TO ACQUIRE THIS ITEM FOR THE STORAGE OF MECHANIC TOOLS AND OTHER VARIOUS ITEMS.</t>
  </si>
  <si>
    <t xml:space="preserve">
Sales Order #: 2291213701
RTD Screening Code: GSA
Reason for Rejection: Y9</t>
  </si>
  <si>
    <t>2YTLY361703593</t>
  </si>
  <si>
    <t>TENAHA PD WILL USE THIS ITEM TO INCREASE AND MAINITAIN PYSICAL FITNESS WHICH IS VITAL FOR LAW ENFORCEMENT PATROL OFFICERS.</t>
  </si>
  <si>
    <t xml:space="preserve">
Sales Order #: 2291312746
RTD Screening Code: GSA
Reason for Rejection: Y9</t>
  </si>
  <si>
    <t>2YTR8061703617</t>
  </si>
  <si>
    <t>TENAHA PD WILL USE ITEM TO MAINTAIN AND ENHANCE THE PHYSICAL STANDARDS NEEDED IN LAW ENFORCEMENT.</t>
  </si>
  <si>
    <t xml:space="preserve">
Sales Order #: 2291157730
RTD Screening Code: GSA
Reason for Rejection: Y9</t>
  </si>
  <si>
    <t>2YTR8061703446</t>
  </si>
  <si>
    <t>WILL BE USED BY LAW-ENFORCEMENT FOR LAW-ENFORCEMENT WILL BE REPROGRAMMED WITH WINDOWS 11 AND UTILIZE AS PAPERLESS TICKET WRITERS FOR TRAFFIC ENFORCEMENT</t>
  </si>
  <si>
    <t xml:space="preserve">
Sales Order #: 2291061663
Reason for Rejection: Y9</t>
  </si>
  <si>
    <t>NETT WARRIOR SYS-S3</t>
  </si>
  <si>
    <t>2YTJXJ61703502</t>
  </si>
  <si>
    <t xml:space="preserve">
Sales Order #: 2291157808
RTD Screening Code: GSA
Reason for Rejection: Y9</t>
  </si>
  <si>
    <t>2YTJXJ61703499</t>
  </si>
  <si>
    <t xml:space="preserve">
Sales Order #: 2291157724
RTD Screening Code: GSA
Reason for Rejection: Y9</t>
  </si>
  <si>
    <t>2YTJXJ61703497</t>
  </si>
  <si>
    <t>WILL BE USED BY LAW-ENFORCEMENT FOR LAW-ENFORCEMENT THE SINGER RADIOS WILL BE UTILIZED FOR COMMUNICATION COMMUNICATIONS BACKUP SYSTEM IN CASE THE MAIN RADIO SYSTEM GOES DOWN OF THE POLICE DEPARTMENT</t>
  </si>
  <si>
    <t xml:space="preserve">
Sales Order #: 2291155266
Reason for Rejection: Y9</t>
  </si>
  <si>
    <t>RECEIVER-TRANSMITTER, RADIO (HAND RADIO)</t>
  </si>
  <si>
    <t>DSHARADIO</t>
  </si>
  <si>
    <t>2YTJXJ61703496</t>
  </si>
  <si>
    <t>WILL BE USED FOR LAW-ENFORCEMENT BY LAW-ENFORCEMENT THESE SINGER RADIOS WILL BE A COMMUNICATION BACKUP IN CASE OF NATURAL DISASTER IN MEYN RADIO SYSTEM GO DOWN FOR THE POLICE DEPARTMENT</t>
  </si>
  <si>
    <t xml:space="preserve">
Sales Order #: 2291157748
Reason for Rejection: Y9</t>
  </si>
  <si>
    <t>2YTJXJ61703495</t>
  </si>
  <si>
    <t>WILL BE USED BY LAW-ENFORCEMENT FOR LAW-ENFORCEMENT AND WILL POWER ALREADY OBTAINED 16 X 16 GREEN TENTS THROUGH THE 1033 PROGRAM FOR POLICE SPECIAL EVENTS SUCH AS NATIONAL NIGHT OUT SAY NO TO DRUGS AND MANY MORE EVENTS THAT THE POLICE DEPARTMENT HAS THROUGHOUT THE YEAR</t>
  </si>
  <si>
    <t xml:space="preserve">
Sales Order #: 2291010168
RTD Screening Code: GSA
Reason for Rejection: Y9</t>
  </si>
  <si>
    <t>2YTJXJ61703494</t>
  </si>
  <si>
    <t xml:space="preserve">
Sales Order #: 2291010162
RTD Screening Code: GSA
Reason for Rejection: Y9</t>
  </si>
  <si>
    <t>2YTJXJ61703493</t>
  </si>
  <si>
    <t>WILL BE USED BY LAW ENFORCEMENT FOR LAW ENFORCEMENT. WILL BE REPROGRAMMED WITH WINDOWS 11 AND UTILIZE AS TICKET WRITERS FOR TRAFFIC ENFORCEMENT.</t>
  </si>
  <si>
    <t xml:space="preserve">
Sales Order #: 2291061696
Reason for Rejection: Y9</t>
  </si>
  <si>
    <t>NETT WARRIOR SYS-A3</t>
  </si>
  <si>
    <t>2YTJXJ61703489</t>
  </si>
  <si>
    <t>WILL BE USED BY LAW ENFORCEMENT FOR LAW ENFORCEMENT.  THIS TENT WILL BE USED DURING LAW ENFORCEMENT EVENTS, SUCH AS NATIONAL NIGHT OUT AND OTHER POLICE COMMUNITY EVENTS.</t>
  </si>
  <si>
    <t xml:space="preserve">
Sales Order #: 2288110168
RTD Screening Code: DOD
Reason for Rejection: YG</t>
  </si>
  <si>
    <t>TENT,SYSTEM,MX TAN/TRAILER DRASH</t>
  </si>
  <si>
    <t>2YTJXJ61219381</t>
  </si>
  <si>
    <t>THE TRUCK WILL BE USED BY THE ARP POLICE DEPARTMENT FOR LAW ENFORCEMENT PURPOSES ONLY. OFFICERS WILL USE THE TRUCK TO PICKUP LESO AWARDED AND PD PURCHASED EQUIPMENT. THE TRUCK WILL ALSO BE USED TO MOVE EQUIPMENT TO AND FROM THE PD FIREARMS RANGE.</t>
  </si>
  <si>
    <t xml:space="preserve">
Sales Order #: 2291157942
RTD Screening Code: GSA
Reason for Rejection: Y9</t>
  </si>
  <si>
    <t>2YTANX61703399</t>
  </si>
  <si>
    <t>FOR LAW ENFORCEMENT USE ONLY. THIS LIGHT TOWER WILL BE UTILIZED BY THE WEST POLICE DEPARTMENT TO ENHANCE NIGHTTIME EMERGENCY OPERATIONS IN OUR RURAL AREAS THAT LACK SUFFICIENT LIGHTING. THE UNITS CAN ADDITIONALLY BE UTILIZED TO ILLUMINATE POORLY LIT AREAS WHILE SEARCHING FOR AND GATHERING EVIDENCE AT CRIME SCENES.</t>
  </si>
  <si>
    <t xml:space="preserve">
Sales Order #: 2291717026
RTD Screening Code: DOD
Reason for Rejection: Y9</t>
  </si>
  <si>
    <t>2YTPJJ61703932</t>
  </si>
  <si>
    <t xml:space="preserve">
Sales Order #: 2291712938
RTD Screening Code: DOD
Reason for Rejection: Y9</t>
  </si>
  <si>
    <t>2YTPJJ61703931</t>
  </si>
  <si>
    <t>THIS ITEM WILL BE USED BY THE SWEETWATER POLICE DEPARTMENT DURING LAW ENFORCEMENT OPERATIONS TO PROVIDE MEDICAL AID AND LIFE SAVING MEASURES.</t>
  </si>
  <si>
    <t xml:space="preserve">
Sales Order #: 2291574504
RTD Screening Code: DOD
Reason for Rejection: Y9</t>
  </si>
  <si>
    <t>REPLENISHABLE FIELD MEDICAL SETS, KITS</t>
  </si>
  <si>
    <t>DSMEDSETK</t>
  </si>
  <si>
    <t>2YTLN161773970</t>
  </si>
  <si>
    <t>SWEETWATER PD (2YTLN1)</t>
  </si>
  <si>
    <t>TPWD LE AND STATE PARK POLICE REQUEST THE REPLENISHMENT KITS TO RESUPPLY OFFICERS ACROSS THE STATE OF TEXAS, SUPPLY RESPONSE TRAILERS, AND ANY OTHER APPLICABLE LE USE.</t>
  </si>
  <si>
    <t xml:space="preserve">
Sales Order #: 2291557603
RTD Screening Code: DOD
Reason for Rejection: Y9</t>
  </si>
  <si>
    <t>2YTL2661773962</t>
  </si>
  <si>
    <t xml:space="preserve">
Sales Order #: 2291557601
RTD Screening Code: DOD
Reason for Rejection: Y9</t>
  </si>
  <si>
    <t>2YTL2661773960</t>
  </si>
  <si>
    <t>THIS ITEM WILL BE USED BY THE COOLIDGE POLICEDEPARTMENT ONLY. THIS ITEM WILL BE USED FOR POLICE OFFICER PRIMARY AND SECONDARY WEAPONS. THIS ITEM WILL BE USED FOR TACTICAL OPERATIONS AND TO ENHANCE THE SAFETY FOR OFFICERS</t>
  </si>
  <si>
    <t>ILLUMINATOR,INTEGRA</t>
  </si>
  <si>
    <t>2YTTAY61774030</t>
  </si>
  <si>
    <t>THE FAIRFIELD POLICE DEPARTMENT IS A LAW ENFORCEMENT AGENCY. THIS ITEM WILL BE USED FOR LAW ENFORCEMENT PURPOSES ONLY.
OUR AGENCY WILL UTILIZE THIS ITEM TO DOCUMENT AND RECORD CRIME SCENES DURING AN INVESTIGATION. THIS TOOL WILL AID IN THE CAPTURE OF EVIDENCE THAT MAY HAVE BEEN MISSED AT THE TIME OF THE ORIGINAL INVESTIGATION.</t>
  </si>
  <si>
    <t xml:space="preserve">
Sales Order #: 2289007177
RTD Screening Code: DOD
Reason for Rejection: YH</t>
  </si>
  <si>
    <t>2YTTBM61280500</t>
  </si>
  <si>
    <t>TENAHA PD WILL USE THIS ITEM IN THE POLICE DEPARTMENT FOR LIGHTING FIXTURES.</t>
  </si>
  <si>
    <t>2YTR8061633700</t>
  </si>
  <si>
    <t>THE SOCKET SET WILL BE USED BY THE ARP POLICE DEPARTMENT FOR LAW ENFORCEMENT PURPOSES ONLY. OFFICERS HAVE ASSIGNED TAKE HOME UNITS. OFFICERS PERFORM BASIC MAINTENANCE ON THE UNITS DURING DUTY HOURS AND OFF DUTY. THE SOCKET SET WILL BE INCORPORATED INTO THE TOOLS USED FOR THIS MAINTENANCE.</t>
  </si>
  <si>
    <t xml:space="preserve">
Sales Order #: 2291409516
RTD Screening Code: DOD
Reason for Rejection: Y9</t>
  </si>
  <si>
    <t>2YTANX61633687</t>
  </si>
  <si>
    <t>THE BATTERY CHARGER WILL BE USED BY THE ARP POLICE DEPARTMENT FOR LAW ENFORCEMENT PURPOSES ONLY. OFFICERS WILL USE THE BATTERY CHARGER TO CHARGE DEAD BATTERIES ON PD VEHICLES AND EQUIPMENT. THE BATTERY CHARGER WILL ALSO BE USED TO CHARGE BATTERIES ON LESO AWARDED VEHICLES AND EQUIPMENT.</t>
  </si>
  <si>
    <t xml:space="preserve">
Sales Order #: 2291010171
RTD Screening Code: DOD
Reason for Rejection: Y9</t>
  </si>
  <si>
    <t>2YTANX61633528</t>
  </si>
  <si>
    <t>WILL BE USED BY LAW ENFORCEMENT BY LAW ENFORCEMENT.  WILL BE USED TO CONTROL TRAFFIC CONTROL DEVICES DURING TIMES WHEN POWER IS LOST.</t>
  </si>
  <si>
    <t xml:space="preserve">
Sales Order #: 2288110138
RTD Screening Code: DOD
Reason for Rejection: YH</t>
  </si>
  <si>
    <t>2YTJXJ61219392</t>
  </si>
  <si>
    <t>TPWD LE DIVISION AND STATE PARK POLICE REQUEST THE CONTAINER TO BE USED IN MULTIPLE LOCATIONS ACROSS THE STATE OF TEXAS FOR DRY AND SECURE STORAGE OF LAW ENFORCEMENT RELATED EQUIPMENT, EVIDENCE AND ANY OTHER RELATED LAW ENFORCEMENT USE.</t>
  </si>
  <si>
    <t xml:space="preserve">
Sales Order #: 2291157950
RTD Screening Code: DOD
Reason for Rejection: Y9</t>
  </si>
  <si>
    <t>2YTL2661703428</t>
  </si>
  <si>
    <t xml:space="preserve">
Sales Order #: 2291157743
RTD Screening Code: DOD
Reason for Rejection: Y9</t>
  </si>
  <si>
    <t>2YTL2661703423</t>
  </si>
  <si>
    <t>WILL BE USED BY LAW ENFORCEMENT FOR LAW-ENFORCEMENT WILL BE UTILIZED FOR POLICE EVENT SUCH AS NATIONAL NIGHT OUT SAY NO TO DRUGS AND OTHER ITEMS SUCH AS THAT</t>
  </si>
  <si>
    <t xml:space="preserve">
Sales Order #: 2291023702
RTD Screening Code: DOD
Reason for Rejection: BQ</t>
  </si>
  <si>
    <t>2YTJXJ61703491</t>
  </si>
  <si>
    <t>WILL BE USED BY LAW-ENFORCEMENT FOR LAW-ENFORCEMENT WILL BE UTILIZED FOR SPECIAL EVENTS, SUCH AS NATIONAL NIGHT OUT OR SAY NO TO DRUGS OR ITEMS SUCH AS THAT</t>
  </si>
  <si>
    <t xml:space="preserve">
Sales Order #: 2291023703
RTD Screening Code: DOD
Reason for Rejection: BQ</t>
  </si>
  <si>
    <t>2YTJXJ61703490</t>
  </si>
  <si>
    <t>TENAHA PD WILL USE THIS ITEM AS A MOBILE COMMAND POST WHICH IS EXTREMELY NEEDED.</t>
  </si>
  <si>
    <t xml:space="preserve">
Sales Order #: 2290385283
RTD Screening Code: DOD
Reason for Rejection: Y9</t>
  </si>
  <si>
    <t>2YTR8061562573</t>
  </si>
  <si>
    <t>TPWD LE DIVISION REQUEST THE TRAILER TO BE USED TO TRANSPORT ATVS TO AND FROM PATROL, TO STORE ATVS IN TO PROTECT THEM, TO USE DURING EMERGENCY RESPONSE, AND ANY OTHER APPLICABLE USE</t>
  </si>
  <si>
    <t xml:space="preserve">
Sales Order #: 2290373604
RTD Screening Code: DOD
Reason for Rejection: Y9</t>
  </si>
  <si>
    <t>2YTL2661562502</t>
  </si>
  <si>
    <t>ITEM WILL BE USED BY ERATH COUNTY SHERIFFS OFFICE FOR LAW ENFORCEMENT USE ONLY. ITEM WILL BE USED TO REPAIR, MAINTAIN, AND INSTALL EQUIPMENT AND PARTS ON ECSO VEHICLES AND EQUIPMENT. THIS WILL HELP SAVE MONEY TO THE CITIZENS OF THE COUNTY BY NOT HAVING TO PAY A SHOP TO DO THE WORK. WE WILL ALSO BE ABLE TO REPAIR EQUIPMENT OUT IN THE FIELD DURING SITUATIONS THAT BEING DOWN WOULD CAUSE UNDUE STRESS OR ENDANGER LAW ENFORCEMENT.</t>
  </si>
  <si>
    <t xml:space="preserve">
Sales Order #: 2290637290
RTD Screening Code: DOD
Reason for Rejection: Y9</t>
  </si>
  <si>
    <t>2YTDTW61632998</t>
  </si>
  <si>
    <t>FAIRFIELD POLICE DEPARTMENT IS A LAW ENFORCEMENT AGENCY THAT WILL USE THIS ITEM FOR LAW ENFORCEMENT PURPOSES ONLY.
OUR AGENCY IS A SMALL TOWN WITH A SMALL POWER GRID THAT FAILS DURING HEAVY RAINS AND HIGH WINDS. THIS GENERATOR WOULD POWER OUR AGENCY BUILDING IN THE EVENT OF A POWER OUTAGE SO THAT WE MAY CONTINUE TO OPERATE WITHOUT INTERRUPTION.</t>
  </si>
  <si>
    <t xml:space="preserve">
Sales Order #: 2285864246
Reason for Rejection: YH</t>
  </si>
  <si>
    <t>2YTTBM60866618</t>
  </si>
  <si>
    <t>OUR AGENCY IS A SMALL TOWN WITH A SMALL POWER GRID THAT FAILS DURING HEAVY RAINS AND HIGH WINDS. THIS GENERATOR WOULD POWER OUR AGENCY BUILDING IN THE EVENT OF A POWER OUTAGE SO THAT WE MAY CONTINUE TO OPERATE WITHOUT INTERRUPTION.</t>
  </si>
  <si>
    <t xml:space="preserve">
Sales Order #: 2285864241
RTD Screening Code: ACCM
Reason for Rejection: YH</t>
  </si>
  <si>
    <t>2YTTBM60866616</t>
  </si>
  <si>
    <t>THE TRUCK WILL BE USED BY THE ARP POLICE DEPARTMENT FOR LAW ENFORCEMENT PURPOSES ONLY. OFFICERS WILL USE THE TRUCK TO PICK UP LESO AWARDED AND PD PURCHASED EQUIPMENT. THE TRUCK WILL ALSO BE USED TO MOVE EQUIPMENT TO AND FROM TRAINING SITES SUCH AS THE PD FIREARMS RANGE. THE LAST TRUCK WE WERE AWARDED HAD SIGNIFICANT TRANSMISSION PROBLEMS AND WE WERE UNABLE TO GET IT FIXED.</t>
  </si>
  <si>
    <t xml:space="preserve">
Sales Order #: 2288582702
RTD Screening Code: DOD
Reason for Rejection: YH</t>
  </si>
  <si>
    <t>2YTANX61280088</t>
  </si>
  <si>
    <t>THE CUTTERS WILL BE USED BY THE ARP POLICE DEPARTMENT FOR LAW ENFORCEMENT PURPOSES ONLY. OFFICERS WILL USE THE CUTTERS TO GAIN ACCESS TO BUILDING AND SECURED CONTAINERS WHEN EXECUTING SEARCH OR ARREST WARRANTS. THE CUTTERS WILL BE STORED IN OUR PATROL UNITS.</t>
  </si>
  <si>
    <t xml:space="preserve">
Sales Order #: 2288358966
RTD Screening Code: DON
Reason for Rejection: YH</t>
  </si>
  <si>
    <t>CUTTER</t>
  </si>
  <si>
    <t>DSCUTTER0</t>
  </si>
  <si>
    <t>2YTANX61210469</t>
  </si>
  <si>
    <t>TENAHA PD WOULD USE THIS ITEM FOR ROUTINE NEIGHBORHOOD PATROL.</t>
  </si>
  <si>
    <t xml:space="preserve">
Sales Order #: 2290395546
RTD Screening Code: DOD
Reason for Rejection: YH</t>
  </si>
  <si>
    <t>2YTR8061492238</t>
  </si>
  <si>
    <t>WILL BE USED BY LAW ENFORCEMENT BY LAW ENFORCEMENT.  WILL BE USED TO TRANSPORT EQUIPMENT TO SUPPORT OUR CURRENTLY 1033 AWARDED DRASH TENTS.  WHICH THE POLICE DEPARTMENT WILL USED DURING A MAN MADE OR NATURAL EVENT</t>
  </si>
  <si>
    <t xml:space="preserve">
Sales Order #: 2290373601
RTD Screening Code: DOD
Reason for Rejection: YH</t>
  </si>
  <si>
    <t>2YTJXJ61492572</t>
  </si>
  <si>
    <t>TROUP PD WOULD LIKE TO ACQUIRE THIS ITEM FOR THE USE OF SEARCHING FOR LOST ELDERLY INDIVIDUALS WITH DEMENTIA, MISSING CHILDREN IN RURAL AREAS, AND SUSPECTS WHO HAVE FLED LAW ENFORCEMENT.THIS ITEM WOULD GREATLY IMPROVED RECOVERY TIME. PAST ACQUIRED ATV ITEMS FROM LESO HAVE HAD MISSING PARTS, OR WERE COMPLETELY INOPERABLE.</t>
  </si>
  <si>
    <t xml:space="preserve">
Sales Order #: 2290545576
RTD Screening Code: DOD
Reason for Rejection: Y9</t>
  </si>
  <si>
    <t>2YTLY361633040</t>
  </si>
  <si>
    <t>TENAHA PD WILL USE THIS ITEM FOR NEIGHBORHOOD PATROLS, PARADE PATROL, AND DUE TO THE SPEIC TRAIT OF THIS ITEM WILL BE USED FOR WOODED MAN HUNTS AND MISSING PERSONS. VITAL ITEM.</t>
  </si>
  <si>
    <t xml:space="preserve">
Sales Order #: 2290701365
RTD Screening Code: DOD
Reason for Rejection: Y9</t>
  </si>
  <si>
    <t>2YTR8061632972</t>
  </si>
  <si>
    <t>THIS ALL-TERRAIN VEHICLE WILL ENHANCE LAW ENFORCEMENT OPERATIONS BY PROVIDING RAPID ACCESS TO REMOTE, OFF-ROAD, AND DISASTER-AFFECTED AREAS, IMPROVING RESPONSE TIMES FOR SEARCHES, RESCUES, PATROLS, AND EMERGENCY INCIDENTS WHERE OUR TRADITIONAL VEHICLES CANNOT SAFELY OPERATE.</t>
  </si>
  <si>
    <t xml:space="preserve">
Sales Order #: 2290701371
RTD Screening Code: DOD
Reason for Rejection: Y9</t>
  </si>
  <si>
    <t>2YTK4561633053</t>
  </si>
  <si>
    <t>SMITH CSO (2YTK45)</t>
  </si>
  <si>
    <t>TO BE STORED AT THE SAN MARCOS POLICE DEPARTMENT AND UTILIZED BY THE AGENCY FOR USE IN THE OVER 2000 ACRES OF GREENSPACE IN THE CITY TO TRAVERSE AREAS NOT ACCESSIBLE BY A VEHICLE AS WELL AS DURING LARGE EVENTS FOR TRANSPORTATION WHEN WE STAND UP A RESCUE TASK FORCE.</t>
  </si>
  <si>
    <t>2YTKPP61633114</t>
  </si>
  <si>
    <t>THE ROBERTSON COUNTY SHERIFF'S OFFICE REQUESTS THIS CONTROLLED PROPERTY TO SUPPORT SPECIALIZED LAW ENFORCEMENT OPERATIONS. THE EQUIPMENT WILL BE UTILIZED BY TRAINED PERSONNEL DURING TACTICAL DEPLOYMENTS, SURVEILLANCE OPERATIONS, FUGITIVE APPREHENSIONS, SEARCH MISSIONS, AND CRITICAL INCIDENT RESPONSE. THIS CAPABILITY ENHANCES OFFICER SAFETY AND OPERATIONAL EFFECTIVENESS IN RURAL ENVIRONMENTS WHILE REDUCING COSTS TO TAXPAYERS. ALL LESO ACCOUNTABILITY REQUIREMENTS WILL BE FOLLOWED.</t>
  </si>
  <si>
    <t>2YTKBT61633116</t>
  </si>
  <si>
    <t>ROBERTSON CSO (2YTKBT)</t>
  </si>
  <si>
    <t>WILL BE USED BY LAW ENFORCEMENT BY LAW ENFORCEMENT. WILL BE USED INSIDE ALREADY AWARDED DRASH SYSTEM TO DISPLAY INFORMATION ON OPERATIONS</t>
  </si>
  <si>
    <t xml:space="preserve">
Sales Order #: 2290732838
RTD Screening Code: DOD
Reason for Rejection: Y9</t>
  </si>
  <si>
    <t>2YTJXJ61633030</t>
  </si>
  <si>
    <t>TPWD LE DIVISION REQUEST THE ALL-TERRAIN VEHICLE TO BE UTILIZED Y GAME WARDENS ON PATROL IN OFF ROAD SITUATIONS, EMERGENCY RESPONSE ACROSS THE STATE, AND ANY OTHER APPLICABLE LE USE.</t>
  </si>
  <si>
    <t xml:space="preserve">
Sales Order #: 2290545590
RTD Screening Code: DOD
Reason for Rejection: Y9</t>
  </si>
  <si>
    <t>2YTL2661633019</t>
  </si>
  <si>
    <t>ITEM WILL BE USED BY THE ERATH COUNTY SHERIFFS OFFICE FOR LAW ENFORCEMENT USE ONLY. ITEM WILL BE USED FOR SEARCH AND RESCUE DURING NATURAL DISASTER SITUATIONS SUCH AS THE FLOODING IN KEER COUNTY LAST YEAR. WE PROVIDED AIDE IN SEARCH AND RECOVERY. BE USED ALSO FOR CITIZENS THAT ARE LOST OR MISSING IN OUR COUNTY AND SURROUNDING COUNTIES.</t>
  </si>
  <si>
    <t xml:space="preserve">
Sales Order #: 2290701370
RTD Screening Code: DOD
Reason for Rejection: Y9</t>
  </si>
  <si>
    <t>2YTDTW61632996</t>
  </si>
  <si>
    <t>THIS ITEM WILL BE USED BY THE COOLIDGE POLICE DEPARTMENT ONLY. THIS ITEM WILL BE USED TO PATROL AREAS VEHICLES STREET VEHICLES CANNOT GO. THIS ITEM WILL BE USED FOR SEARCH AND RESCUE, LARGE POPULATE AREAS AND EVENTS FOR POLICE RESPONSE. THIS ITEM WILL BE USED TO TRANSPORT OFFICERS TO OFF ROAD LOCATIONS FOR EMERGENCY RESPONSE, DRUG TRAFFICKING, HUMAN TRAFFICKING.</t>
  </si>
  <si>
    <t xml:space="preserve">
Sales Order #: 2290641092
RTD Screening Code: DOD
Reason for Rejection: Y9</t>
  </si>
  <si>
    <t>2YTTAY61633006</t>
  </si>
  <si>
    <t>THE ATV WILL BE USED BY THE ARP POLICE DEPARTMENT FOR LAW ENFORCEMENT PURPOSES ONLY. THE CITY OF ARP IS A FARMING COMMUNITY WITH LARGE TRACKS OF LAND. OFFICERS WILL USE THE ATV TO SEARCH FOR MISSING ELDERLY WITH DEMENTIA, MISSING CHILDREN AND SUSPECTS. THE PREVIOUS ATV AWARDED LIKE THIS ONE WAS MISSING ENGINE AND TRANSMISSION PARTS. WE WERE UNABLE TO GET IT RUNNING.</t>
  </si>
  <si>
    <t xml:space="preserve">
Sales Order #: 2290637295
RTD Screening Code: DOD
Reason for Rejection: Y9</t>
  </si>
  <si>
    <t>2YTANX61632949</t>
  </si>
  <si>
    <t>OUR AGENCY REQUESTS TWO UP ARMORED HMMWV THROUGH THE 1033 PROGRAM TO ENHANCE OFFICER AND CIVILIAN SAFETY DURING HIGH RISK LAW ENFORCEMENT OPERATIONS. THE VEHICLE WILL BE USED FOR ACTIVE SHOOTER INCIDENTS, BARRICADED SUBJECTS, HOSTAGE SITUATIONS, HIGH RISK WARRANT SERVICE, COUNTER NARCOTICS OPERATIONS, AND RESCUE OF INJURED CITIZENS OR OFFICERS FROM DANGEROUS ENVIRONMENTS. THIS ASSET PROVIDES PROTECTED MOBILITY AND IMPROVES OPERATIONAL CAPABILITIES WHILE REDUCING RISK TO PERSONNEL.</t>
  </si>
  <si>
    <t>Rejected by EJR01036.  Comments: Must have an already approved Armored Vehicle Request form on file at LESO prior to requesting items labeled CONTROLLED.  TX LESO.</t>
  </si>
  <si>
    <t>2YTKBT61563171</t>
  </si>
  <si>
    <t>OUR AGENCY REQUESTS ONE UP ARMORED HMMWV THROUGH THE 1033 PROGRAM TO ENHANCE OFFICER AND CIVILIAN SAFETY DURING HIGH RISK LAW ENFORCEMENT OPERATIONS. THE VEHICLE WILL BE USED FOR ACTIVE SHOOTER INCIDENTS, BARRICADED SUBJECTS, HOSTAGE SITUATIONS, HIGH RISK WARRANT SERVICE, COUNTER NARCOTICS OPERATIONS, AND RESCUE OF INJURED CITIZENS OR OFFICERS FROM DANGEROUS ENVIRONMENTS. THIS ASSET PROVIDES PROTECTED MOBILITY AND IMPROVES OPERATIONAL CAPABILITIES WHILE REDUCING RISK TO PERSONNEL.</t>
  </si>
  <si>
    <t>2YTKBT61563170</t>
  </si>
  <si>
    <t>TROUP PD WOULD LIKE TO ACQUIRE THIS ITEM FOR THE USE OF TRANSPORTING ITEMS OBTAINED THROUGH THE LESO PROGRAM, SEIZED EQUIPMENT, AND POLICE EQUIPMENT. PREVIOUS TRAILERS OBTAINED HAVE BEEN INOPERABLE OR DAMAGED, MAKING THE ITEM UNSAFE FOR TRAVEL.</t>
  </si>
  <si>
    <t xml:space="preserve">
Sales Order #: 2290545568
RTD Screening Code: DOD
Reason for Rejection: BQ</t>
  </si>
  <si>
    <t>2YTLY361633047</t>
  </si>
  <si>
    <t>WILL BE USED BY LAW ENFORCEMENT BY LAW ENFORCEMENT.  WILL BE USED BY POLICE DEPARTMENT TO MOVE EQUIPMENT ALREADY GIVEN TO THE PD BY THE 1033 PROGRAM</t>
  </si>
  <si>
    <t xml:space="preserve">
Sales Order #: 2290701375
RTD Screening Code: DOD
Reason for Rejection: BQ</t>
  </si>
  <si>
    <t>2YTJXJ61633029</t>
  </si>
  <si>
    <t>TPWD LE DIVISION REQUEST THE TRAILER TO TRANSPORT ATVS TO AND FROM RURAL PATROL, TO USE IN TRANSPORTING SUPPLIES TO AND FROM LE OFFICES, AND ANY OTHER APPLICABLE LE USE.</t>
  </si>
  <si>
    <t xml:space="preserve">
Sales Order #: 2290701366
RTD Screening Code: DOD
Reason for Rejection: BQ</t>
  </si>
  <si>
    <t>2YTL2661633021</t>
  </si>
  <si>
    <t>TPWD LE DIVISION REQUEST THE WASHERS TO BE USED TO CLEAN CLOTHES AND TOWELS AT TRAINING FACILITIES, BOAT BARNS, AND REPAIR COMPLEXES. AS WELL AS ANY OTHER APPLICABLE LE USE.</t>
  </si>
  <si>
    <t xml:space="preserve">
Sales Order #: 2289086340
RTD Screening Code: DOD
Reason for Rejection: YH</t>
  </si>
  <si>
    <t>2YTL2661350807</t>
  </si>
  <si>
    <t>THIS ITEM WILL BE USED BY THE COOLIDGE POLICEDEPARTMENT ONLY. THIS ITEM WILL BE USED TO TO TRANSPORT EMERGENCY RESPONSE ITEMS AND VEHICLES TO A SECURE OR EMERGENCY LOCATION. THIS ITEM WILL BE USED BY THE COOLIDGE POLICE DEPARTMENT FOR SPECIAL EVENTS AND EMERGENCY SITUATIONS FOR PUBLIC SAFETY OF ITS CITIZENS</t>
  </si>
  <si>
    <t xml:space="preserve">
Sales Order #: 2290637288
RTD Screening Code: DOD
Reason for Rejection: BQ</t>
  </si>
  <si>
    <t>2YTTAY61633007</t>
  </si>
  <si>
    <t>THE TRAILER WILL BE USED BY THE ARP POLICE DEPARTMENT FOR LAW ENFORCEMENT PURPOSES ONLY. THE FLATBED TRAILER WILL BE USED BY OFFICERS TO PICK UP LESO EQUIPMENT AND MOVE PD OWNED EQUIPMENT TO AND FROM TRAINING LOCATIONS. OFFICERS CURRENTLY USE THEIR PERSONAL TRAILERS TO PICKUP LESO EQUIPMENT AS WE DON'T HAVE A TRAILER BIG ENOUGH TO DO SO.</t>
  </si>
  <si>
    <t xml:space="preserve">
Sales Order #: 2290641086
RTD Screening Code: DOD
Reason for Rejection: BQ</t>
  </si>
  <si>
    <t>2YTANX61632955</t>
  </si>
  <si>
    <t>TENAHA PD WILL USE THIS ITEM FOR NEIGHBORHOOD AND PARADE PATROL.</t>
  </si>
  <si>
    <t>Rejected by EJR01036.  Comments: ITEM IS IN GSA CYCLE AT THIS TIME AND IS OFF LIMITS TO LESO. .</t>
  </si>
  <si>
    <t>CART,GOLF</t>
  </si>
  <si>
    <t>2YTR8061502817</t>
  </si>
  <si>
    <t>TENAHA PD WILL USE THIS ITEM FOR EMERGENCY SITUATIONS AND ALSO AT THE MOBILE COMMAND POST.</t>
  </si>
  <si>
    <t xml:space="preserve">
Sales Order #: 2290395545
RTD Screening Code: DOD
Reason for Rejection: Y9</t>
  </si>
  <si>
    <t>2YTR8061492577</t>
  </si>
  <si>
    <t>TROUP PD WOULD LIKE TO ACQUIRE THIS ITEM FOR THE USE OF VISUAL TRAINING AT THE TROUP PD TRAINING FACILITY AND GYM.</t>
  </si>
  <si>
    <t xml:space="preserve">
Sales Order #: 2290216004
RTD Screening Code: DOD
Reason for Rejection: Y9</t>
  </si>
  <si>
    <t>TELEVISION, PERSONAL/HOME USE</t>
  </si>
  <si>
    <t>DSTELEVI3</t>
  </si>
  <si>
    <t>2YTLY361562414</t>
  </si>
  <si>
    <t>WILL BE USED BY LAW ENFORCEMENT FOR LAW ENFORCEMENT.  COMPUTER WILL BE PLACED IN BOOKING TO BOOK PERSONS ARRESTED.</t>
  </si>
  <si>
    <t xml:space="preserve">
Sales Order #: 2290373598
RTD Screening Code: DOD
Reason for Rejection: Y9</t>
  </si>
  <si>
    <t>2YTJXJ61562576</t>
  </si>
  <si>
    <t>TPWD LE DIVISION REQUEST THE TV TO USE IN AN OFFICE SETTING TO PROVIDE INFORMATION TO THE PUBLIC CONDUCTING BUSINESS IN THE OFFICE.</t>
  </si>
  <si>
    <t xml:space="preserve">
Sales Order #: 2290373586
RTD Screening Code: DOD
Reason for Rejection: Y9</t>
  </si>
  <si>
    <t>2YTL2661562503</t>
  </si>
  <si>
    <t>THIS ITEM WILL BE USED BY THE COOLIDGE POLICE DEPARTMENT ONLY. THIS ITEM WILL BE USED FOR SEARCH AND RESCUE, LAW ENFORCEMENT RESPONSE AT SPECIAL EVENTS, PUBLIC SAFETY, AND TO TRANSPORT OFFICERS IN LARGE CROWDS WHERE LARGER VEHICLES ARE IMPRACTICAL</t>
  </si>
  <si>
    <t>2YTTAY61422784</t>
  </si>
  <si>
    <t>WILL BE USED BY LAW ENFORCEMENT BY LAW ENFORCEMENT.  WILL BE USED AS A STAGING OR COMMAND CENTER FOR LAW ENFORCEMENT DURING AN EVENT OR INCIDENT</t>
  </si>
  <si>
    <t xml:space="preserve">
Sales Order #: 2289811974
RTD Screening Code: DOD
Reason for Rejection: Y9</t>
  </si>
  <si>
    <t>2YTJXJ61492041</t>
  </si>
  <si>
    <t>FOR LEO WEAPON MANAGEMENT UTILIZATION AT USBP STATIONS AND SECTORS.</t>
  </si>
  <si>
    <t xml:space="preserve">
Sales Order #: 2285180135
RTD Screening Code: DOD
Reason for Rejection: YG</t>
  </si>
  <si>
    <t>2YTMDH60655053</t>
  </si>
  <si>
    <t>DHS/CBP PATROL EL PASO (2YTMDH)</t>
  </si>
  <si>
    <t xml:space="preserve">
Sales Order #: 2285152396
RTD Screening Code: DOD
Reason for Rejection: YG</t>
  </si>
  <si>
    <t>2YTMDH60655050</t>
  </si>
  <si>
    <t xml:space="preserve">
Sales Order #: 2285177754
RTD Screening Code: DOD
Reason for Rejection: YG</t>
  </si>
  <si>
    <t>2YTMDH60655048</t>
  </si>
  <si>
    <t xml:space="preserve">
Sales Order #: 2285180132
RTD Screening Code: DOD
Reason for Rejection: YG</t>
  </si>
  <si>
    <t>2YTMDH60655045</t>
  </si>
  <si>
    <t>TENAHA PD WILL USE THIS ITEM EITHER AT A MOBILE COMMAND CENTER OR TO USE THE POLICE DEPARTMENT FOR EMERGENCY SITUATIONS.</t>
  </si>
  <si>
    <t>Rejected by EJR01036.  Comments: THIS ITEM SHOWS AS DONATION CYCLE. LEAs MAY ONLY REQUEST ITEMS IN THE DOD AND RTD2 CYCLES. TX LESO.</t>
  </si>
  <si>
    <t>TENT, SUPPORT TRAILER,35K GEN,TAN,BASE-X</t>
  </si>
  <si>
    <t>2YTR8061460421</t>
  </si>
  <si>
    <t>THIS PACKBOT 510 WILL BE USED BY THE NACOGDOCHES POLICE DEPARTMENT TO SAFELY CLEAR STRUCTURES AND PREVENT OFFICERS AND CITIZENS FROM HARM.</t>
  </si>
  <si>
    <t>Rejected by EJR01036.  Comments: YOU WILL RECEIVE AN EMAIL FROM TEXAS LESO EXPLAINING POLICY..</t>
  </si>
  <si>
    <t>2YT1AG61842618</t>
  </si>
  <si>
    <t>NACOGDOCHES POLICE DEPT (2YT1AG)</t>
  </si>
  <si>
    <t xml:space="preserve">
Sales Order #: 2289335298
RTD Screening Code: DOD
Reason for Rejection: Y9</t>
  </si>
  <si>
    <t>2YTJXJ61421309</t>
  </si>
  <si>
    <t>TROUP PD WOULD LIKE TO ACQUIRE THESE ITEMS FOR THE USE OF STORING OUR VEHICLE TOOLS AND EQUIPMENT.</t>
  </si>
  <si>
    <t xml:space="preserve">
Sales Order #: 2289879872
RTD Screening Code: DOD
Reason for Rejection: Y9</t>
  </si>
  <si>
    <t>2YTLY361491821</t>
  </si>
  <si>
    <t>WILL BE USED BY LAW ENFORCEMENT FOR LAW ENFORCEMENT.  WILL BE USED BY OFFICERS TO GET TO LOCATIONS A POLICE VEHICLES IS NOT ABLE TO GET TO DURING EVENTS.</t>
  </si>
  <si>
    <t xml:space="preserve">
Sales Order #: 2289356810
RTD Screening Code: DOD
Reason for Rejection: Y9</t>
  </si>
  <si>
    <t>2YTJXJ61421314</t>
  </si>
  <si>
    <t xml:space="preserve">
Sales Order #: 2289544630
RTD Screening Code: DOD
Reason for Rejection: Y9</t>
  </si>
  <si>
    <t>2YTJXJ61421312</t>
  </si>
  <si>
    <t>FOR LAW ENFORCEMENT USE ONLY. THE WEST POLICE DEPARTMENT WILL UTILIZE THESE TWO MEDICAL STRETCHERS TO ENHANCE POLICE OFFICER AND FIRST RESPONDER ABILITIES TO MOVE INJURED PERSONS AT MASS CASUALTY OR DISASTER EVENTS.</t>
  </si>
  <si>
    <t xml:space="preserve">
Sales Order #: 2288642205
RTD Screening Code: GSA
Reason for Rejection: YH</t>
  </si>
  <si>
    <t>2YTPJJ61280726</t>
  </si>
  <si>
    <t xml:space="preserve">
Sales Order #: 2289811972
RTD Screening Code: DOD
Reason for Rejection: Y9</t>
  </si>
  <si>
    <t>2YTL2661422047</t>
  </si>
  <si>
    <t xml:space="preserve">
Sales Order #: 2288477313
RTD Screening Code: DOD
Reason for Rejection: YH</t>
  </si>
  <si>
    <t>2YTTBW61219952</t>
  </si>
  <si>
    <t>MVISD POLICE DEPARTMENT IS REQUESTING THESE ITEMS TO BE USED BY OFFICERS FOR TRAINING FOR ACTIVE SHOOTER AND CRITICAL INCIDENTS INVOLVING THE PROTECTION OF STUDENTS AND DISTRICT STAFF.</t>
  </si>
  <si>
    <t xml:space="preserve">
Sales Order #: 2287529157
RTD Screening Code: DOD
Reason for Rejection: YH</t>
  </si>
  <si>
    <t>2YTTBW61078773</t>
  </si>
  <si>
    <t>THE GILMER POLICE DEPARTMENT WILL UTILIZE THIS EQUIPMENT FOR LAW ENFORCEMENT PURPOSES BY HELPING OFFICERS PATROL HIGHLY POPULATED AREAS DOWNTOWN, SPECIFICALLY EVENTS. THIS WILL HELP OFFICERS MOVE QUICKLY IN CASE OF EMERGENCIES.</t>
  </si>
  <si>
    <t xml:space="preserve">
Sales Order #: 2290174026
RTD Screening Code: DOD
Reason for Rejection: Y9</t>
  </si>
  <si>
    <t>2YTELH61422136</t>
  </si>
  <si>
    <t>GILMER PD (2YTELH)</t>
  </si>
  <si>
    <t>THIS GENERATOR WILL BE UTILIZED BY THE LAW ENFORCEMENT PERSONNEL WITH THE WEST POLICE DEPARTMENT TO ALLOW FOR CONTINUOUS EMERGENCY OPERATIONS DURING POWER OUTAGE SITUATIONS. ADDITIONALLY, THE MOBILITY OF THIS GENERATOR WILL ENHANCE THE SUCCESS OF A VARIETY OF LAW ENFORCEMENT MISSIONS DURING POWER OUTAGE EMERGENCIES INSTEAD OF ONE SINGLE SETTING.</t>
  </si>
  <si>
    <t xml:space="preserve">
Sales Order #: 2287843723
RTD Screening Code: DOD
Reason for Rejection: YH</t>
  </si>
  <si>
    <t>2YTPJJ61148868</t>
  </si>
  <si>
    <t>TO BE USED BY TENAHA PD FOR HIGH RISK SITUATIONS OR CALLS OF SERVICE TO BE USED TO GAIN INTEL IN A DANGEROUS SITUATION.</t>
  </si>
  <si>
    <t xml:space="preserve">
Sales Order #: 2287148131
RTD Screening Code: DOD
Reason for Rejection: YH</t>
  </si>
  <si>
    <t>UNMANNED VEHICLE</t>
  </si>
  <si>
    <t>2YTR8061146805</t>
  </si>
  <si>
    <t>THE TRAILER WILL BE USED BY THE ARP POLICE DEPARTMENT FOR LAW ENFORCEMENT PURPOSES ONLY. ARP PD HAS RECEIVED AN UTV THROUGH THE LESO PROGRAM THAT WE HAVE BEEN ABLE TO GET WORKING. THIS TRAILER WILL BE USED BY OFFICERS WHILE UTILIZING THE UTV TO MOVE PD AND LESO EQUIPMENT TO AND FROM TRAINING AND CALLS FOR SERVICE.</t>
  </si>
  <si>
    <t xml:space="preserve">
Sales Order #: 2289958416
RTD Screening Code: DOD
Reason for Rejection: Y9</t>
  </si>
  <si>
    <t>2YTANX61491792</t>
  </si>
  <si>
    <t>FOR LAW ENFORCEMENT USE ONLY. THE WEST POLICE DEPARTMENT WILL UTILIZE THIS TRAINING AID TO ENHANCE THE ABILITIES OF THE WEST POLICE TRAINING UNIT AND IMPROVE THE PROFESSIONAL SERVICES AND CAPABILITIES OF WEST POLICE OFFICERS.</t>
  </si>
  <si>
    <t xml:space="preserve">
Sales Order #: 2285864906
RTD Screening Code: DOD
Reason for Rejection: YH</t>
  </si>
  <si>
    <t>2YTPJJ60866540</t>
  </si>
  <si>
    <t>2YTL2661422048</t>
  </si>
  <si>
    <t>2YTL2661422045</t>
  </si>
  <si>
    <t>2YTL2661422044</t>
  </si>
  <si>
    <t>THE GILMER POLICE DEPARTMENT WOULD UTILIZE THIS EQUIPMENT FOR LAW ENFORCEMENT PURPOSES DURING LARGE EVENTS DOWNTOWN ON THE SQUARE TO MOVE OFFICERS AROUND THE AREA QUICKLY TO ENSURE PUBLIC SAFETY AND PATROL DURING THE NUMEROUS EVENTS HELD YEARLY.</t>
  </si>
  <si>
    <t xml:space="preserve">
Sales Order #: 2290010726
RTD Screening Code: DOD
Reason for Rejection: Y9</t>
  </si>
  <si>
    <t>2YTELH61421949</t>
  </si>
  <si>
    <t>THE COOLERS WILL BE USED BY THE ARP POLICE DEPARTMENT FOR LAW ENFORCEMENT PURPOSES ONLY. OFFICERS WILL USE THE COOLERS TO PACK THEIR LUNCHES AND TO KEEP BOTTLES OF WATER AND GATORADE COOL DURING THE SUMMER MONTHS SO THEY CAN STAY HYDRATED. THE COOLERS WILL ALSO BE USED IN THE WARMING AND COOLING SHELTER TO PROVIDE COLD DRINKS FOR THE COMMUNITY DURING NATURAL DISASTERS.</t>
  </si>
  <si>
    <t xml:space="preserve">
Sales Order #: 2289567186
RTD Screening Code: DOD
Reason for Rejection: Y9</t>
  </si>
  <si>
    <t>CHEST,ICE STORAGE</t>
  </si>
  <si>
    <t>2YTANX61421475</t>
  </si>
  <si>
    <t>TROUP PD WOULD LIKE TO ACQUIRE THIS ITEM FOR THE HELP OF MAINTAINING THE ROAD, DITCHES AND PROPERTY TO AND FROM OUR TRAINING FACILITY AND SHOOTING RANGE. THIS ITEM WILL HELP WITH INCREASE THE HEIGHT OF THE SHOOTING BERM, ETC.</t>
  </si>
  <si>
    <t>Rejected by EJR01036.  Comments: PER LESO POLICY YOU MUST FURNISH PHOTOS OF YOUR RANGE SIGN OR FACILITY IN ORDER TO REQUEST HEAVY EQUIPMENT FOR RANGE OPERATIONS. PLEASE SEND YOUR PHOTOS TO TEXAS LESO THEN RESUBMIT YOUR REQUEST..</t>
  </si>
  <si>
    <t>2YTLY361492077</t>
  </si>
  <si>
    <t>FOR LAW ENFORCEMENT USE ONLY. THE WEST POLICE DEPARTMENT WILL UTILIZE THESE TRAFFIC CONTROL TRAILERS TO ENHANCE TRAFFIC SAFETY ON SEVERAL HIGHWAY ACCESS ROADS AND SCHOOL ZONED STREETS WITHIN THE CITY OF WEST.</t>
  </si>
  <si>
    <t xml:space="preserve">
Sales Order #: 2288519416
RTD Screening Code: DOD
Reason for Rejection: Y9</t>
  </si>
  <si>
    <t>2YTPJJ61350732</t>
  </si>
  <si>
    <t xml:space="preserve">
Sales Order #: 2289086324
RTD Screening Code: DOD
Reason for Rejection: Y9</t>
  </si>
  <si>
    <t>2YTPJJ61350731</t>
  </si>
  <si>
    <t>THE FAIRFIELD POLICE DEPARTMENT IS A LAW ENFORCEMENT AGENCY. THIS ITEM WILL BE USED FOR LAW ENFORCEMENT PURPOSES ONLY.
OUR AGENCY WILL USE THIS ITEM TO REGULATE THE SPEED OF TRAVELERS ON THE ROADWAY. IT WILL ALSO BE UTILIZED AS A MOUNTING POINT FOR LICENSE PLATE READERS.</t>
  </si>
  <si>
    <t xml:space="preserve">
Sales Order #: 2288894865
RTD Screening Code: DOD
Reason for Rejection: Y9</t>
  </si>
  <si>
    <t>2YTTBM61350889</t>
  </si>
  <si>
    <t>TPW LE DIVISION REQUEST THE SPAX TO ISSUE TO LAW ENFORCEMENT OFFICERS WHO WORK IN RURAL ENVIRONMENTS AND WILL BE UTILIZED IN THEIR DUTIES AS NEEDED.</t>
  </si>
  <si>
    <t xml:space="preserve">
Sales Order #: 2288519401
RTD Screening Code: DOD
Reason for Rejection: YG</t>
  </si>
  <si>
    <t>2YTL2661280813</t>
  </si>
  <si>
    <t>THIS DRONE WILL BE USED BY OFFICERS OF THE SMITHVILLE POLICE DEPARTMENT FOR OPERATIONS IN BARRICADED SUBJECTS, FUGITIVE APPREHENSION, SEARCH AND RESCUE, NATURAL DISASTERS, AND ANY OTHER SITUATION IN WHICH A DRONE WOULD BE A USEFUL ASSET.</t>
  </si>
  <si>
    <t xml:space="preserve">
Sales Order #: 2289369051
RTD Screening Code: DOD
Reason for Rejection: Y9</t>
  </si>
  <si>
    <t>2YTK5T61351291</t>
  </si>
  <si>
    <t>THE MADISONVILLE POLICE DEPARTMENT WILL USE THESE MULES FOR PERIMETER PATROL FOR EVENTS AND LARGE GATHERINGS FOR THE POLICE OFFICER TO GET TO SITUATIONS FASTER THAN ON FOOT.</t>
  </si>
  <si>
    <t xml:space="preserve">
Sales Order #: 2286317831
RTD Screening Code: DOD
Reason for Rejection: YG</t>
  </si>
  <si>
    <t>2YTG5660867107</t>
  </si>
  <si>
    <t>MADISONVILLE POLICE DEPARTMENT (2YTG56)</t>
  </si>
  <si>
    <t>THE TORX SOCKETS WILL BE USED BY THE ARP POLICE DEPARTMENT FOR LAW ENFORCEMENT PURPOSES ONLY. OFFICERS WILL USE THE TORX SOCKETS TO PERFORM BASIC MAINTENANCE ON PD AND LESO VEHICLES AND EQUIPMENT. OFFICERS WILL USE THE TORX SOCKETS TO CHANGE BRAKES, BATTERIES, ALTERNATORS, ETC.</t>
  </si>
  <si>
    <t xml:space="preserve">
Sales Order #: 2289567190
RTD Screening Code: DOD
Reason for Rejection: Y9</t>
  </si>
  <si>
    <t>2YTANX61421442</t>
  </si>
  <si>
    <t>THE CABINETS WILL BE USED BY THE ARP POLICE DEPARTMENT FOR LAW ENFORCEMENT PURPOSES ONLY. OFFICERS AND ADMIN WILL UTILIZE THE CABINETS TO STORE OFFICE SUPPLIES AND OFFICIAL FILES AT THEIR DESKS.</t>
  </si>
  <si>
    <t xml:space="preserve">
Sales Order #: 2289210595
RTD Screening Code: DOD
Reason for Rejection: Y9</t>
  </si>
  <si>
    <t>SIDE CABINET,MOBILE TOOL CABINET</t>
  </si>
  <si>
    <t>2YTANX61351096</t>
  </si>
  <si>
    <t>THE KATY POLICE DEPARTMENT WILL UTILIZE THESE UNITS IN THEIR DAILY OFFICIAL DUTIES RELATED TO SPECIAL RESPONSE TEAM MISSION, TRAINING, AND UNIT OPERATIONS.  THESE UNITS WOULD SUPPLEMENT OUR UNIT WITH A TECHNOLOGY THE DEPARTMENT DOESN'T ISSUE OR BUDGET FOR.</t>
  </si>
  <si>
    <t>Rejected by EJR01036.  Comments: TX LESO WILL SEND YOU AN EMAIL ABOUT THIS REQUEST.</t>
  </si>
  <si>
    <t>2YTF3T61351342</t>
  </si>
  <si>
    <t>TROUP POLICE DEPARTMENT IS SEEKING TO ACQUIRE THESE ITEMS TO ENSURE RELIABLE BACKUP POWER DURING HAZARDOUS WEATHER EVENTS AND EMERGENCY SITUATIONS THAT MAY DISRUPT NORMAL OPERATIONS. THESE RESOURCES WILL ALSO SUPPORT RURAL COMMAND POSTS ESTABLISHED DURING SEARCH AND RESCUE OPERATIONS, WHERE DEPENDABLE POWER IS CRITICAL FOR COMMUNICATIONS, LIGHTING, AND OPERATIONAL COORDINATION.</t>
  </si>
  <si>
    <t>UTILITIES SUPPORT U</t>
  </si>
  <si>
    <t>2YTLY361281190</t>
  </si>
  <si>
    <t xml:space="preserve">
Sales Order #: 2288642195
RTD Screening Code: DOD
Reason for Rejection: Y9</t>
  </si>
  <si>
    <t>2YTL2661350802</t>
  </si>
  <si>
    <t xml:space="preserve">
Sales Order #: 2289086318
RTD Screening Code: DOD
Reason for Rejection: Y9</t>
  </si>
  <si>
    <t>2YTL2661350800</t>
  </si>
  <si>
    <t xml:space="preserve">
Sales Order #: 2288519414
RTD Screening Code: DOD
Reason for Rejection: Y9</t>
  </si>
  <si>
    <t>2YTL2661350799</t>
  </si>
  <si>
    <t xml:space="preserve">
Sales Order #: 2288519411
RTD Screening Code: DOD
Reason for Rejection: Y9</t>
  </si>
  <si>
    <t>2YTL2661350798</t>
  </si>
  <si>
    <t xml:space="preserve">
Sales Order #: 2288642192
RTD Screening Code: DOD
Reason for Rejection: Y9</t>
  </si>
  <si>
    <t>2YTL2661350796</t>
  </si>
  <si>
    <t xml:space="preserve">
Sales Order #: 2288519400
RTD Screening Code: DOD
Reason for Rejection: Y9</t>
  </si>
  <si>
    <t>2YTL2661350794</t>
  </si>
  <si>
    <t xml:space="preserve">
Sales Order #: 2288642200
RTD Screening Code: DOD
Reason for Rejection: Y9</t>
  </si>
  <si>
    <t>2YTL2661350793</t>
  </si>
  <si>
    <t xml:space="preserve">
Sales Order #: 2288519407
RTD Screening Code: DOD
Reason for Rejection: Y9</t>
  </si>
  <si>
    <t>2YTL2661350792</t>
  </si>
  <si>
    <t xml:space="preserve">
Sales Order #: 2288519402
RTD Screening Code: DOD
Reason for Rejection: Y9</t>
  </si>
  <si>
    <t>2YTL2661350791</t>
  </si>
  <si>
    <t>THIS ITEM WILL BE USED FOR LAW ENFORCEMENT PURPOSE ONLY TO HELP WITH OPERATIONS IN OFF ROAD ENVIRONMENT</t>
  </si>
  <si>
    <t>2YTERJ61351267</t>
  </si>
  <si>
    <t>2YTJXJ61421313</t>
  </si>
  <si>
    <t>THE MEDINA VALLEY POLICE DEPARTMENT IS REQUESTING ONE OF THESE ITEMS TO BE UTILIZED BY LAW ENFORCEMENT FOR REPAIR AND MAINTENANCE OF LAW ENFORCEMENT VEHICLES AND RANGE EQUIPMENT.  THIS MAINTENANCE IS CRITICAL FOR PROACTIVE CRIME SUPPRESSION AND TRAINING FOR THE PREVENTION OF AND RESPONSE TO ACTIVE SHOOTINGS AND MASS CASUALITY EVENTS.</t>
  </si>
  <si>
    <t xml:space="preserve">
Sales Order #: 2288924328
RTD Screening Code: DOD
Reason for Rejection: Y9</t>
  </si>
  <si>
    <t>2YTTBW61280491</t>
  </si>
  <si>
    <t>THE MEDINA VALLEY POLICE DEPARTMENT IS REQUESTING THIS ITEM TO REPAIR AND MAINTAIN LAW ENFORCEMENT VEHICLES AND EQUIPMENT. THIS EQUIPMENT WILL ALLOW OFFICERS TO PROACTIVELY SUPPRESS CRIME AND RESPOND TO CRITICAL INCIDENTS FOR THE IMMEDIATE PRESERVATION OF LIFE.</t>
  </si>
  <si>
    <t xml:space="preserve">
Sales Order #: 2288702225
RTD Screening Code: DOD
Reason for Rejection: Y9</t>
  </si>
  <si>
    <t>2YTTBW61280215</t>
  </si>
  <si>
    <t>HOUSTON POLICE DEPARTMENT WILL USE THESE TOOLBOXES FOR LAW ENFORCEMENT PURPOSES ONLY, IN ORDER TO STORE TOOLS AND EQUIPMENT USED TO MAINTAINING POLICE VEHICLES AND EQUIPMENT.</t>
  </si>
  <si>
    <t xml:space="preserve">
Sales Order #: 2288535281
RTD Screening Code: DOD
Reason for Rejection: Y9</t>
  </si>
  <si>
    <t>2YTFKH61280462</t>
  </si>
  <si>
    <t xml:space="preserve">
Sales Order #: 2288535284
RTD Screening Code: DOD
Reason for Rejection: Y9</t>
  </si>
  <si>
    <t>2YTFKH61280461</t>
  </si>
  <si>
    <t>RESPECTFULLY REQUEST A RIDING LAWN MOWER FOR EXCLUSIVE USE BY THE FALLS COUNTY SHERIFF'S OFFICE.  THE FALLS COUNTY SHERIFF OFFICE SITS ON A 25 ACRE PLOT THAT WE ARE RESPONSIBLE FOR MAINTAINING AND THE MOWER WOULD ONLY BE USED TO GROUNDS MAINTENANCE AT THE LAW ENFORCEMENT CENTER.</t>
  </si>
  <si>
    <t xml:space="preserve">
Sales Order #: 2288882141
RTD Screening Code: DOD
Reason for Rejection: Y9</t>
  </si>
  <si>
    <t>2YTDYY61280446</t>
  </si>
  <si>
    <t>THE PREACHER CURL BENCH WILL BE USED BY THE ARP POLICE DEPARTMENT FOR LAW ENFORCEMENT PURPOSES ONLY. ARP PD HAS AN OFFICER WELLNESS PROGRAM THAT ALLOWS OFFICERS TO WORKOUT WHILE ON DUTY. THIS PIECE OF EQUIPMENT WILL BE ADDED TO THE PD GYM FOR OFFICERS TO USE WHILE ON DUTY.</t>
  </si>
  <si>
    <t xml:space="preserve">
Sales Order #: 2289210614
RTD Screening Code: DOD
Reason for Rejection: Y9</t>
  </si>
  <si>
    <t>2YTANX61281095</t>
  </si>
  <si>
    <t>THE BENT OVER ROW MACHINE WILL BE USED BY THE ARP POLICE DEPARTMENT FOR LAW ENFORCEMENT PURPOSES ONLY. ARP PD HAS AN OFFICER WELLNESS PROGRAM THAT ALLOWS OFFICERS TO WORKOUT WHILE ON DUTY. THIS PIECE OF EQUIPMENT WILL BE ADDED TO THE PD GYM FOR OFFICERS TO USE WHILE ON DUTY.</t>
  </si>
  <si>
    <t xml:space="preserve">
Sales Order #: 2289358018
RTD Screening Code: DOD
Reason for Rejection: Y9</t>
  </si>
  <si>
    <t>2YTANX61281094</t>
  </si>
  <si>
    <t xml:space="preserve">
Sales Order #: 2289096385
RTD Screening Code: DOD
Reason for Rejection: Y9</t>
  </si>
  <si>
    <t>2YTLY361280923</t>
  </si>
  <si>
    <t>THE FAIRFIELD POLICE DEPARTMENT IS A LAW ENFORCEMENT AGENCY. THIS ITEM WILL BE USED FOR LAW ENFORCEMENT PURPOSES ONLY.
OUR AGENCY WILL USE THIS ITEM TO MAINTAIN THE BATTERIES ON ALL PATROL VEHICLES NOT IN USE. IT WILL ALSO BE USED TO CHARGE OTHER EQUIPMENT USING CAR BATTERIES.</t>
  </si>
  <si>
    <t xml:space="preserve">
Sales Order #: 2289075201
RTD Screening Code: DOD
Reason for Rejection: Y9</t>
  </si>
  <si>
    <t>2YTTBM61280909</t>
  </si>
  <si>
    <t>THE GILMER POLICE DEPARTMENT IS REQUESTING 2 OF THE REQUESTING ALL TERRAIN VEHICLES FOR LAW ENFORCEMENT PURPOSES. THESE VEHICLES WILL BE UTILIZED BY LAW ENFORCEMENT TO HELP NAVIGATE LARGE EVENTS HELD DOWNTOWN TO HELP OFFICERS PATROL EVENTS AND MOVE TO AREA'S MORE QUICKLY WHEN NEEDED.</t>
  </si>
  <si>
    <t>2YTELH60721093</t>
  </si>
  <si>
    <t>THE LAT PULLDOWN MACHINE WILL BE USED BY THE ARP POLICE DEPARTMENT FOR LAW ENFORCEMENT PURPOSES ONLY. ARP PD HAS AN OFFICER WELLNESS PROGRAM THAT ALLOWS OFFICERS TO WORKOUT WHILE ON DUTY. THE LAT PULLDOWN MACHINE WILL BE PLACED IN THE PD GYM FOR OFFICERS TO UTILIZE WHILE ON DUTY.</t>
  </si>
  <si>
    <t xml:space="preserve">
Sales Order #: 2288917129
RTD Screening Code: DOD
Reason for Rejection: Y9</t>
  </si>
  <si>
    <t>2YTANX61280468</t>
  </si>
  <si>
    <t>THE FAIRFIELD POLICE DEPARTMENT IS A LAW ENFORCEMENT AGENCY. THIS ITEM WILL BE USED FOR LAW ENFORCEMENT PURPOSES ONLY.
OUR AGENCY WILL UNITIZE THIS ITEM TO MAINTAIN THE HEALTH AND STRESS OF ALL OFFICERS WITHIN THE AGENCY.</t>
  </si>
  <si>
    <t xml:space="preserve">
Sales Order #: 2289007174
RTD Screening Code: GSA
Reason for Rejection: Y9</t>
  </si>
  <si>
    <t>2YTTBM61210555</t>
  </si>
  <si>
    <t>THESE DRONES WILL BE USED FOR LAW ENFORCEMENT PURPOSES BY PERSONNEL OF THE RANSOM CANYON POLICE DEPARTMENT. THESE DRONES WILL BE USED FOR CRIME SCENE PHOTOGRAPHY, SURVEILLANCE OF CRIMINAL ACTIVITY, AND SEARCH AND RESCUE OPERATIONS.</t>
  </si>
  <si>
    <t>2YTTCM61350779</t>
  </si>
  <si>
    <t>THIS DRONE WILL BE USED FOR LAW ENFORCEMENT PURPOSES BY PERSONNEL OF THE RANSOM CANYON POLICE DEPARTMENT. THIS DRONE WILL BE USED FOR CRIME SCENE PHOTOGRAPHY, SURVEILLANCE OF CRIMINAL ACTIVITY, AND SEARCH AND RESCUE OPERATIONS.</t>
  </si>
  <si>
    <t>2YTTCM61350778</t>
  </si>
  <si>
    <t>THIS GENERATOR WILL BE USED BY PERSONNEL OF THE RANSOM CANYON POLICE DEPARTMENT FOR LAW ENFORCEMENT PURPOSES. THIS WILL BE USED TO POWER OUR MAIN BUILDING AND FUEL PUMPS ENSURING CONTINUITY OF OPERATIONS DURING MAN MADE AND NATURAL DISASTERS AS WELL AS DURING LOSS OF POWER.</t>
  </si>
  <si>
    <t xml:space="preserve">
Sales Order #: 2288956706
RTD Screening Code: DOD
Reason for Rejection: BQ</t>
  </si>
  <si>
    <t>2YTTCM61280643</t>
  </si>
  <si>
    <t>THE SIZE 8.5 BOOTS WILL BE USED BY THE ARP POLICE DEPARTMENT FOR LAW ENFORCEMENT PURPOSES ONLY. THIS PAIR OF BOOTS WILL BE ISSUED TO AN OFFICER WHO IS SIZE 8.5 TO BE USED ON DUTY AND AT TRAINING.</t>
  </si>
  <si>
    <t xml:space="preserve">
Sales Order #: 2288337757
RTD Screening Code: GSA
Reason for Rejection: YH</t>
  </si>
  <si>
    <t>2YTANX61149787</t>
  </si>
  <si>
    <t>THE SIZE 9 BOOTS WILL BE USED BY THE ARP POLICE DEPARTMENT FOR LAW ENFORCEMENT PURPOSES ONLY. THIS PAIR OF BOOTS WILL BE ISSUED TO AN OFFICER WHO IS SIZE 9 TO BE USED ON DUTY AND AT TRAINING.</t>
  </si>
  <si>
    <t xml:space="preserve">
Sales Order #: 2288337790
RTD Screening Code: GSA
Reason for Rejection: YH</t>
  </si>
  <si>
    <t>2YTANX61149786</t>
  </si>
  <si>
    <t>THE ATVS WILL BE USED BY THE ARP POLICE DEPARTMENT FOR LAW ENFORCEMENT PURPOSES ONLY. ARP IS A FARMING COMMUNITY WITH LARGE TRACTS OF LAND. OFFICERS WILL USE THE ATVS FOR SERVING FOR ELDERLY WITH DEMENTIA, MISSING CHILDREN AND SUSPECTS. OF THE UTVS AND ATVS THAT WE HAVE BEEN AWARDED, WE HAVE ONLY BEEN ABLE TO GET 1 RUNNING AS THE OTHERS HAVE HAD TRANSMISSION OR ENGINE PROBLEMS.</t>
  </si>
  <si>
    <t xml:space="preserve">
Sales Order #: 2286796067
RTD Screening Code: DOD
Reason for Rejection: YH</t>
  </si>
  <si>
    <t>2YTANX61007670</t>
  </si>
  <si>
    <t>THE TRUCK WILL BE USED BY THE ARP POLICE DEPARTMENT FOR LAW ENFORCEMENT PURPOSES ONLY. OFFICERS WILL UTILIZE THE TRUCK TO PICKUP AND TRANSPORT LESO AWARDED EQUIPMENT AND PD PURCHASED EQUIPMENT. THE LAST TRUCK THAT WE WERE AWARDED HAD SIGNIFICANT TRANSMISSION AND ENGINE PROBLEMS.</t>
  </si>
  <si>
    <t xml:space="preserve">
Sales Order #: 2288110163
RTD Screening Code: DOD
Reason for Rejection: Y9</t>
  </si>
  <si>
    <t>2YTANX61219325</t>
  </si>
  <si>
    <t>THE CELLPHONES WILL BE USED BY THE ARP POLICE DEPARTMENT FOR LAW ENFORCEMENT PURPOSES ONLY. ARP PD WILL ISSUE THE CELLPHONES TO EACH OFFICER FOR USE WHILE ON DUTY. ARP PD WILL PAY FOR THE CELL SERVICE. THESE CELLPHONES WILL BE FOR OFFICIAL USE ONLY.</t>
  </si>
  <si>
    <t xml:space="preserve">
Sales Order #: 2288478208
RTD Screening Code: DOD
Reason for Rejection: Y9</t>
  </si>
  <si>
    <t>CELLPHONE</t>
  </si>
  <si>
    <t>DSCELLPHO</t>
  </si>
  <si>
    <t>2YTANX61210434</t>
  </si>
  <si>
    <t>THESE WILL BE USED BY PERSONNEL OF THE RANSOM CANYON POLICE DEPARTMENT. THEY WILL BE USED FOR LAW ENFORCEMENT PURPOSES SUCH AS CRIME SCENE DOCUMENTATION, SEARCH AND RESCUE, AND SURVEILLANCE OF MAJOR EVENTS.</t>
  </si>
  <si>
    <t>Customer decided they want this item canceled</t>
  </si>
  <si>
    <t>2YTTCM61280152</t>
  </si>
  <si>
    <t>2YTTCM61280151</t>
  </si>
  <si>
    <t>THIS GENERATOR WILL BE USED BY PERSONNEL OF THE LAMESA PD PROVIDING POWER TO THE DEPT. MAIN BUILDING AND PREFABRICATED LIGHTS-EQUIPMENT FOR MOBILE OPERATIONS IN NATURAL DISASTERS-LARGE CRIMES SCENES-POLICE OPERATIONS REQUIRING POWER-LIGHTING TO ENSURE OPERATIONS CONTINUE WITHOUT LOSING LAW ENFORCEMENT CAPABILITIES.</t>
  </si>
  <si>
    <t xml:space="preserve">
Sales Order #: 2288137189
RTD Screening Code: DOD
Reason for Rejection: Y9</t>
  </si>
  <si>
    <t>2YTGHV61219605</t>
  </si>
  <si>
    <t>LAMESA POLICE DEPT (2YTGHV)</t>
  </si>
  <si>
    <t xml:space="preserve">
Sales Order #: 2288530054
RTD Screening Code: DOD
Reason for Rejection: Y9</t>
  </si>
  <si>
    <t>2YTTBW61219947</t>
  </si>
  <si>
    <t>THE FAIRFIELD POLICE DEPARTMENT IS A LAW ENFORCEMENT AGENCY. THIS WILL BE USED FOR LAW ENFORCEMENT PURPOSES ONLY.
OUR AGENCY WILL USE THIS ITEM TO MAINTAIN THE HEALTH OF OFFICERS. THIS WILL ALSO ALLOW OFFICER TO DECOMPRESS AFTER STRESSFUL SCENARIOS.</t>
  </si>
  <si>
    <t xml:space="preserve">
Sales Order #: 2288702222
RTD Screening Code: DOD
Reason for Rejection: Y9</t>
  </si>
  <si>
    <t>2YTTBM61210231</t>
  </si>
  <si>
    <t>FOR LAW ENFORCEMENT USE ONLY. THIS TRUCK WILL BE UTILIZED TO FOR EMERGENCY OPERATIONS. TRANSPORTING EMERGENCY EQUIPMENT BY TRAILER AS WELL AS OTHER LAW ENFORCEMENT OPERATIONS INCLUDING TRANSPORTING DLA ISSUED PROPERTY. THIS TRUCK WILL ALSO ALLOW WEST POLICE OFFICERS TO ASSIST IN REGIONAL SEARCH, RESCUE AND RECOVERY EFFORTS IN THE AID OF OUR REGIONAL LAW ENFORCEMENT AND FIRST RESPONDER PARTNERS.</t>
  </si>
  <si>
    <t xml:space="preserve">
Sales Order #: 2288524680
RTD Screening Code: DOD
Reason for Rejection: Y9</t>
  </si>
  <si>
    <t>2YTPJJ61280091</t>
  </si>
  <si>
    <t>THE WEST POLICE DEPARTMENT WILL UTILIZE THIS VEHICLE FOR EVERYDAY PATROL AND EMERGENCY RESPONSE ACTIVITIES. THE WEST POLICE DEPARTMENT IS IN NEED OF LOW MILEAGE RELIABLE VEHICLES FOR DAILY PATROL ACTIVITIES TO MAINTAIN LAW ENFORCEMENT OPERATIONS, THIS VEHICLE APPEARS TO BE JUST WHAT IS NEEDED TO MEET THAT NEED.</t>
  </si>
  <si>
    <t xml:space="preserve">
Sales Order #: 2288110165
RTD Screening Code: DOD
Reason for Rejection: Y9</t>
  </si>
  <si>
    <t>2YTPJJ61219289</t>
  </si>
  <si>
    <t>THIS EQUIPMENT WILL BE USED FOR LAW ENFORCEMENT PURPOSES ONLY BY THE SWEETWATER POLICE DEPARTMENT TO FURTHER ENHANCE NIGHT TIME OPERATIONS.</t>
  </si>
  <si>
    <t>2YTLN161280248</t>
  </si>
  <si>
    <t>WILL BE USED FOR LAW ENFORCEMENT BY LAW ENFORCEMENT.  WILL BE ASSIGNED TO CRIMINAL INVESTIGATIONS FOR A CRIME SCENE UNIT</t>
  </si>
  <si>
    <t xml:space="preserve">
Sales Order #: 2288110157
RTD Screening Code: DOD
Reason for Rejection: Y9</t>
  </si>
  <si>
    <t>2YTJXJ61219385</t>
  </si>
  <si>
    <t>THE MEDINA VALLEY POLICE DEPARTMENT IS REQUESTING THIS ITEM TO BE USED BY LAW ENFORCEMENT OFFICERS FOR EVIDENCE PHOTOGRAPHY IN CRIMINAL INVESTIGATIONS AND EFFORTS TO SUPPRESS CRIMINAL ACTIVITY.</t>
  </si>
  <si>
    <t>2YTTBW61280239</t>
  </si>
  <si>
    <t>THE FAIRFIELD POLICE DEPARTMENT IS A LAW ENFORCEMENT AGENCY. THIS ITEM WILL BE USED FOR LAW ENFORCEMENT PURPOSES ONLY.
OUR AGENCY WILL USE THIS ITEM DURING CLASSROOM BASED TRAINING TO PROJECT VISUAL AIDS FOR OFFICERS TO VIEW.</t>
  </si>
  <si>
    <t xml:space="preserve">
Sales Order #: 2288477290
RTD Screening Code: DOD
Reason for Rejection: Z2</t>
  </si>
  <si>
    <t>PROJECTION SCREEN</t>
  </si>
  <si>
    <t>DSSCREEN0</t>
  </si>
  <si>
    <t>2YTTBM61149946</t>
  </si>
  <si>
    <t>THE EQUIPMENT WILL BE USED BY THE ANTHONY, TEXAS POLICE DEPARTMENT TO ASSIST WITH RESCUES AND TO OBTAIN A VANTAGE POINT DURING A STANDOFF BETWEEN SUBJECTS AND SWAT</t>
  </si>
  <si>
    <t xml:space="preserve">
Sales Order #: 2288159227
RTD Screening Code: DOD
Reason for Rejection: YH</t>
  </si>
  <si>
    <t>2YTAK061149264</t>
  </si>
  <si>
    <t>2YTTBW61280240</t>
  </si>
  <si>
    <t>THIS BOAT WILL BE USED FOR LAW ENFORCEMENT PURPOSES BY THE RANSOM CANYON POLICE DEPARTMENT. THIS WILL BE USED TO PATROL THE WATERWAYS OF RANSOM CANYON ENSURING WATERCRAFT SAFETY. THIS BOAT WILL ALSO BE USED FOR SEARCH AND RESCUE OPERATIONS ON THE WATER.</t>
  </si>
  <si>
    <t xml:space="preserve">
Sales Order #: 2287785586
RTD Screening Code: DOD
Reason for Rejection: Y9</t>
  </si>
  <si>
    <t>2YTTCM61219495</t>
  </si>
  <si>
    <t>THE FAIRFIELD POLICE DEPARTMENT IS A LAW ENFORCEMENT AGENCY. THIS ITEM WILL BE USED FOR LAW ENFORCEMENT PURPOSES ONLY.
OUR AGENCY IS REQUESTING THIS ITEM SO THAT WE MAY PROMOTE PERSONAL HEALTH AND GROWTH. OFFICERS WITH OUR AGENCY WILL BE ABLE TO MAINTAIN PERSONAL HEALTH GOALS AT NO EXTRA PERSONAL COST.</t>
  </si>
  <si>
    <t xml:space="preserve">
Sales Order #: 2287833387
RTD Screening Code: DOD
Reason for Rejection: Y9</t>
  </si>
  <si>
    <t>2YTTBM61148967</t>
  </si>
  <si>
    <t>THE GYM EQUIPMENT WILL BE USED BY THE ARP POLICE DEPARTMENT FOR LAW ENFORCEMENT PURPOSES ONLY. ARP PD HAS AN OFFICER WELLNESS PROGRAM THAT ALLOWS OFFICERS TO WORKOUT WHILE ON DUTY. THE GYM EQUIPMENT WILL BE USED IN THE PD GYM.</t>
  </si>
  <si>
    <t xml:space="preserve">
Sales Order #: 2287833394
RTD Screening Code: DOD
Reason for Rejection: Y9</t>
  </si>
  <si>
    <t>2YTANX61148856</t>
  </si>
  <si>
    <t>THE MEDINA VALLEY POLICE DEPARTMENT IS REQUESTING THIS ITEM TO CLEAN AND MAINTAIN LAW ENFORCEMENT VEHICLE  AND TRAINING EQUIPMENT TO REMAIN MISSION CAPABLE FOR CRIME SUPPRESSION AND RESPONSE TO CRITICAL INCIDENTS. THESE INCIDENTS INCLUDE ACTIVE SHOOTER AND MASS CAUSALITY RESPONSE.</t>
  </si>
  <si>
    <t xml:space="preserve">
Sales Order #: 2288137180
RTD Screening Code: DOD
Reason for Rejection: Y9</t>
  </si>
  <si>
    <t>2YTTBW61219616</t>
  </si>
  <si>
    <t>THE TIRES WILL BE USED BY THE ARP POLICE DEPARTMENT FOR LAW ENFORCEMENT PURPOSES ONLY. ARP PD WAS AWARDED A HUMVEE FROM LESO. THE TIRES ON THE HUMVEE ARE IN POOR CONDITION SHOWING SIGNS OF SIDE WALL CRACKING. THESE TIRES ARE BRAND NEW WITH THE TREAD AND SIDEWALLS FULLY INTACT. OFFICERS WILL USE THESE TIRES TO REPLACE THE AGING ONES ON THE HUMVEE.</t>
  </si>
  <si>
    <t xml:space="preserve">
Sales Order #: 2288137174
RTD Screening Code: DOD
Reason for Rejection: Y9</t>
  </si>
  <si>
    <t>2YTANX61219558</t>
  </si>
  <si>
    <t>FOR LAW ENFORCEMENT USE ONLY. THE WEST POLICE DEPARTMENT WILL UTILIZE THIS TRACTOR TO MAINTAIN THE DIRT SAFETY BERMS AT THE APPROVED WEST POLICE FIREARMS TRAINING RANGE. THE CURRENT SAFETY BERMS ARE OVER EIGHT FEET TALL AND 100 YARDS LONG, THIS TRACTOR WILL ALLOW US TO CONTROL EROSION AND MAKE REPAIRS AS NEEDED.</t>
  </si>
  <si>
    <t xml:space="preserve">
Sales Order #: 2288110139
RTD Screening Code: DOD
Reason for Rejection: Y9</t>
  </si>
  <si>
    <t>2YTPJJ61219340</t>
  </si>
  <si>
    <t>THE SAN MARCOS POLICE DEPART WOULD LIKE TO REQUEST THIS TOOL KIT FOR AGENCY USE MAINTENANCE ON SMALL ARMS AND LESS-LETHAL TOOLS.</t>
  </si>
  <si>
    <t xml:space="preserve">
Sales Order #: 2288295385
RTD Screening Code: DOD
Reason for Rejection: Y9</t>
  </si>
  <si>
    <t>2YTKPP61219713</t>
  </si>
  <si>
    <t>WILL BE USED FOR LAW ENFORCEMENT. WILL BE USED TO BUILD UPCOMING POLICE TRAINING FACILITY</t>
  </si>
  <si>
    <t xml:space="preserve">
Sales Order #: 2288110150
RTD Screening Code: DOD
Reason for Rejection: Y9</t>
  </si>
  <si>
    <t>2YTJXJ61219389</t>
  </si>
  <si>
    <t>THE KATY POLICE DEPARTMENT OFFICERS WILL UTILIZE THIS EQUIPMENT IN THE OFFICIAL DISCHARGE OF IT'S DUTIES AS THEY RELATE TO SPECIAL RESPONSE TEAM MEMBER TRAINING, SEARCH AND RESCUE, AND OTHER DUTY RELATED OPERATIONS.</t>
  </si>
  <si>
    <t xml:space="preserve">
Sales Order #: 2288137176
RTD Screening Code: DOD
Reason for Rejection: Y9</t>
  </si>
  <si>
    <t>2YTF3T61219625</t>
  </si>
  <si>
    <t>THE EXCAVATOR WILL BE USED BY THE ARP POLICE DEPARTMENT FOR LAW ENFORCEMENT PURPOSES ONLY. OFFICERS ARE EXPANDING THE PD FIREARMS RANGE IN WIDTH AND LENGTH TO ALLOW FOR ADDITIONAL TRAINING TO BE CONDUCTED. OFFICERS ARE MAKING THE RANGE TO ALLOW FOR LONG DISTANCE SHOOTING. THE EXCAVATOR WILL BE USED BY OFFICERS TO MOVE DIRT AND REMOVE BRUSH AND TREES THAT ARE IN THE WAY.</t>
  </si>
  <si>
    <t xml:space="preserve">
Sales Order #: 2288110144
RTD Screening Code: DOD
Reason for Rejection: Y9</t>
  </si>
  <si>
    <t>2YTANX61219335</t>
  </si>
  <si>
    <t>FOR LAW ENFORCEMENT USE ONLY. THE WEST POLICE DEPARTMENT WILL UTILIZE THIS ROLLER COMPACTOR TO MAINTAIN SAFE FIRING LINES AT THE APPROVED WEST POLICE FIREARMS TRAINING RANGE. THE APPROVED RANGE AREA CONSISTS OF 7500 SQUARE FEET OF OUTDOOR DIRT FIRING LINE SPACE, THIS TRACTOR WILL ALLOW US TO MAINTAIN FLAT EVEN SURFACES ON THE FIRING LINE AND MAKE REPAIRS AS NEEDED.</t>
  </si>
  <si>
    <t xml:space="preserve">
Sales Order #: 2288110151
RTD Screening Code: DOD
Reason for Rejection: Y9</t>
  </si>
  <si>
    <t>2YTPJJ61219355</t>
  </si>
  <si>
    <t>THE MEDINA VALLEY POLICE DEPARTMENT IS REQUESTING THESE ITEMS TO STORE LAW ENFORCEMENT EQUIPMENT, INCLUDING ELECTRONICS USED TO RESPOND TO CRITICAL INCIDENTS AND SUPPRESS CRIMINAL ACTIVITY.</t>
  </si>
  <si>
    <t xml:space="preserve">
Sales Order #: 2288263879
RTD Screening Code: DOD
Reason for Rejection: Y9</t>
  </si>
  <si>
    <t>2YTTBW61219703</t>
  </si>
  <si>
    <t>THE CONTAINER WILL BE USED BY THE ARP POLICE DEPARTMENT FOR LAW ENFORCEMENT PURPOSES ONLY. THIS IS A 20 FT CONTAINER AND WILL BE USED TO ORGANIZE AND SAFELY STORE PD AND LESO EQUIPMENT WHILE NOT BEING USED.</t>
  </si>
  <si>
    <t xml:space="preserve">
Sales Order #: 2287843733
RTD Screening Code: DOD
Reason for Rejection: Y9</t>
  </si>
  <si>
    <t>2YTANX61148850</t>
  </si>
  <si>
    <t>2YTPJJ61219635</t>
  </si>
  <si>
    <t>2YTPJJ61219634</t>
  </si>
  <si>
    <t>CONTAINER,FREIGHT,UTILITY</t>
  </si>
  <si>
    <t>2YTPJJ61219633</t>
  </si>
  <si>
    <t>WILL BE USED BY LAW ENFORCEMENT BY LAW ENFORCEMENT.  WILL BE USED TO POWER TENTS THAT THE PD WIL BE OBTAINING FROM THE 10-33 PROGRAM</t>
  </si>
  <si>
    <t xml:space="preserve">
Sales Order #: 2287217439
RTD Screening Code: DOD
Reason for Rejection: YH</t>
  </si>
  <si>
    <t>GENERATOR,ALTERNATING CURRENT</t>
  </si>
  <si>
    <t>2YTJXJ61078364</t>
  </si>
  <si>
    <t>THE TRAILER WILL BE USED BY THE ARP POLICE DEPARTMENT FOR LAW ENFORCEMENT PURPOSES ONLY. ARP PD WAS AWARDED A ATV. THIS TRAILER WILL BE PAIRED WITH THE ATV TO MOVE PD AND LESO EQUIPMENT DURING TRAINING AND CRIME SCENES.</t>
  </si>
  <si>
    <t xml:space="preserve">
Sales Order #: 2288110136
RTD Screening Code: DOD
Reason for Rejection: Y9</t>
  </si>
  <si>
    <t>2YTANX61219329</t>
  </si>
  <si>
    <t xml:space="preserve">
Sales Order #: 2288159230
RTD Screening Code: DOD
Reason for Rejection: BQ</t>
  </si>
  <si>
    <t>2YTTCM61219496</t>
  </si>
  <si>
    <t>THIS EQUIPMENT WILL BE USED FOR LAW ENFORCEMENT PURPOSES ONLY. GRANITE SHOALS POLICE DEPARTMENT RESPONDS TO CRITICAL INCIENTS AND REGIONAL MUTUAL AID REQUESTS FOR ASSISTANCE. THIS VEHICLE WILL BE USED AS A CENTRAL INFOMATION CONSOLIDATION HUB ALLOWING FOR COORDINATED EFFORTS WHEN WORKING WITH OTHER AGENCIES AND SCENES FOR VARIABLE COMPLEXITY. THIS WOULD BE OUR INCIDENT COMMAND VEHICLE WHERE DATA IS PROCESSED AND RESPONSE IS MANAGED.</t>
  </si>
  <si>
    <t xml:space="preserve">
Sales Order #: 2286288951
RTD Screening Code: DOD
Reason for Rejection: YH</t>
  </si>
  <si>
    <t>2YTERJ60937151</t>
  </si>
  <si>
    <t>THE FAIRFIELD POLICE DEPARTMENT IS A LAW ENFORCEMENT AGENCY. THIS ITEM WILL BE USED FOR LAW ENFORCEMENT PURPOSES ONLY.
THIS ITEM WILL BE UTILIZED AS A MOBILE COMMAND CENTER. OUR AGENCY IS IN NEED TO HAVE A MOBILE INCIDENT COMMAND CENTER IN THE EVENT OF A MASS CASUALTY  INCIDENT.</t>
  </si>
  <si>
    <t xml:space="preserve">
Sales Order #: 2286712850
RTD Screening Code: DOD
Reason for Rejection: YH</t>
  </si>
  <si>
    <t>2YTTBM60937648</t>
  </si>
  <si>
    <t>THE STEPPER WILL BE USED BY THE ARP POLICE DEPARTMENT FOR LAW ENFORCEMENT PURPOSES ONLY. ARP PD HAS AN OFFICER WELLNESS PROGRAM THAT ALLOWS OFFICERS TO WORKOUT WHILE ON DUTY. THE STEPPER WILL BE USED IN THE PD GYM.</t>
  </si>
  <si>
    <t xml:space="preserve">
Sales Order #: 2287833390
RTD Screening Code: DOD
Reason for Rejection: Y9</t>
  </si>
  <si>
    <t>STEPPER</t>
  </si>
  <si>
    <t>DSSTEPPER</t>
  </si>
  <si>
    <t>2YTANX61148853</t>
  </si>
  <si>
    <t>THIS ITEM WILL BE USED BY THE SHERIFF'S OFFICE TO SECURE CHAINS AND STRAPS WHILE OFF ROAD IN RURAL AREAS OF THE COUNTY.</t>
  </si>
  <si>
    <t>Rejected by EJR01036.  Comments: ITEM SHOWS IN GSA CYCLE. YOU MAY ONLY REQUEST IN DOD AND RTD2 CYCLES. TX LESO..</t>
  </si>
  <si>
    <t>2YTLM661079259</t>
  </si>
  <si>
    <t>THIS ITEM WILL BE USED BY THE SHERIFF'S OFFICE TO DOCUMENT CRIME SCENES.</t>
  </si>
  <si>
    <t>Rejected by EJR01036.  Comments: ITEM IS IN GSA CYCLE AT THIS TIME. YOU MAY ONLY REQUEST FROM DOD AND RTD2. TX LESO..</t>
  </si>
  <si>
    <t>2YTLM661079258</t>
  </si>
  <si>
    <t>THE EQUIPMENT WILL BE USED BY THE ANTHONY, TEXAS POLICE DEPARTMENT TO ASSIST WITH THE DEPARTMENT'S NEEDS</t>
  </si>
  <si>
    <t>Rejected by EJR01036.  Comments: This item is in GSA Cycle.  You may only request in DOD and RTD2 Cycles. TX LESO.</t>
  </si>
  <si>
    <t>2YTAK061079268</t>
  </si>
  <si>
    <t>Rejected by EJR01036.  Comments: ITEM IS IN GSA CYCLE.  YOU MAY ONLY REQUEST FROM DOD AND RTD2 CYCLES. TX LESO.</t>
  </si>
  <si>
    <t>2YTAK061079265</t>
  </si>
  <si>
    <t>THE EQUIPMENT WILL BE USED BY THE ANTHONY, TEXAS POLICE DEPARTMENT TO DROP SAND ON HAZARD WRECKS AND USE IT AS A BARRIER DURING PARADES TO PREVENT DOMESTIC TERRORISM</t>
  </si>
  <si>
    <t>Rejected by EJR01036.  Comments: ITEM IS IN GSA CYCLE. YOU MAY ONLY REQUEST FROM DOD AND RTD2 CYCLES. TX LESO.</t>
  </si>
  <si>
    <t>2YTAK061079263</t>
  </si>
  <si>
    <t>THE EQUIPMENT WILL BE USED BY THE ANTHONY, TEXAS POLICE DEPARTMENT TO CLEAN THE PARKING LOTS OF THE POLICE AND USE IT TO KEEP A SECTION OF THE LOT CLEAN FOR EVOC TRAINING</t>
  </si>
  <si>
    <t>Rejected by EJR01036.  Comments: item in GSA Cycle. You may only request from DOD and RTD2 Cycles. TX LESO.</t>
  </si>
  <si>
    <t>2YTAK061079262</t>
  </si>
  <si>
    <t>FOR LAW ENFORCEMENT USE ONLY. THE WEST POLICE DEPARTMENT WILL UTILIZE THIS VEHICLE AS A DAILY PATROL VEHICLE. THIS VEHICLE APPEARS TO BE SUITED FOR DAILY PATROL OPERATIONS AND WILL BE USED AS SUCH AFTER OUTFITTING WITH EMERGENCY EQUIPMENT.</t>
  </si>
  <si>
    <t xml:space="preserve">
Sales Order #: 2287185054
RTD Screening Code: DOD
Reason for Rejection: Y9</t>
  </si>
  <si>
    <t>2YTPJJ61078436</t>
  </si>
  <si>
    <t>TROUP PD WOULD LIKE TO ACQUIRE THESE ITEMS FOR THE USE OF MAINTENANCE ON OUR PATROL VEHICLES AND OTHER LARGE EQUIPMENT, OWNED AND OPERATED BY THE TROUP PD</t>
  </si>
  <si>
    <t>PULLER, NON-POWERED</t>
  </si>
  <si>
    <t>DSPULLER0</t>
  </si>
  <si>
    <t>2YTLY361079254</t>
  </si>
  <si>
    <t>WILL BE USED BY LAW ENFORCEMENT BY LAW ENFORCEMENT.  WILL BE USED TO POWER TENTS THAT THE PD WILL BE OBTAINING FROM THE 10-33 PROGRAM</t>
  </si>
  <si>
    <t xml:space="preserve">
Sales Order #: 2287217452
RTD Screening Code: DOD
Reason for Rejection: Y9</t>
  </si>
  <si>
    <t>2YTJXJ61078365</t>
  </si>
  <si>
    <t>THE FAIRFIELD POLICE DEPARTMENT ID A LAW ENFORCEMENT AGENCY. THIS ITEM WILL BE USED FOR LAW ENFORCEMENT PURPOSES ONLY.
OUR AGENCY WILL UTILIZE THIS TRAILER TO LOAD AND TRANSPORT STRAY ANIMALS TO A SECURED LOCATION. OUR CITY DOES NOT HAVE ANIMAL CONTROL AND IT IS UP TO LAW ENFORCEMENT HERE TO HANDLE THE STRAY POPULATION.</t>
  </si>
  <si>
    <t xml:space="preserve">
Sales Order #: 2287185053
RTD Screening Code: DOD
Reason for Rejection: Y9</t>
  </si>
  <si>
    <t>2YTTBM61078433</t>
  </si>
  <si>
    <t>THE EQUIPMENT WILL BE USED BY THE ANTHONY, TEXAS POLICE DEPARTMENT TO ASSIST WITH CLEANING THE POLICE IMPOUND LOT</t>
  </si>
  <si>
    <t>2YTAK061079267</t>
  </si>
  <si>
    <t>MEDINA VALLEY POLICE DEPARTMENT IS REQUESTING THESE ITEMS TO CARRY LAPTOPS AND EQUIPMENT DURING TRAININGS FOR AND RESPONSE TO ACTIVE SHOOTINGS OR CRITICAL INCIDENTS.</t>
  </si>
  <si>
    <t xml:space="preserve">
Sales Order #: 2287529165
RTD Screening Code: DOD
Reason for Rejection: Y9</t>
  </si>
  <si>
    <t>LAPTOP CASE</t>
  </si>
  <si>
    <t>DSCASELAP</t>
  </si>
  <si>
    <t>2YTTBW61078774</t>
  </si>
  <si>
    <t>WHEELS WILL BE USED BY HOUSTON POLICE OFFICERS IN THE HIGH WATER RESCUE UNIT TO REPLACED DAMAGED AND INOPERABLE TIRES ON HOUSTON POLICE HIGH WATER RESCUE HUMVEES TO MAINTAIN MISSION READINESS AND EFFECTIVENESS FOR DEPLOYMENT DURING ENVIRONMENTAL DISASTERS IN THE CITY</t>
  </si>
  <si>
    <t xml:space="preserve">
Sales Order #: 2286920604
RTD Screening Code: DOD
Reason for Rejection: YH</t>
  </si>
  <si>
    <t>2YTFKH61008068</t>
  </si>
  <si>
    <t>WELDER WILL BE USED BY HOUSTON POLICE OFFICERS IN THE HIGH WATER RESCUE UNIT TO CONSTRUCT AND REPAIR HOUSTON POLICE HIGH WATER RESCUE TRUCKS TO MAINTAIN MISSION READINESS AND EFFECTIVE WHEN DEPLOYED FOR RESCUES IN ENVIRONMENTAL DISASTERS IN THE CITY</t>
  </si>
  <si>
    <t xml:space="preserve">
Sales Order #: 2286288952
RTD Screening Code: DOD
Reason for Rejection: YH</t>
  </si>
  <si>
    <t>2YTFKH60937116</t>
  </si>
  <si>
    <t>THE FAIRFIELD POLICE DEPARTMENT IS A LAW ENFORCEMENT AGENCY. THIS ITEM WILL BE USED FOR LAW ENFORCEMENT PURPOSES ONLY.
THIS ITEM WILL BE UTILIZED IN CLASSROOM TRAINING. THE ITEM WILL ASSIST IN THE PROJECTION OF VISUAL AIDS THAT ARE OPTIMAL FOR TRAINING WITH THE USE OF A COMPUTER.</t>
  </si>
  <si>
    <t xml:space="preserve">
Sales Order #: 2286272402
RTD Screening Code: RTD2
Reason for Rejection: YG</t>
  </si>
  <si>
    <t>2YTTBM60857484</t>
  </si>
  <si>
    <t>TO BE STORED AT THE SAN MARCOS POLICE DEPARTMENT AND ISSUED TO SWORN PERSONNEL FOR FIRST AID BUDDY AID AND FOR MASS CASUALTY KITS TO BE USED DURING  CRITICAL INCIDENTS.</t>
  </si>
  <si>
    <t xml:space="preserve">
Sales Order #: 2285178946
RTD Screening Code: DOD
Reason for Rejection: YG</t>
  </si>
  <si>
    <t>2YTKPP60725205</t>
  </si>
  <si>
    <t>WILL BE USED BY LAW ENFORCEMENT BY LAW ENFORCEMENT.  WILL BE USED TO SCAN DOCUMENTS INTO OUR RECORDS MANAGEMENT SYSTEM</t>
  </si>
  <si>
    <t xml:space="preserve">
Sales Order #: 2286505979
RTD Screening Code: GSA
Reason for Rejection: YH</t>
  </si>
  <si>
    <t>2YTJXJ60867300</t>
  </si>
  <si>
    <t>WILL BE USED BY LAW ENFORCEMENT BY LAW ENFORCEMENT.  WILL BE USED BY DEPARTMENT TO CARRY TRAFFIC CONTROL EQUIPMENT.</t>
  </si>
  <si>
    <t xml:space="preserve">
Sales Order #: 2286464056
RTD Screening Code: GSA
Reason for Rejection: YH</t>
  </si>
  <si>
    <t>2YTJXJ60867297</t>
  </si>
  <si>
    <t>ITEM WILL BE USED BY LAW ENFORCEMENT FOR LAW ENFORCEMENT.  ITEMS WILL BE USED DURING SPECIAL EVENTS SUCH AS PARADES, THEY WILL ALLOW LAW ENFORCMENT OFFICERS TO EASILY MOVE TO LOCATIONS WHERE TRAFFIC CONTROL IS NEEDED.</t>
  </si>
  <si>
    <t xml:space="preserve">
Sales Order #: 2279050033
RTD Screening Code: DOD
Reason for Rejection: Y9</t>
  </si>
  <si>
    <t>2YTJXJ53327133</t>
  </si>
  <si>
    <t>THE MEDINA VALLEY POLICE DEPARTMENT IS REQUESTING THIS ITEM TO BE USED BY LAW ENFORCEMENT FOR REPAIR AND MAINTENANCE ON LIGHTING AND ELECTRICAL SYSTEMS IN THE DEPARTMENT.</t>
  </si>
  <si>
    <t>2YTTBW61149144</t>
  </si>
  <si>
    <t>MEDINA VALLEY POLICE ARE REQUESTING THESE ITEMS TO PROVIDE POWER FOR LAW ENFORCEMENT OFFICERS WHILE TRAINING ON FIRING RANGE AND OTHER LOCATIONS, THESE ITEMS WILL ALSO BE UTILIZED FOR REUNIFICATION PROCESS POST MASS CASUALITY EVENTS.</t>
  </si>
  <si>
    <t xml:space="preserve">
Sales Order #: 2287833383
RTD Screening Code: DOD
Reason for Rejection: Y9</t>
  </si>
  <si>
    <t>2YTTBW61078883</t>
  </si>
  <si>
    <t>MEDINA VALLEY POLICE DEPARTMENT IS REQUESTED THIS ITEM TO ASSIST IN ACTIVE SHOOTER TRAINING. THIS ITEM WILL BE UTILIZED BY LAW ENFORCEMENT TO CARRY AMMUNITION AND TRAINING AIDS TO THE FIRING RANGE. SPECIFICALLY TO TRAIN FOR THE PREVENTION OF ACTIVE SHOOTER  MASS CASUALTY EVENT.</t>
  </si>
  <si>
    <t xml:space="preserve">
Sales Order #: 2287833392
RTD Screening Code: DOD
Reason for Rejection: Y9</t>
  </si>
  <si>
    <t>2YTTBW61078797</t>
  </si>
  <si>
    <t>THIS EQUIPMENT WILL BE USED FOR LAW ENFORCEMENT PURPOSES ONLY, THE GRANITE SHOALS POLICE DEPARTMENT HAS BEEN INSTRUMENTAL IN CONDUCTING SEARCH AND RESCUE OPERATIONS DURING CRITICAL EVENTS TO INCLUDE FLOODS NOTABLY JULY 2025. WE WERE ABLE TO ASSIST WITH RESCUING CITIZENS WHO WERE TRAPPED OR DIRECTING MORE CAPABLE VEHICLES TO THOSE LOCATIONS. IT WOULD BE HIGHLY BENEFICIAL IF WE HAD HIGH WATER RESCUE CAPABILITIES ORGANIC TO THE POLICE DEPARTMENT WHERE RESPONSE TIMES ARE IMPERATIVE WITH NO DELAY.</t>
  </si>
  <si>
    <t xml:space="preserve">
Sales Order #: 2286317843
RTD Screening Code: DOD
Reason for Rejection: YH</t>
  </si>
  <si>
    <t>2YTERJ60937132</t>
  </si>
  <si>
    <t>THE FAIRFIELD POLICE DEPARTMENT IS A LAW ENFORCEMENT AGENCY. THIS ITEM WILL BE USED FOR LAW ENFORCEMENT PURPOSES ONLY.
OUR AGENCY WILL UTILIZE THIS ITEM IN CASE OF EXTREME WEATHER. THESE ITEMS CAN BE USED AT WARMING CENTERS ACROSS TOWN IN THE EVENT OF A POWER FAILURE.</t>
  </si>
  <si>
    <t xml:space="preserve">
Sales Order #: 2287612263
RTD Screening Code: DOD
Reason for Rejection: Y9</t>
  </si>
  <si>
    <t>2YTTBM61078771</t>
  </si>
  <si>
    <t>THE MOTORIZED CART WILL BE USED BY THE ARP POLICE DEPARTMENT FOR LAW ENFORCEMENT PURPOSES ONLY. THE CITY OF ARP IS A FARMING COMMUNITY WITH LARGE PARCELS OF LAND. THE CART WILL BE USED TO SEARCH FOR MISSING ELDERLY WITH DEMENTIA, MISSING CHILDREN AND SUSPECTS. OF THE CARTS AWARDED, WE HAVE ONLY BEEN ABLE TO GET ONE WORKING. WE WILL NOT RECEIVE THIS CART IF IT APPEARS TO BE UNFIXABLE.</t>
  </si>
  <si>
    <t xml:space="preserve">
Sales Order #: 2287843729
RTD Screening Code: DOD
Reason for Rejection: Y9</t>
  </si>
  <si>
    <t>2YTANX61148848</t>
  </si>
  <si>
    <t>ITEMS WILL BE USED FOR ANTHONY POLICE DEPARTMENT PURPOSES.  EACH OFFICER WILL BE ASSIGNED ONE RESCUE HOOK TO KEEP IN THEIR VEHICLES IN CASE OF AN EMERGENCY AND A SEAT BELT NEEDS TO BE CUT TO EXTRICATE A DRIVER FROM A VEHICLE.  THIS CAN POTENTIALLY SAVE A PERSONS LIFE.</t>
  </si>
  <si>
    <t xml:space="preserve">
Sales Order #: 2287843722
RTD Screening Code: DOD
Reason for Rejection: Y9</t>
  </si>
  <si>
    <t>RESCUE HOOK,SURVIVA</t>
  </si>
  <si>
    <t>2YTAK061148998</t>
  </si>
  <si>
    <t>2YTTBW61069209</t>
  </si>
  <si>
    <t>THIS EQUIPMENT WILL BE USED BY THE SWEETWATER POLICE DEPARTMENT TO MAINTAIN OUR DEPARTMENT ISSUED FIREARMS.</t>
  </si>
  <si>
    <t xml:space="preserve">
Sales Order #: 2283719904
RTD Screening Code: DOD
Reason for Rejection: YH</t>
  </si>
  <si>
    <t>2YTLN160654320</t>
  </si>
  <si>
    <t>THESE ITEMS WILL ASSIST IN OFFICER SAFETY DURING NIGHT TIME OPERATIONS OF THE BROWNWOOD POLICE DEPARTMENT SWAT TEAM.</t>
  </si>
  <si>
    <t>2YTBMB61149040</t>
  </si>
  <si>
    <t>BROWNWOOD POLICE DEPT (2YTBMB)</t>
  </si>
  <si>
    <t>Rejected by ERA00143.  Comments: Awarded already.</t>
  </si>
  <si>
    <t>2YTANX61148847</t>
  </si>
  <si>
    <t>TROUP PD WOULD LIKE TO ACQUIRE THIS ITEM FOR THE USE OF STORING LESO EQUIPMENT, TACTICAL EQUIPMENT, AND POLICE STORAGE FOR DOCUMENTS AND OTHER IMPORTANT ITEMS.</t>
  </si>
  <si>
    <t xml:space="preserve">
Sales Order #: 2283352671
RTD Screening Code: DOD
Reason for Rejection: YH</t>
  </si>
  <si>
    <t>2YTLY360513229</t>
  </si>
  <si>
    <t>MEDINA VALLEY POLICE WILL UTILIZE THESE TOOL KITS TO REPAIR AND MAINTAIN MARKED LAW ENFORCEMENT VEHICLES AND OTHER NEEDED EQUIPMENT TO MAINTAIN ACTIVE LAW ENFORCEMENT PATROLS AND OPERABILITY. THESE PATROLS ARE PROACTIVE CRIME SUPPRESSION INCLUDING RESPONSES TO ACTIVE MASS SHOOTING INCIDENTS ON CAMPUSES.</t>
  </si>
  <si>
    <t>TOOL KIT,VEHICLE,TACTICAL</t>
  </si>
  <si>
    <t>2YTTBW61078870</t>
  </si>
  <si>
    <t>TENAHA PD WILL USE THIS ITEM TO ILLUMINATE CRIME SCENES AND ALSO USED FOR LIGHTING FOR MASS EMERGENCY SITUATIONS.</t>
  </si>
  <si>
    <t>Property is in GSA cycle</t>
  </si>
  <si>
    <t>LIGHT,SURGICAL,FLOO</t>
  </si>
  <si>
    <t>2YTR8061008801</t>
  </si>
  <si>
    <t>TENAHA PD WILL USE THIS ITEM TO BUILD AND MAINTAIN THE HEALTH OF OFFICERS ON PATROL TO INCREASE THEIR SAFETY.</t>
  </si>
  <si>
    <t>2YTR8061008799</t>
  </si>
  <si>
    <t>TENAHA PD WILL USE THIS ITEM TO ILLUMINATE CRIME SCENES AND ALSO USE AT COMMAND POST DURING EMERGENCY OPERATIONS.</t>
  </si>
  <si>
    <t>LIGHT SET,GENERAL ILLUMINATION</t>
  </si>
  <si>
    <t>2YTR8061008802</t>
  </si>
  <si>
    <t>TENAHA PD WILL USE THIS ITEM AT SECLUDED CRIME SCENES TO ALLOW FOR LIGHTING AND CHARGE EQUIPMENT NEEDED TO SECURE AND PROCESS THE SCENE.</t>
  </si>
  <si>
    <t>2YTR8061008676</t>
  </si>
  <si>
    <t>THESE DRONES WILL BE USED ONLY FOR LAW ENFORCEMENT PURPOSES THE RANSOM CANYON POLICE DEPARTMENT. THESE WILL BE USED TO PHOTOGRAPH AND RECORD CRIME SCENES, SEARCH AND RESCUE OPERATIONS, AND INTELLIGENCE GATHERING DURING HIGH-RISK EVENTS.</t>
  </si>
  <si>
    <t xml:space="preserve">
Sales Order #: 2287367997
RTD Screening Code: DOD
Reason for Rejection: Y9</t>
  </si>
  <si>
    <t>DRONE</t>
  </si>
  <si>
    <t>2YTTCM61078523</t>
  </si>
  <si>
    <t>THE FAIRFIELD POLICE DEPARTMENT IS A LAW ENFORCEMENT AGENCY. THIS ITEM WILL BE USED FOR LAW ENFORCEMENT PURPOSES ONLY.
OUR AGENCY WILL UTILIZE THIS VEHICLE AS A MOBILE COMMAND UNIT IN THE OCCURRENCE OF A  MASS CASUALTY INCIDENT. INCIDENT COMMANDERS WILL BE ABLE TO DIRECT OTHERS ON COURSES OF ACTIONS. THIS VEHICLE WILL ALSO ACT AS A POINT OF CONTACT FOR OTHER RESPONDING AGENCIES.</t>
  </si>
  <si>
    <t xml:space="preserve">
Sales Order #: 2286756678
RTD Screening Code: DOD
Reason for Rejection: Y9</t>
  </si>
  <si>
    <t>2YTTBM61007861</t>
  </si>
  <si>
    <t>THE FAIRFIELD POLICE DEPARTMENT IS A LAW ENFORCEMENT AGENCY. THIS ITEM WILL BE USED FOR LAW ENFORCEMENT PURPOSES ONLY.
OUR AGENCY WILL USE THIS ITEM IN THE EVENT OF FLOODING IN OUR AREA. WE WOULD ALSO USE THIS ITEM IN THE MAINTENANCE OF THE ROAD TO THE AGENCY TRAINING GROUNDS.</t>
  </si>
  <si>
    <t xml:space="preserve">
Sales Order #: 2286756684
RTD Screening Code: DOD
Reason for Rejection: Y9</t>
  </si>
  <si>
    <t>2YTTBM61007860</t>
  </si>
  <si>
    <t>THE FAIRFIELD POLICE DEPARTMENT IS A LAW ENFORCEMENT AGENCY. THIS ITEM WILL BE USED FOR LAW ENFORCEMENT PURPOSES ONLY. OUR AGENCY WILL USE THIS ITEM TO PHOTOGRAPH CRIME SCENES, AND VICTIMS OF ASSAULTS. OFFICERS WILL ALSO USE THE VIDEO FEATURE OF THIS ITEM TO TAKE A VIDEO LOG OF A CRIME SCENE FOR CID.</t>
  </si>
  <si>
    <t xml:space="preserve">
Sales Order #: 2287075036
RTD Screening Code: DOD
Reason for Rejection: Y9</t>
  </si>
  <si>
    <t>2YTTBM61008099</t>
  </si>
  <si>
    <t>THIS ITEM WILL BE USED BY THE COOLIDGE POLICE DEPARTMENT TO CHECK AREA SAFETY DURING BARRICADED SUBJECTS, HOSTAGE SITUATIONS, SEARCH FOR MISSING PERSONS, POTENTIAL ACTIVE SHOOTER INCIDENTS, HUMAN TRAFFICKING ENFORCEMENT AND NARCOTICS ENFORCEMENT. THIS WILL REMAIN IN THE POSSESSION OF THE COOLIDGE POLICE DEPARTMENT AND ITS OFFICERS</t>
  </si>
  <si>
    <t>CANCELLED PER LEA REQUEST. TX LESO</t>
  </si>
  <si>
    <t>2YTTAY61078721</t>
  </si>
  <si>
    <t>2YTTAY61078720</t>
  </si>
  <si>
    <t>WILL BE USED BY LAW ENFORCEMENT BY LAW ENFORCEMENT. WILL BE USED FOR POLICE COMMUNITY EVENTS LIKE NATIONAL NIGHT OUT OR OTHER EVENTS PUT ON BY THE POLICE DEPARTMENT</t>
  </si>
  <si>
    <t xml:space="preserve">
Sales Order #: 2287217459
RTD Screening Code: DOD
Reason for Rejection: Y9</t>
  </si>
  <si>
    <t>2YTJXJ61078361</t>
  </si>
  <si>
    <t>TO PROVIDE UNMANNED AIRCRAFT TO THE MAGNOLIA POLICE DEPARTMENT FOR OFFICERS TO USE DURING SEARCH AND RESCUE AND HIGH RISK APPLICATIONS, PROVIDING FOR OFFICER SAFETY. THEY WOULD ONLY BE USED BY SWORN OFFICERS FOR OFFICIAL REASONS.</t>
  </si>
  <si>
    <t xml:space="preserve">
Sales Order #: 2287220008
RTD Screening Code: DOD
Reason for Rejection: Y9</t>
  </si>
  <si>
    <t>2YTG6G61078581</t>
  </si>
  <si>
    <t>MAGNOLIA POLICE DEPT (2YTG6G)</t>
  </si>
  <si>
    <t>THE FAIRFIELD POLICE DEPARTMENT IS A LAW ENFORCEMENT AGENCY. THIS ITEM WILL BE USED FOR LAW ENFORCEMENT PURPOSES ONLY.
OUR AGENCY WILL USE THIS ITEM TO PERFORM GENERAL MAINTENANCE ON PATROL VEHICLES SUCH AS ADDING AIR TO LOW TIRES, AND THE USE OF PNEUMATIC TOOLS TO REMOVE AND INSTALL VEHICLE PARTS.</t>
  </si>
  <si>
    <t xml:space="preserve">
Sales Order #: 2286618472
RTD Screening Code: DOD
Reason for Rejection: YH</t>
  </si>
  <si>
    <t>COMPRESSORS AND VACUUM PUMPS</t>
  </si>
  <si>
    <t>DSCOMPVAC</t>
  </si>
  <si>
    <t>2YTTBM60937421</t>
  </si>
  <si>
    <t>THE FLEECE SHIRTS WILL BE USED BY THE ARP POLICE DEPARTMENT FOR LAW ENFORCEMENT PURPOSES ONLY. OFFICERS WILL WEAR THE FLEECES DURING INCLEMENT WEATHER TO INCLUDE COLD WEATHER. THESE FLEECES ARE SIZED XL AND ARE BLACK. BLACK GOES WITH OUR PATROL UNIFORMS AND WILL BE ABLE TO BE WORN WHILE ON PATROL.</t>
  </si>
  <si>
    <t xml:space="preserve">
Sales Order #: 2285168080
RTD Screening Code: GSA
Reason for Rejection: YH</t>
  </si>
  <si>
    <t>2YTANX60795597</t>
  </si>
  <si>
    <t>THE FAIRFIELD POLICE DEPARTMENT IS A LAW ENFORCEMENT AGENCY. THIS ITEM WILL BE USED FOR LAW ENFORCEMENT PURPOSES ONLY.
OUR AGENCY WILL USE THIS ITEM TO FACILITATE DEFENSIVE TACTICS TRAINING IN HAND TO HAND COMBAT. THIS ITEM WILL ALSO BE USED IN THE TRAINING OF OUR K-9 UNIT.</t>
  </si>
  <si>
    <t xml:space="preserve">
Sales Order #: 2286272403
Reason for Rejection: YG</t>
  </si>
  <si>
    <t>2YTTBM60857488</t>
  </si>
  <si>
    <t>FOR LAW ENFORCEMENT USE ONLY. THE WEST POLICE DEPARTMENT WILL UTILIZE THIS VEHICLE FOR DAILY PATROL FUNCTIONS. THE VEHICLE WILL BE UPFITTED WITH EMERGENCY EQUIPMENT AND LIGHTING AND OPERATED BY WEST PATROL OFFICERS WHILE ENGAGED IN DAILY ACTIVITIES TO PROTECT AND SERVICE THE PROPERTY AND CITIZENS OF THE CITY OF WEST AND STATE OF TEXAS.</t>
  </si>
  <si>
    <t xml:space="preserve">
Sales Order #: 2286288940
RTD Screening Code: DOD
Reason for Rejection: Y9</t>
  </si>
  <si>
    <t>2YTPJJ60937130</t>
  </si>
  <si>
    <t>TO BE USED BY TENAHA PD BY PLACING IN PATROL UNITS FOR EMERGENCY USE.</t>
  </si>
  <si>
    <t>Rejected by EJR01036.  Comments: GSA and FEPP Cycles are off limits to LESO..</t>
  </si>
  <si>
    <t>2YTR8060936813</t>
  </si>
  <si>
    <t>TO BE USED BY TENAHA PD AND PLACED INTO PATROL UNIT IN CASE OF EMERGENCY WEATHER.</t>
  </si>
  <si>
    <t>Rejected by EJR01036.  Comments: Same thing.  You may not request in GSA or FEPP cycles.  You may only request in DOD and RTD2 Cycles. TX LESO.</t>
  </si>
  <si>
    <t>2YTR8060936812</t>
  </si>
  <si>
    <t>TO BE USED BY TENAHA PD TO BE PLACED IN PATROL UNIT IN CASE OF EMERGENCY DUE TO EXTREME COLD.</t>
  </si>
  <si>
    <t>Rejected by EJR01036.  Comments: You may only request in the DOD and RTD2 Cycles only.  This item is in the GSA off limits cycle. FEPP is off limits also.  TX LESO.</t>
  </si>
  <si>
    <t>2YTR8060936811</t>
  </si>
  <si>
    <t>TO BE USED BY TENAHA PD FOR SAFE PLACING OF WEAPONS AND POSSIBLY EVIDENCE.</t>
  </si>
  <si>
    <t>2YTR8060936810</t>
  </si>
  <si>
    <t>TO BE USED BY TENAHA PD TO BE ASSIGNED TO PATROL OFFICERS FOR DAY TO DAY PATROL ACTIVITIES.</t>
  </si>
  <si>
    <t>Rejected by EJR01036.  Comments: You may not request in GSA or FEPP cycles.  You may only request in DOD and RTD2 Cycles. TX LESO.</t>
  </si>
  <si>
    <t>2YTR8060936808</t>
  </si>
  <si>
    <t>TO BE USED BY TENAHA PD DURING COLD WEATHER SITUTIONS.</t>
  </si>
  <si>
    <t>Rejected by EJR01036.  Comments: LEAs may only request property in the DOD and RTD2 Cycles only.  These items are in the off limits GSA Cycle.  TX LESO.</t>
  </si>
  <si>
    <t>BOOTS,EXTREME COLD</t>
  </si>
  <si>
    <t>2YTR8060936807</t>
  </si>
  <si>
    <t>TO BE USED BY TENAHA PD TO STORE POLICE GEAR AND OR USED TO SECURE EVIDENCE.</t>
  </si>
  <si>
    <t>Rejected by EJR01036.  Comments: LEAs may not request out of GSA Cycle only DOD and RTD2.  Texas LESO..</t>
  </si>
  <si>
    <t>2YTR8060936806</t>
  </si>
  <si>
    <t>TO BE USED BY TENAHA PD FOR OFFICERS IN THE FIELD TO HELP PROTECT AGAINST BUGS</t>
  </si>
  <si>
    <t>2YTR8060936803</t>
  </si>
  <si>
    <t>TO BE USED BY TENAHA PD BY PLACING EACH KIT IN PATROL UNITS TO PROVIDE QUICK EMERGENCY CARE.</t>
  </si>
  <si>
    <t>2YTR8060936799</t>
  </si>
  <si>
    <t>TO BE USED BY TENAHA PD TO ASSIST WITH MANUFACTURE AND UPKEEP OF TRAINING AIDS AND EQUIPMENT.</t>
  </si>
  <si>
    <t>2YTR8060936794</t>
  </si>
  <si>
    <t>THE FAIRFIELD POLICE DEPARTMENT IS A LAW ENFORCEMENT AGENCY. THIS ITEM WILL BE USED FOR LAW ENFORCEMENT PURPOSES ONLY.
OUR AGENCY WILL UTILIZE THIS ITEM FOR TRAINING. THIS AGENCY WILL ALSO USE THIS ITEM FOR QUALIFICATIONS REQUIRED BY THE STATE TWICE EACH YEAR.</t>
  </si>
  <si>
    <t xml:space="preserve">
Sales Order #: 2286931249
RTD Screening Code: RTD2
Reason for Rejection: BQ</t>
  </si>
  <si>
    <t>2YTTBM60928093</t>
  </si>
  <si>
    <t>THE FLAT BED TRAILER WILL BE USED BY THE ARP POLICE DEPARTMENT FOR LAW ENFORCEMENT PURPOSES ONLY. OFFICERS WILL USE THE FLAT BED TRAILER TO PICK UP LESO AWARDED AND PD OWNED EQUIPMENT. CURRENTLY ARP PD HAS BEEN USING A LANDSCAPE TRAILER TO TRANSPORT AND MOVE EQUIPMENT. THIS TRAILER IS HEAVY DUTY AND MORE SUITED FOR OUR NEEDS.</t>
  </si>
  <si>
    <t xml:space="preserve">
Sales Order #: 2286317845
RTD Screening Code: DOD
Reason for Rejection: Y9</t>
  </si>
  <si>
    <t>TRAILER,FLAT BED</t>
  </si>
  <si>
    <t>2YTANX60936973</t>
  </si>
  <si>
    <t>THE FAIRFIELD POLICE DEPARTMENT IS A LAW ENFORCEMENT AGENCY. THIS ITEM WILL BE USED FOR LAW ENFORCEMENT PURPOSES ONLY. 
THIS TRACTOR WILL BE MODIFIED AS A TACTICAL DOOR BREACHER. OUR AGENCY INTENDS TO EQUIP SHIELDING AND A RAM TO THE FRONT FORKS FOR THE PURPOSES OF GAINING ENTRY THROUGH LOCKED GATES DURING TACTICAL ENTRIES ON WARRANTS.</t>
  </si>
  <si>
    <t xml:space="preserve">
Sales Order #: 2286756675
RTD Screening Code: DOD
Reason for Rejection: BQ</t>
  </si>
  <si>
    <t>2YTTBM61007862</t>
  </si>
  <si>
    <t>THE FAIRFIELD POLICE DEPARTMENT IS A LAW ENFORCEMENT AGENCY. THIS ITEM WILL BE USED FOR LAW ENFORCEMENT PURPOSES ONLY.
OUR AGENCY WILL UTILIZE THIS ITEM TO PERFORM ROUTINE MAINTENANCE ON PATROL VEHICLES. THIS ITEM WILL ALSO BE USED ROADSIDE TO ASSIST STRANDED MOTORISTS IN NEED OF ASSISTANCE.</t>
  </si>
  <si>
    <t xml:space="preserve">
Sales Order #: 2286756679
RTD Screening Code: DOD
Reason for Rejection: Y9</t>
  </si>
  <si>
    <t>2YTTBM60937845</t>
  </si>
  <si>
    <t>THE TACTICAL VEHICLE TOOLS WILL BE USED BY THE ARP POLICE DEPARTMENT FOR LAW ENFORCEMENT PURPOSES ONLY. ARP PD HAS BEEN AWARDED A HUMVEE. OFFICERS PERFORM MAINTENANCE ON THE HUMVEE. THE TOOLS WILL BE USED FOR THAT PURPOSE ONLY.</t>
  </si>
  <si>
    <t xml:space="preserve">
Sales Order #: 2285872660
RTD Screening Code: DOD
Reason for Rejection: YH</t>
  </si>
  <si>
    <t>2YTANX60866397</t>
  </si>
  <si>
    <t>THE WILSON COUNTY SHERIFFS OFFICE IS REQUESTING THIS ITEM FOR UTILIZATION IN OUR COUNTER DRUG AND NARCOTICS UNIT SPECIFICALLY FOR SURVEILLANCE AND SEARCH WARRANT MISSIONS.  WE CURRENTLY DO NOT HAVE A DRONE OF THIS SIZE TO UTILIZE IN OUR MISSIONS.</t>
  </si>
  <si>
    <t>2YTNRP61914975</t>
  </si>
  <si>
    <t>THE WASHINGTON COUNTY SHERIFF'S OFFICE WOULD USE THIS VEHICLE FOR LAW ENFORCEMENT PURPOSES. WE WOULD USE THE VEHICLE AT THE RANGE AND SPECIAL EVENTS AT THE OFFICE.</t>
  </si>
  <si>
    <t xml:space="preserve">
Sales Order #: 2292228835
RTD Screening Code: DOD
Reason for Rejection: Y9</t>
  </si>
  <si>
    <t>2YTM9S61844537</t>
  </si>
  <si>
    <t>THIS VEHICLE WOULD HELP SERVE IN THE RURAL COMMUNITY WITH UNIQUE SAFETY CHALLENGES, MOUNTAINOUS TERRAIN, REMOTE ROADWAYS, SEVERE WEATHER EVENTS. THIS VEHICLE WOULD SUPPORT NATURAL DISASTERS, RESCUES. THIS VEHICLE WOULD HELP REACH AFFECTED AREAS AND IMPROVE OFFICER SAFETY. THIS VEHICLE WILL BE USED FOR PUBLIC SAFETY. TELLICO PLAINS POLICE DEPARTMENT ASSUMES ALL COST AND RESPONSIBILITIES.</t>
  </si>
  <si>
    <t xml:space="preserve">
Sales Order #: 2292049081
RTD Screening Code: DOD
Reason for Rejection: Y9</t>
  </si>
  <si>
    <t>2YTLRG61844346</t>
  </si>
  <si>
    <t>THIS VEHICLE WILL BE USED AS AN EVIDENCE TRANSPORT VEHICLE FORM OUR FACILITY TO THE STATE CRIME LAB.</t>
  </si>
  <si>
    <t>2YTGLM61914906</t>
  </si>
  <si>
    <t>LAWRENCEBURG POLICE DEPT (2YTGLM)</t>
  </si>
  <si>
    <t>THIS VEHICLE WILL BE USED BY OUR PATROL OFFICERS AND INVESTIGATORS AS AN UNMARKED VEHICLE WHILE WORKING INVESTIGATIONS. 
I HAVE REVIEWED THE CONDITION AND WE ARE SATISFIED WITH THE CONDITION OF THE VEHICLE.</t>
  </si>
  <si>
    <t>Rejected by ETD1004.  Comments: currently in the GSA cycle   must be in the DOD or RTD2 cycle.</t>
  </si>
  <si>
    <t>2YTHDF61775034</t>
  </si>
  <si>
    <t>THE WHITE COUNTY SHERIFF'S OFFICE SORT CAN USE THESE ON THEIR RIFLES DURING NIGHT OPERATIONS. WE ARE A SMALL AGENCY AND CAN NOT AFFORD THE IR DEVICES FOR OUR NVG'S WE HAVE ON LOAN FROM ROCIC.</t>
  </si>
  <si>
    <t xml:space="preserve">
Sales Order #: 2289360293
RTD Screening Code: DOD
Reason for Rejection: YG</t>
  </si>
  <si>
    <t>2YTNMZ61421479</t>
  </si>
  <si>
    <t>THE MONROE COUNTY SHERIFFS OFFICE IS REQUESTING THIS FOR OVERFLOW STORAGE. WE ARE NEEDING THIS FOR STORAGE OF VEHICLE MAINTENANCE SUPPLIES AT OUR GARAGE.</t>
  </si>
  <si>
    <t xml:space="preserve">
Sales Order #: 2290545575
RTD Screening Code: DOD
Reason for Rejection: YH</t>
  </si>
  <si>
    <t>2YTHWY61632973</t>
  </si>
  <si>
    <t>THESE SLING ATTACHMENTS WILL BE USED BY OUR PATROL OFFICER TO UPGRADE THEIR RIFLE SLING ATTACHMENTS.</t>
  </si>
  <si>
    <t xml:space="preserve">
Sales Order #: 2289210592
RTD Screening Code: DOD
Reason for Rejection: YG</t>
  </si>
  <si>
    <t>2YTHDF61350994</t>
  </si>
  <si>
    <t>THE WILSON COUNTY SHERIFFS OFFICE IS REQUESTING THIS ITEM FOR UTILIZATION BY OUR SPECIAL OPERATIONS DIVISION.  THIS VEHICLE WILL BE ABLE TO BE UTILIZED DURING THE LARGEST FAIR IN THE STATE OF TN WHICH IS COVERED BY THE WILSON COUNTY SHERIFFS OFFICE SPECIAL RESPONSE TEAM.  THE SPECIAL RESPONSE TEAM IS RESPONSIBLE FOR HIGH RISK RESPONSES ACROSS THE COUNTY AND THIS WILL SIGNIFICANTLY IMPROVE OFFICER SAFETY AND ALLOW FOR PROPER COVERAGE OF OUR OPERATORS AND DIGNITARIES WE GET ASSIGNED TO PROTECT.</t>
  </si>
  <si>
    <t>Rejected by ETD1004.  Comments: approved for another requisitioner.</t>
  </si>
  <si>
    <t>2YTNRP61844578</t>
  </si>
  <si>
    <t>JOHNSON COUNTY SHERIFF'S OFFICE WILL UTILIZE THIS FOR THE SPECIAL RESPONSE TEAM, HIGH RISK WARRANT EXECUTION AND EMERGENCY RESPONSE.</t>
  </si>
  <si>
    <t>Rejected by ETD1004.  Comments: approved for an earlier requisitioner.</t>
  </si>
  <si>
    <t>2YTFZ861844558</t>
  </si>
  <si>
    <t>JOHNSON COUNTY SHERIFFS OFFICE (2YTFZ8)</t>
  </si>
  <si>
    <t>THE BRISTOL TENNESSEE POLICE DEPARTMENT SPECIAL OPERATIONS TEAM WOULD UTILIZE THIS TRUCK DURING EXECUTION OF HIGH RISK SEARCH WARRANTS, HOSTAGE SITUATIONS, OR ACTIVE SHOOTER INCIDENTS. THE BASE STATES THE TRUCK JUST NEEDS A NEW BATTERY.</t>
  </si>
  <si>
    <t>Rejected by EJH2476.  Comments: REJECT JH PREV ALLOCATED.</t>
  </si>
  <si>
    <t>2YTBJQ61844786</t>
  </si>
  <si>
    <t>DEASSIGNED FROM DCC0247 BY DCC0247</t>
  </si>
  <si>
    <t>2YTNRP61844579</t>
  </si>
  <si>
    <t>JOHNSON COUNTY SHERIFF'S OFFICE WILL UTILIZE THIS FOR THE SPECIAL RESPONSE TEAM, HIGH RISK WARRANT SERVICE, AND OTHER HIGH RISK EMERGENCY SITUATIONS.</t>
  </si>
  <si>
    <t>No approved Tactical Vehicle Package on file.</t>
  </si>
  <si>
    <t>2YTFZ861844636</t>
  </si>
  <si>
    <t>THE HICKMAN COUNTY SHERIFF'S OFFICE WOULD USE THIS DURING SPECIAL OPERATIONS AS A FAST ATTACK IN CASE OF FIRE DURING HIGH RISK WARRANT OPERATIONS. THE SHERIFF OFFICE WILL REPAIR THE VEHICLE</t>
  </si>
  <si>
    <t>The 1706 Program would benefit greater as the intended use for this item is actual fire fighting rather than police use.</t>
  </si>
  <si>
    <t>2YTFC261914737</t>
  </si>
  <si>
    <t>THE GLEASON POLICE DEPARTMENT WILL BE THE ONLY ONES USING THIS ITEM. THIS ITEM WILL BE USED DURING TIMES OF NATURAL DISASTER. THIS ITEM WOULD BE USED TO HELP AID DURING TIMES OF NATURAL DISASTERS. THIS ITEM WOULD ALSO BE USED TO HELP IS ASSISTING REMOVAL OF DEBRIS AND TRAFFIC MOVEMENT DURING TIMES OF NATURAL DISASTERS. THE GLEASON POLICE DEPARTMENT HAS MADE CONTACT WITH SOMEONE FROM THE BASE.</t>
  </si>
  <si>
    <t>2YTEMC61914746</t>
  </si>
  <si>
    <t>THE WILSON COUNTY SHERIFF'S OFFICE IS REQUESTING THIS ITEM FOR UTILIZATION FOR OUR SPECIAL OPERATIONS DIVISION.  WILSON COUNTY SO IS RESPONSIBLE FOR THE LARGEST FAIR IN THE STATE, THE TN STATE FAIR, WHICH IS ONLY ACCESSIBLE BY SIDE BY SIDE AND ALL TERRAIN VEHICLE. WE ARE AWARE OF THE CONDITION CODE BUT SUSPECT THESE ITEMS WILL STILL BE ABLE TO BE UTILIZED BY OUR AGENCY.</t>
  </si>
  <si>
    <t xml:space="preserve">
Sales Order #: 2292228823
RTD Screening Code: DOD
Reason for Rejection: Y9</t>
  </si>
  <si>
    <t>2YTNRP61774456</t>
  </si>
  <si>
    <t>THE WILSON COUNTY SHERIFFS OFFICE IS REQUESTING THIS ITEM FOR UTILIZATION BY OUR AGENCY WHOSE FLEET IS SIGNIFICANTLY BEHIND DUE TO THE COVID PANDEMIC AND WILL BE UTILIZED BY OUR AGENCY TO REPLACE A MUCH OLDER VEHICLE.</t>
  </si>
  <si>
    <t xml:space="preserve">
Sales Order #: 2291617021
RTD Screening Code: DOD
Reason for Rejection: Y9</t>
  </si>
  <si>
    <t>2YTNRP61773790</t>
  </si>
  <si>
    <t>TO BE USED FOR OUTDOOR OPS, TRAINING EVENTS, AND DRUG ERADICATION.</t>
  </si>
  <si>
    <t xml:space="preserve">
Sales Order #: 2292228852
RTD Screening Code: DOD
Reason for Rejection: Y9</t>
  </si>
  <si>
    <t>2YTGLM61774534</t>
  </si>
  <si>
    <t>THIS WILL BE USED IN A WAREHOUSE THAT STORE EVIDENCE AND OTHER PROPERTIES THAT NEED COOL STORAGE.</t>
  </si>
  <si>
    <t>2YTGLM61764607</t>
  </si>
  <si>
    <t>TRAILER WILL BE USED BY THE GREENE COUNTY SHERIFFS OFFICE TO REPLACE ONE THAT AN AXLE BROKE IN. WE USE THESE TRAILERS TO HAUL OUR PUBLIC RELATIONS EVENT MATERIALS AND SUPPLIES IN WHEN WE GO SET UP TO DO PUBLIC EDUCATION PROGRAMS.</t>
  </si>
  <si>
    <t xml:space="preserve">
Sales Order #: 2291585144
RTD Screening Code: DOD
Reason for Rejection: Y9</t>
  </si>
  <si>
    <t>2YTET661773736</t>
  </si>
  <si>
    <t>THE WILSON COUNTY SHERIFF'S OFFICE IS REQUESTING THIS ITEM FOR UTILIZATION BY THE SPECIAL RESPONSE TEAM WHO IS TASKED WITH RESPONDING TO EMERGENCIES IN WHICH A ROBOT WOULD IMPROVE OFFICER SAFETY SIGNIFICANTLY.  WE CURRENTLY DO NOT HAVE ACCESS TO A ROBOT THAT HAS THESE CAPABILITIES AND THE CONDITION OF THIS ONE APPEARS TO HAVE SIGNIFICANT LIFE LEFT FOR OUR AGENCY.</t>
  </si>
  <si>
    <t xml:space="preserve">
Sales Order #: 2291970803
RTD Screening Code: DOD
Reason for Rejection: Y9</t>
  </si>
  <si>
    <t>2YTNRP61844277</t>
  </si>
  <si>
    <t>IF AWARDED THESE WOULD BE ISSUED TO THE SHERIFFS SWAT TEAM MEMBERS AS PART OF THEIR KIT. THESE BELS WOULD ALLOW FOR EQUIPMENT TO BE PLACED ON THEM AS WELL AS A LANYARD TO HELP SECURE THEM IN TRANSPORT VEHICLES DURING OPERATIONS. CONDITION IS CONFIRMED AND ACCEPTED.</t>
  </si>
  <si>
    <t xml:space="preserve">
Sales Order #: 2290046436
RTD Screening Code: DOD
Reason for Rejection: YF</t>
  </si>
  <si>
    <t>2YTM9S61422010</t>
  </si>
  <si>
    <t>THIS WILL BE USED TO SUPPLY OFFICERS ICE DURING PATROL AND MARIJUANA ERADICATION OPS.</t>
  </si>
  <si>
    <t xml:space="preserve">
Sales Order #: 2292074252
RTD Screening Code: DOD
Reason for Rejection: Y9</t>
  </si>
  <si>
    <t>ICEMAKER-DISPENSER</t>
  </si>
  <si>
    <t>2YTGLM61844425</t>
  </si>
  <si>
    <t>THE WASHINGTON COUNTY SHERIFF'S OFFICE WOULD USE THIS VEHICLE FOR LAW ENFORCEMENT PURPOSES. WE WOULD USE THE VEHICLE TO SET UP SURVEILLANCE ON TARGET LOCATIONS AND OTHER SPECIAL OPERATIONS INVOLVING THE DETECTIVE BUREAU</t>
  </si>
  <si>
    <t>Rejected by EJH2476.  Comments: REJECT JH  PREV ALLOCATED.</t>
  </si>
  <si>
    <t>2YTM9S61844624</t>
  </si>
  <si>
    <t>JOHNSON COUNTY SHERIFF'S OFFICE WILL UTILIZE THIS FOR THE SPECIAL RESPONSE TEAM FOR HIGH RISK WARRANTS, AND OTHER HIGH RISK SITUATIONS THTA THE SPECIAL RESPONSE TEAM RESPONDS TO.</t>
  </si>
  <si>
    <t>Rejected by EJH2476.  Comments: REJECT JH DUPL.</t>
  </si>
  <si>
    <t>2YTFZ861844639</t>
  </si>
  <si>
    <t>Rejected by EJH2476.  Comments: REJECT JH DUPL REQ.</t>
  </si>
  <si>
    <t>2YTFZ861844638</t>
  </si>
  <si>
    <t>2YTFZ861844637</t>
  </si>
  <si>
    <t>THE WILSON COUNTY SHERIFFS OFFICE IS IN SIGNIFICANT NEED OF THIS EQUIPMENT AS WE ARE SIGNIFICANTLY BEHIND IN OUR FLEET AND THIS WILL BE THE LARGEST VEHICLE IN OUR FLEET WHICH WILL BE A FIRST LINE VEHICLE FOR RESPONDING TO EMERGENCIES.</t>
  </si>
  <si>
    <t xml:space="preserve">
Sales Order #: 2292074243
RTD Screening Code: DOD
Reason for Rejection: Y9</t>
  </si>
  <si>
    <t>2YTNRP61844401</t>
  </si>
  <si>
    <t>THE MONROE COUNTY SHERIFFS OFFICE IS REQUESTING THIS FOR OUR TRAINING FACILITY. THIS WILL BE USED TO MOW ALL OF OUR LARGER PROPERTIES. THE BUSH HOG WE CURRENTLY HAVE IS ABOUT AT ITS LIFESPAN AND HAVING MAJOR ISSUES.</t>
  </si>
  <si>
    <t xml:space="preserve">
Sales Order #: 2288443104
RTD Screening Code: DOD
Reason for Rejection: YH</t>
  </si>
  <si>
    <t>2YTHWY61280185</t>
  </si>
  <si>
    <t>WILL BE USED TO CLEAN UP AND MAINTAIN OUR DRUG SEIZURE AND EVIDENCE YARD.</t>
  </si>
  <si>
    <t xml:space="preserve">
Sales Order #: 2291827678
RTD Screening Code: DOD
Reason for Rejection: Y9</t>
  </si>
  <si>
    <t>RAKE,ROCK AND ROOT,TRACTOR MOUNTING</t>
  </si>
  <si>
    <t>2YTGLM61774227</t>
  </si>
  <si>
    <t>THE BRISTOL POLICE DEPARTMENT WOULD USE THIS VEHICLE FOR UNDERCOVER DRUG INVESTIGATIONS AND ASSIGN IT TO A DRUG ENFORCEMENT OFFICER.</t>
  </si>
  <si>
    <t xml:space="preserve">
Sales Order #: 2285761789
RTD Screening Code: DOD
Reason for Rejection: YH</t>
  </si>
  <si>
    <t>2YTBJQ60866291</t>
  </si>
  <si>
    <t>THE BRISTOL POLICE DEPARTMENT WOULD USE THIS VAN FOR TRANSPORTATION INVOLVING NEWLY HIRED OFFICERS TO GET BACK AND FORTH TO THE POLICE ACADEMY FOR BASIC TRAINING. THE BASE STATES THE VAN IS OPERATIONAL.</t>
  </si>
  <si>
    <t xml:space="preserve">
Sales Order #: 2285870183
RTD Screening Code: DOD
Reason for Rejection: YH</t>
  </si>
  <si>
    <t>2YTBJQ60866290</t>
  </si>
  <si>
    <t>THE WILSON COUNTY SHERIFF'S OFFICE IS REQUESTING THESE ITEMS FOR UTILIZATION BY OUR SPECIAL RESPONSE TEAM SNIPER DIVISION WHO IS RESPONSIBLE FOR OPERATING IN NO AND NO LIGHT CONDITIONS. WE CURRENTLY DO NOT HAVE ANY EQUIPMENT LIKE THIS AND THIS WILL BE A SIGNIFICANT IMPROVEMENT TO OFFICER SAFETY.  WE ARE AWARE OF THE CONDITION CODE BUT SUSPECT THESE ITEMS WILL STILL BE ABLE TO BE UTILIZED BY OUR AGENCY.</t>
  </si>
  <si>
    <t>Rejected by EJH2476.  Comments: REJECT JH COND CODE F.</t>
  </si>
  <si>
    <t>2YTNRP61844541</t>
  </si>
  <si>
    <t>THE WILSON COUNTY SHERIFFS OFFICE IS REQUESTING THIS ITEM FOR UTILIZATION BY OUR SPECIAL OPERATIONS DIVISION.  THIS TRAILER WILL BE ABLE TO BE UTILIZED DURING THE LARGEST FAIR IN THE STATE OF TN WHICH IS COVERED BY THE WILSON COUNTY SHERIFFS OFFICE SPECIAL RESPONSE TEAM.  THE SPECIAL RESPONSE TEAM IS RESPONSIBLE FOR HIGH RISK RESPONSES ACROSS THE COUNTY AND THIS WILL ALLOW US TO UTILIZE THEM FOR DRONE OPERATIONS AND MOVING EQUIPMENT.</t>
  </si>
  <si>
    <t>Rejected by EJH2476.  Comments: REJECT JH PREV ALLOC.</t>
  </si>
  <si>
    <t>2YTNRP61774583</t>
  </si>
  <si>
    <t>Rejected by EJH2476.  Comments: REJECT JH COND CODE H.</t>
  </si>
  <si>
    <t>2YTNRP61774540</t>
  </si>
  <si>
    <t>THE MONROE COUNTY SHERIFFS OFFICE IS REQUESTING THIS TRUCK FOR OUR TRAINING FACILITY AND OTHER TRAINING AREAS. THIS WILL HELP US WILL WASTE DISPOSAL AND TO KEEP THESE AREAS CLEAN FOR DEPUTIES. WE WILL ALSO USE THE WATER PORTION DURING OUR DRIVER TRAINING EVENTS.</t>
  </si>
  <si>
    <t>Item already requisitioned.</t>
  </si>
  <si>
    <t>2YTHWY61844544</t>
  </si>
  <si>
    <t>THE WILSON COUNTY SHERIFF'S OFFICE IS REQUESTING THESE ITEMS FOR UTILIZATION BY THE SPECIAL OPERATIONS DIVISION WHO IS TASKED WITH RESPONDING TO EMERGENCIES AND MAINTAINING VEHICLES AND EQUIPMENT UTILIZED IN THOSE EMERGENCIES.  WE CURRENTLY DO NOT HAVE ANY EQUIPMENT TO UTILIZE LIKE THIS.</t>
  </si>
  <si>
    <t xml:space="preserve">
Sales Order #: 2292011143
RTD Screening Code: DOD
Reason for Rejection: Y9</t>
  </si>
  <si>
    <t>2YTNRP61774278</t>
  </si>
  <si>
    <t>THE WASHINGTON COUNTY SHERIFFS OFFICE. WILL USE THE FORKLIFT FOR LAW ENFORCEMENT PURPOSES. WE WILL USE THE FORKLIFT TO MOVER AROUND EQUIPMENT IN OUR STORAGE LOT AND TO MOVE HEAVIER EQUIPMENT WE OBTAIN THROUGH THIS PROGRAM. WE CAN USE IT TO MAKE REPAIRS AT OUR RANGE.</t>
  </si>
  <si>
    <t xml:space="preserve">
Sales Order #: 2291680884
RTD Screening Code: DOD
Reason for Rejection: Y9</t>
  </si>
  <si>
    <t>2YTM9S61774148</t>
  </si>
  <si>
    <t>THIS ASSET WOULD BENEFIT OUR AGENCY AND OFFICERS BY CALLING US TO UTILIZE THIS AS A MAINTENANCE BUILDING FOUR OUR VEHICLES AND FIREARMS.  IT WOULD BE USED TO STORE VEHICLE AND FIREARM ITEMS FOR OFFICERS TO BE ABLE TO REPAIR OR MAINTAIN THEIR VEHICLES AND FIREARMS. SPOKE TO FORT AND THIS WILL WORK AS IS FOR OUR NEEDS</t>
  </si>
  <si>
    <t xml:space="preserve">
Sales Order #: 2291157720
RTD Screening Code: DOD
Reason for Rejection: YH</t>
  </si>
  <si>
    <t>MISCELLANEOUS PREFABRICATED STRUCTURES</t>
  </si>
  <si>
    <t>DSMSCPREF</t>
  </si>
  <si>
    <t>2YTS0861633479</t>
  </si>
  <si>
    <t>THE WILSON COUNTY SHERIFF'S OFFICE IS REQUESTING THIS ITEM FOR UTILIZATION BY THE SPECIAL RESPONSE TEAM WHO IS TASKED WITH RESPONDING TO EMERGENCIES IN A VARIETY OF LOCATIONS THAT FREQUENTLY REQUIRE ALL TERRAIN VEHICLES.  WE CURRENTLY ARE NOT ABLE TO HAUL THIS VEHICLES AND THIS TRAILER WOULD ASSIST US WITH THAT AND OTHER TASKS AS NEEDED.</t>
  </si>
  <si>
    <t xml:space="preserve">
Sales Order #: 2291305249
RTD Screening Code: GSA
Reason for Rejection: Y9</t>
  </si>
  <si>
    <t>2YTNRP61703620</t>
  </si>
  <si>
    <t>THIS ASSET WOULD BENEFIT THIS AGENCY AND OFFICERS BY ALLOWING US TO UTILIZE THIS TO PULL A TRAILER WITH A UTV ON IT TO ASSIST IN RESPONDING TO INCIDENTS AND SEARCH AND RESCUE EVENTS THAT WOULD REQUIRE  EXTRA EQUIPMENT. WE WOULD REPAIR AS NECESSARY. SPOKE TO FORT</t>
  </si>
  <si>
    <t>2YTS0861714237</t>
  </si>
  <si>
    <t>THESE CARTRIDGE WILL BE USED BY OUR PATROL OFFICERS FOR YEARLY RECERTIFICATION OF THEIR TASER UNITS AS WELL AS NEW HIRE TRAINING WHEN A NEW PATROL OFFICER IS HIRED.  
I HAVE CONTACTED THE BASE IN REFERENCE TO THE CONDITION OF THE CARTRIDGES AND WE ARE SATISFIED WITH THEIR CONDITION.</t>
  </si>
  <si>
    <t xml:space="preserve">
Sales Order #: 2291157728
Reason for Rejection: Y9</t>
  </si>
  <si>
    <t>CARTRIDGE,ELECTRIC</t>
  </si>
  <si>
    <t>2YTHDF61703465</t>
  </si>
  <si>
    <t>WE ARE A SHERIFF DEPT WITH A LIMITED BUDGET. WE ARE IN NEED OF THIS EQUIPMENT FOR OUR OFFICERS TO USE DOING MAINTENANCE ON THE LIGHTS AT THEIR TRAINING AREA. THIS WOULD BE A GREAT ADDITION TO OUR DEPARTMENT.</t>
  </si>
  <si>
    <t xml:space="preserve">
Sales Order #: 2291023716
RTD Screening Code: GSA
Reason for Rejection: Y9</t>
  </si>
  <si>
    <t>2YTE4H61703510</t>
  </si>
  <si>
    <t>HARDIN COUNTY SHERIFF'S DEPT (2YTE4H)</t>
  </si>
  <si>
    <t>THE WILSON COUNTY SHERIFFS OFFICE IS REQUESTING THIS ITEM FOR UTILIZATION BY OUR SPECIAL OPERATIONS TEAMS. THIS TRAILER WILL SERVE US IN MULTIPLE PURPOSES TO INCLUDE MOVING OF ALL TERRAIN VEHICLES AND A COMMAND FOR OUR SRT AND DRONE TEAMS.</t>
  </si>
  <si>
    <t xml:space="preserve">
Sales Order #: 2291617036
RTD Screening Code: DOD
Reason for Rejection: Y9</t>
  </si>
  <si>
    <t>2YTNRP61773785</t>
  </si>
  <si>
    <t>HICKMAN COUNTY IS A FEDERALLY DECLEARED DISASTER AREA. THE HICKMAN COUNTY SHERIFF'S OFFICE WILL USE THIS TRAILER TO MOVE SMALLER EQUIPMENT AND SUPPLIES IN TIME OF EMERGENCY.</t>
  </si>
  <si>
    <t xml:space="preserve">
Sales Order #: 2291023714
RTD Screening Code: DOD
Reason for Rejection: Y9</t>
  </si>
  <si>
    <t>2YTFC261703488</t>
  </si>
  <si>
    <t>WATER TRAILER WILL BE USED BY THE GREENE COUNTY SHERIFFS OFFICE TO HAUL WATER FOR NON-POTABLE USE WHEN THERE IS A DISASTER. THIS WILL INCLUDE FILLING PORTA JOHNS AND OTHER USES WHEN WATER IS NOT EASILY AVAILABLE.</t>
  </si>
  <si>
    <t xml:space="preserve">
Sales Order #: 2290010734
RTD Screening Code: DOD
Reason for Rejection: YG</t>
  </si>
  <si>
    <t>WATER STORAGE TANKS</t>
  </si>
  <si>
    <t>DSWATERTA</t>
  </si>
  <si>
    <t>2YTET661491837</t>
  </si>
  <si>
    <t xml:space="preserve">THIS HANDHELD THERMAL WILL BE USED BY OUR PATROL OFFICERS WHEN SEARCHING FOR MISSING PEOPLE, RUNAWAY CHILDREN, AND FLEEING SUSPECTS.  
I HAVE CONTACTED THE BASE IN REFERENCE TO THE CONDITION OF THE OPTIC AND WE ARE SATISFIED WITH THE CONDITION. 
</t>
  </si>
  <si>
    <t>SIGHT,THERMAL</t>
  </si>
  <si>
    <t>2YTHDF61773948</t>
  </si>
  <si>
    <t>USED AT 3 DIFFERENT POLICE PROPERTIES TO SERVICE TREES HAND CAMERAS AND CLEAN GUTTERS AS WELL AS FENCING FOR OUR DRUG SEIZURE LOT.</t>
  </si>
  <si>
    <t>TRUCK,SERVICING PLA</t>
  </si>
  <si>
    <t>2YTGLM61703880</t>
  </si>
  <si>
    <t>THE WILSON COUNTY SHERIFF'S OFFICE IS REQUESTING THESE ITEMS FOR ISSUANCE TO OUR PATROL DIVISION WHO IS CURRENTLY NOT OFFERED A SIGHT FOR THEIR RIFLES.  WE ARE AWARE OF THE CONDITION CODE BUT BELIEVE THEY WILL WORK FOR OUR AGENCY.</t>
  </si>
  <si>
    <t>2YTNRP61703911</t>
  </si>
  <si>
    <t xml:space="preserve">
Sales Order #: 2291157741
RTD Screening Code: DOD
Reason for Rejection: Y9</t>
  </si>
  <si>
    <t>2YTS0861633480</t>
  </si>
  <si>
    <t>THE WILSON COUNTY SHERIFFS OFFICE IS REQUESTING THESE ITEMS FOR UTILIZATION BY THE SPECIAL RESPONSE TEAM WHO IS TASKED WITH RESPONDING TO EMERGENCIES IN LOW AND NO LIGHT EMERGENCIES.  THESE WILL BE A SIGNIFICANT IMPROVEMENT FOR OUR TEAM.</t>
  </si>
  <si>
    <t xml:space="preserve">
Sales Order #: 2291312138
RTD Screening Code: DOD
Reason for Rejection: Y9</t>
  </si>
  <si>
    <t>2YTNRP61703657</t>
  </si>
  <si>
    <t>TO  BE USED AT 4 DIFFERENT POLICE BUILDINGS. WE ARE IN THE PROCESS OF BUILDING A NEW DRUG SEIZURE AREA AND USED FOR GENERAL MAINTENANCE OF OUR EVIDENCE VAULT AND MAIN OFFICE.</t>
  </si>
  <si>
    <t xml:space="preserve">
Sales Order #: 2291305245
RTD Screening Code: DOD
Reason for Rejection: Y9</t>
  </si>
  <si>
    <t>2YTGLM61703631</t>
  </si>
  <si>
    <t>THE WILSON COUNTY SHERIFF'S OFFICE IS REQUESTING THESE ITEMS FOR UTILIZATION BY THE SPECIAL RESPONSE TEAM WHO IS TASKED WITH RESPONDING TO EMERGENCIES AND TRAINING IN A VARIETY OF CONDITIONS THAT WOULD REQUIRE EYE PROTECTION.  WE ARE CURRENTLY NOT EQUIPPED WITH THESE ITEMS.</t>
  </si>
  <si>
    <t xml:space="preserve">
Sales Order #: 2290923243
RTD Screening Code: DOD
Reason for Rejection: Y9</t>
  </si>
  <si>
    <t>2YTNRP61633230</t>
  </si>
  <si>
    <t>THESE WET WEATHER JACKETS WILL BE USED BY OUR SRT OPERATORS DURING WET WET WEATHER OPERATIONS AND TRAINING.</t>
  </si>
  <si>
    <t xml:space="preserve">
Sales Order #: 2289567187
RTD Screening Code: RTD2
Reason for Rejection: YH</t>
  </si>
  <si>
    <t>2YTHDF61351080</t>
  </si>
  <si>
    <t>THIS ASSET WOULD BENEFIT THIS AGENCY AND OFFICERS BY ALLOWING US TO UTILIZE THIS AS A MOBILE TRAFFIC CONTROL UNIT FOR CONES BARRICADES ETC FOR REROUTING TRAFFIC AT EVENTS AND INCIDENTS. I SPOKE WITH FORT AND WE WOULD REPAIR AS NEEDED FOR USE</t>
  </si>
  <si>
    <t>Rejected by ETD1004.  Comments: similar to others requisitioned in the past..</t>
  </si>
  <si>
    <t>2YTS0861703472</t>
  </si>
  <si>
    <t>THE MONROE COUNTY SHERIFFS OFFICE IS REQUESTING THIS TRAILER FOR MOVING OUR TRACTORS SMALL EQUIPMENT AND OUR ATVS. OUR CURRENT GOOSENECK DOES NOT HAVE RAMPS AND THIS TRAILER IS THE RIGHT SIZE AND RAMPS INCLUDED FOR THESE TASKS.</t>
  </si>
  <si>
    <t>2YTHWY61703449</t>
  </si>
  <si>
    <t>THE MONROE COUNTY SHERIFFS OFFICE IS REQUESTING THIS FOR USE AROUND OUR FACILITIES AND CAMERA SYSTEMS. THIS UNIT WILL BE USE TO PLACE OUR TAG READING CAMERAS IN OUR HIGH DRUG AREAS AS WELL AS MAJOR DRUG INVESTIGATIONS.</t>
  </si>
  <si>
    <t>2YTHWY61703445</t>
  </si>
  <si>
    <t>THIS BUCKET TRUCK WILL BE USED BY OUR OFFICERS TO PUT UP SECURITY CAMERAS, POLICE DEPARTMENT BUILDING MAINTENANCE, AND RANGE MAINTENANCE.  
WE ARE SATISFIED WITH THE CONDITION OF THE TRUCK.</t>
  </si>
  <si>
    <t>2YTHDF61703466</t>
  </si>
  <si>
    <t>THE HUMPHREYS COUNTY SHERIFFS OFFICE IS REQUESTING THIS ARMORED HMMWV TO SUPPORT EMERGENCY SERVICES AND LAW ENFORCEMENT OPERATIONS DURING FLOODS, SEVERE WEATHER, AND DISASTERS REQUIRING PROTECTED MOBILITY. IT WILL SUPPORT SWAT OPERATIONS INCLUDING BARRICADED SUBJECTS, HOSTAGE RESCUE, HIGH RISK WARRANTS, AND DRUG ENFORCEMENT, PROVIDING ARMORED CAPABILITY NOT CURRENTLY AVAILABLE.</t>
  </si>
  <si>
    <t>2YTFMD61703514</t>
  </si>
  <si>
    <t>THIS ASSET WOULD BENEFIT THIS AGENCY AND OFFICERS BY ALLOWING US TO UTILIZE THIS AS A NARCOTICS OFFICER VEHICLE FOR THEM TO BE ABLE TO DO SURVEILLANCE AND GATHER INTEL FOR DRUG ENFORCEMENT OPERATIONS</t>
  </si>
  <si>
    <t xml:space="preserve">
Sales Order #: 2290407846
RTD Screening Code: DOD
Reason for Rejection: Y9</t>
  </si>
  <si>
    <t>2YTS0861562480</t>
  </si>
  <si>
    <t>THE MONROE COUNTY SHERIFFS OFFICE IS REQUESTING THESE FOR OUR SHOP. THIS WILL BE USED IN DAY TO DAY OPERATIONS OF MAINTAINING OUR PATROL FLEET AND OTHER REPAIRS.</t>
  </si>
  <si>
    <t xml:space="preserve">
Sales Order #: 2290729498
RTD Screening Code: DOD
Reason for Rejection: Y9</t>
  </si>
  <si>
    <t>2YTHWY61632977</t>
  </si>
  <si>
    <t>THE MONROE COUNTY SHERIFFS OFFICE IS REQUESTING THIS TO ADD TO OUR MARINE UNIT. THIS WILL BE SENT OUT WITH OUR LARGER BOAT TO BE ABLE TO ACCESS THE SMALL COVES AND CANALS THE BOAT CAN NOT. IT WILL ALSO BE USED FOR A QUICKER RESPONSE TO INCIDENTS WHILE IN THE WATER.</t>
  </si>
  <si>
    <t xml:space="preserve">
Sales Order #: 2290545577
RTD Screening Code: DOD
Reason for Rejection: Y9</t>
  </si>
  <si>
    <t>2YTHWY61632956</t>
  </si>
  <si>
    <t>HICKMAN COUNTY IN A FEDERALLY DECLEARED DISASTER AREA. THE HICKMAN COUNTY SHERIFF'S OFFICE WOULD USE THIS TRAILER TO HELP MOVE HEAVY EQUIPMENT FOR DEBRIS REMOVAL. THE SHERIFF'S OFFICE WILL REPAIR IT.</t>
  </si>
  <si>
    <t xml:space="preserve">
Sales Order #: 2290545582
RTD Screening Code: DOD
Reason for Rejection: Y9</t>
  </si>
  <si>
    <t>2YTFC261562933</t>
  </si>
  <si>
    <t>THE VONORE POLICE DEPARTMENT WOULD UTILIZE THIS TRUCK AS A SEARCH AND RESCUE VEHICLE. THE TOWN HAS A STATE PARK WITH A HIKING TRAIL AND A NATURE WALKING TRAIL WITHIN THE CITY LIMITS. WE HAVE RESPONDED TO INCIDENTS WITH DELAYED RESPONSE DUE TO NOT HAVING EQUIPMENT READY. THIS TRUCK COULD BE STOCKED WITH EQUIPMENT NEEDED FOR THESE INCIDENTS. WILL ACCEPT AS IN CONDITION.</t>
  </si>
  <si>
    <t xml:space="preserve">
Sales Order #: 2289497079
RTD Screening Code: DOD
Reason for Rejection: YH</t>
  </si>
  <si>
    <t>2YTM3P61421371</t>
  </si>
  <si>
    <t>THIS ASSET WOULD BENEFIT THIS AGENCY AND OFFICERS BY ALLOWING US TO UTILIZE THIS AS A PARTS VEHICLE TO REPAIR OUR CURRENT GEM VEHICLE THAT HAS AN ENGINE MALFUNCTION AND BRAKE ISSUES.  THIS WOULD ALLOW US TO PUT OURS BACK IN SERVICE TO BE USED</t>
  </si>
  <si>
    <t xml:space="preserve">
Sales Order #: 2290373585
RTD Screening Code: DOD
Reason for Rejection: Y9</t>
  </si>
  <si>
    <t>2YTS0861562483</t>
  </si>
  <si>
    <t>THIS KNIFE WILL BE USED BY OUR SRT OPERATORS DURING TACTICAL OPERATIONS WHERE A CUTTING TOOL IS NEEDED.</t>
  </si>
  <si>
    <t xml:space="preserve">
Sales Order #: 2290796882
RTD Screening Code: DOD
Reason for Rejection: Y9</t>
  </si>
  <si>
    <t>KNIFE, COMBAT</t>
  </si>
  <si>
    <t>2YTHDF61633188</t>
  </si>
  <si>
    <t>THE WILSON COUNTY SHERIFFS OFFICE SPECIAL RESPONSE TEAM IS REQUESTING THIS EQUIPMENT FOR UTILIZATION BY OUR TEAM MEMBERS WHO ARE CURRENTLY NOT EQUIPPED WITH THIS TYPE OF HEARING PROTECTION.  THIS WILL SIGNIFICANTLY IMPROVE OFFICER SAFETY.</t>
  </si>
  <si>
    <t xml:space="preserve">
Sales Order #: 2290796894
RTD Screening Code: DOD
Reason for Rejection: Y9</t>
  </si>
  <si>
    <t>2YTNRP61633174</t>
  </si>
  <si>
    <t>GAINESBORO POLICE CAN USE THESE TRAINING DEVICES TO TRAIN FOR ACTIVE SHOOTER AND ALL OTHER RIFLE TRAINING TO MAKE IT MORE SAFE FOR THE OFFICERS AND CHEAPER FOR THE DEPARTMENT</t>
  </si>
  <si>
    <t xml:space="preserve">
Sales Order #: 2288393781
RTD Screening Code: DOD
Reason for Rejection: YH</t>
  </si>
  <si>
    <t>2YTEF661219793</t>
  </si>
  <si>
    <t>2YTHDF61633189</t>
  </si>
  <si>
    <t>THE MONROE COUNTY SHERIFFS OFFICE IS REQUESTING THIS MATERIAL HANDLER FOR OUR TRAINING FACILITY. WE ARE CURRENTLY MAKING IMPROVEMENTS AND THIS MACHINE WILL MOVE ALL SUPPLIES INCLUDING LOADING AND UNLOADING. THIS WILL ALSO BE KEY IN THE BUILDING PROCESS OF OUR RANGE ROOF COVERING TO BETTER OUR TRAINING FACILITY.</t>
  </si>
  <si>
    <t xml:space="preserve">
Sales Order #: 2290545587
RTD Screening Code: DOD
Reason for Rejection: Y9</t>
  </si>
  <si>
    <t>MATERIAL HANDLING EQUIP, SELF-PROPEL</t>
  </si>
  <si>
    <t>DSELPLTJK</t>
  </si>
  <si>
    <t>2YTHWY61633046</t>
  </si>
  <si>
    <t>THE MONROE COUNTY SHERIFFS OFFICE IS REQUESTING THIS FOR PULLING OUR SMALL TRAILERS. THIS WILL BE UTILIZED MOVING SMALL TRACTORS AND SIDE BY SIDES FOR OUR SEARCH AND RESCUE TEAM.</t>
  </si>
  <si>
    <t xml:space="preserve">
Sales Order #: 2288563114
RTD Screening Code: DOD
Reason for Rejection: YH</t>
  </si>
  <si>
    <t>2YTHWY61280134</t>
  </si>
  <si>
    <t>THE HUMPHREYS COUNTY SHERIFFS OFFICE IS REQUESTING THIS ATV TO SUPPORT SEARCH AND RESCUE OPERATIONS AND TACTICAL RESPONSE IN ROUGH TERRAIN. THE COUNTYSS DENSELY WOODED, RURAL, AND HILLY LANDSCAPE CREATES AREAS INACCESSIBLE TO STANDARD PATROL VEHICLES. THIS ATV WILL PROVIDE ENHANCED MOBILITY FOR DEPUTIES DURING EMERGENCY INCIDENTS, RESCUES, AND TACTICAL OPERATIONS, ADDING OPERATIONAL CAPABILITY NOT CURRENTLY AVAILABLE WITHIN THE AGENCY.</t>
  </si>
  <si>
    <t xml:space="preserve">
Sales Order #: 2290545592
RTD Screening Code: DOD
Reason for Rejection: Y9</t>
  </si>
  <si>
    <t>2YTFMD61632938</t>
  </si>
  <si>
    <t>THE MONROE COUNTY SHERIFFS OFFICE IS REQUESTING THIS FOR OUR ATV AND SIDE BY SIDE. THIS SMALLER TRAILER WILL BE GOOD FOR THIS USE AS WE ONLY HAVE LARGE TRAILERS AND THIS WILL ACCESS TIGHT MOUNTAIN LOCATIONS. THIS WILL HELP GET INTO THESE PLACES DURING DEPUTIES MISSIONS.</t>
  </si>
  <si>
    <t xml:space="preserve">
Sales Order #: 2290701372
RTD Screening Code: DOD
Reason for Rejection: BQ</t>
  </si>
  <si>
    <t>2YTHWY61633045</t>
  </si>
  <si>
    <t>THE MONROE COUNTY SHERIFFS OFFICE IS REQUESTING THIS FOR OUR TACTICAL RESPONSE SWAT TEAM. THIS WILL USED ALONG SIDE OUR MRAP IN HARD TO ACCESS AREAS AND MORE PERSONNEL GOING INTO LARGE WARRANT SITUATIONS.</t>
  </si>
  <si>
    <t>2YTHWY61632950</t>
  </si>
  <si>
    <t>THE HUMPHREYS COUNTY SHERIFFS OFFICE IS REQUESTING THIS TRAILER TO SUPPORT TRANSPORTATION OF AGENCY PROPERTY, EQUIPMENT, AND OFF ROAD VEHICLES USED IN OPERATIONAL AND EMERGENCY RESPONSE ACTIVITIES. IT WILL FACILITATE MOVEMENT OF FACILITY ASSETS AND RUGGED TERRAIN VEHICLES NEEDED FOR SEARCH AND RESCUE, DISASTER RESPONSE, AND OTHER RURAL MISSIONS. WE ACKNOWLEDGE THE EQUIPMENT IS LISTED AS CONDITION H AND ACCEPT RESPONSIBILITY FOR REMOVAL, REPAIR, AND RESTORATION IF REQUIRED.</t>
  </si>
  <si>
    <t xml:space="preserve">
Sales Order #: 2290010727
RTD Screening Code: DOD
Reason for Rejection: Y9</t>
  </si>
  <si>
    <t>2YTFMD61491817</t>
  </si>
  <si>
    <t>HICKMAN COUNTY IS A FEDERALLY DECLARED DISASTER AREA. THE HICKMAN COUNTY SHERIFF'S OFFICE WOULD USE THIS TRAILER TO AID IN RADIO COMMUNICATION DURING TIME OF EMERGENCY OR LARGE EVENTS IN AREAS WHERE RADIO SERVICE IS POOR. THE SHERIFF'S OFFICE WILL MAKE REAPIRS</t>
  </si>
  <si>
    <t xml:space="preserve">
Sales Order #: 2290010739
RTD Screening Code: DOD
Reason for Rejection: Y9</t>
  </si>
  <si>
    <t>2YTFC261491943</t>
  </si>
  <si>
    <t>THESE LIGHT SETS WILL BE USED BY PATROL OFFICERS TO ILLUMINATE CRASH AND CRIME SCENES WHEN THERE IS NOT ENOUGH LIGHT.  
I HAVE CONTACTED THE BASE IN REFERENCE TO THE CONDITION OF THE LIGHTS AND WE ARE SATISFIED WITH THE CONDITION OF THE LIGHTS.</t>
  </si>
  <si>
    <t xml:space="preserve">
Sales Order #: 2288235651
RTD Screening Code: DOD
Reason for Rejection: YG</t>
  </si>
  <si>
    <t>LIGHT SET,CHART,FIE</t>
  </si>
  <si>
    <t>2YTHDF61149563</t>
  </si>
  <si>
    <t xml:space="preserve">
Sales Order #: 2290313462
RTD Screening Code: DOD
Reason for Rejection: Y9</t>
  </si>
  <si>
    <t>2YTNRP61492271</t>
  </si>
  <si>
    <t xml:space="preserve">
Sales Order #: 2288674792
RTD Screening Code: DOD
Reason for Rejection: YH</t>
  </si>
  <si>
    <t>2YTM9S61280312</t>
  </si>
  <si>
    <t>THIS ASSET WOULD BENEFIT THIS AGENCY AND OFFICERS BY ALLOWING US TO USE THIS FOR PARTS TO FIX OUR OTHER TRUCK THAT WE USE FOR SURVEILLANCE AND HAULING OFF OUR DUMPSTER AT THE RANGE.   THIS ASSET WOULD REPAIR OUR CURRENT ONE</t>
  </si>
  <si>
    <t>Justification: Property is not requisitioned from RTD for cannibalization.</t>
  </si>
  <si>
    <t>2YTS0861562489</t>
  </si>
  <si>
    <t>THIS ASSET WOULD BENEFIT THIS AGENCY AND OFFICERS BY ALLOWING US TO UTILIZE THIS AS A PARTS VEHICLE FOR OUR OTHER FORD RANGER THAT IS NEED OF REPAIR. THIS ASSET WOULD BE USED FOR PARTS TO REPLACE SEVERAL I WORKING PARTS ON OUR CURRENT ASSET WE RECEIVED FROM LESO</t>
  </si>
  <si>
    <t>2YTS0861562479</t>
  </si>
  <si>
    <t>THE WASHINGTON COUNTY SHERIFFS OFFICE WILL USE THE TRAILER UNIT FOR LAW ENFORCEMENT PURPOSES. THE SHERIFFS OFFICE WILL USE THE TRAILER FOR OUR K9 UNITS TRAINING IN AND OUT OF STATE TRAINING.</t>
  </si>
  <si>
    <t xml:space="preserve">
Sales Order #: 2289724251
RTD Screening Code: DOD
Reason for Rejection: Y9</t>
  </si>
  <si>
    <t>2YTM9S61421492</t>
  </si>
  <si>
    <t>THIS ASSET WOULD BENEFIT THIS AGENCY AND OFFICERS BY ALLOWING US TO UTILIZE THIS AS A PARTS VEHICLE FOR OUR OTHER ONE WE RECEIVED OFF LESO.  WE WOULD UTILIZE PARTS OFF THIS SUCH AS TIRES SEATS  BUCKET ETC TO REPAIR THE OTHER ONE</t>
  </si>
  <si>
    <t>2YTS0861562478</t>
  </si>
  <si>
    <t>THE WILSON COUNTY SHERIFF'S OFFICE IS REQUESTING THIS ITEM FOR UTILIZATION BY THE SPECIAL RESPONSE TEAM WHO IS TASKED WITH RESPONDING TO EMERGENCIES OF PERSONS WHO OFTENTIMES BARRICADED AND OR ARMED.  WE ARE AWARE OF THE CONDITION CODE BUT SUSPECT THESE ITEMS WILL STILL BE ABLE TO BE UTILIZED BY OUR AGENCY BASED ON THE LISTING AND PHOTOGRAPHED APPEARANCE.</t>
  </si>
  <si>
    <t>2YTNRP61422269</t>
  </si>
  <si>
    <t>THE TN LAW ENFORCEMENT TRAINING ACADEMY FIREARMS RANGE TRAINS AND FACILITATES TRAINING FOR CITY, COUNTY, STATE AND FEDERAL GOVERNMENT AGENCIES.  THIS ATV WOULD BE USED TO TRANSPORT AMMUNITION AND FIREARMS TO DIFFERENT LOCATIONS ON THE TLETA CAMPUS.  THE CARGO TIE DOWN AREAS ARE IDEAL FOR THE NEED THAT TLETA FIREARMS RANGE NEEDS.</t>
  </si>
  <si>
    <t>2YTP3561492020</t>
  </si>
  <si>
    <t>LAW ENFORCEMENT TRNG ACADEMY (2YTP35)</t>
  </si>
  <si>
    <t>THE WILSON COUNTY SHERIFF'S OFFICE IS REQUESTING THESE ITEMS FOR UTILIZATION BY THE SPECIAL RESPONSE TEAM WHO IS TASKED WITH RESPONDING TO EMERGENCIES THAT REQUIRE ENHANCED HEARING PROTECTION AND COMMUNICATION CAPABILITY.  WE ARE AWARE OF THE CONDITION CODE BUT SUSPECT THESE ITEMS WILL STILL BE ABLE TO BE UTILIZED BY OUR AGENCY BASED ON THE LISTING AND PHOTOGRAPHED APPEARANCE.</t>
  </si>
  <si>
    <t xml:space="preserve">
Sales Order #: 2290067332
RTD Screening Code: DOD
Reason for Rejection: Y9</t>
  </si>
  <si>
    <t>2YTNRP61492060</t>
  </si>
  <si>
    <t>THE POLICE DEPARTMENT WOULD UTILIZE THIS ITEM DURING A DISASTER IF COMMUNICATION EQUIPMENT WAS DESTROYED. THE DEPARTMENT WOULD ONLY NEED THIS ITEM IF DTID K015 WAS NOT AWARDED. THE DEPARTMENT WOULD ACCEPT AS IN CONDITION.</t>
  </si>
  <si>
    <t xml:space="preserve">
Sales Order #: 2289971317
RTD Screening Code: DOD
Reason for Rejection: Y9</t>
  </si>
  <si>
    <t>2YTM3P61491946</t>
  </si>
  <si>
    <t>THE GREENE COUNTY SHERIFFS OFFICE IS IN NEED OF A SMALL MOTORIZED FORK LIFT TO ASSIST WITH LOADING AND UNLOADING IN TIGHT AREAS. THIS FORKLIFT IS JUST WHAT WE NEED TO UNLOAD HEAVY PALLETS AND EQUIPMENT.</t>
  </si>
  <si>
    <t xml:space="preserve">
Sales Order #: 2290010721
RTD Screening Code: DOD
Reason for Rejection: Y9</t>
  </si>
  <si>
    <t>2YTET661491838</t>
  </si>
  <si>
    <t>THE HUMPHREYS COUNTY SHERIFFS OFFICE IS REQUESTING THIS VEHICLE TO SUPPORT FACILITY MAINTENANCE AND DISASTER RELIEF OPERATIONS IN AND AROUND OUR COUNTY.</t>
  </si>
  <si>
    <t xml:space="preserve">
Sales Order #: 2290010729
RTD Screening Code: DOD
Reason for Rejection: Y9</t>
  </si>
  <si>
    <t>LOADER,SKID STEER</t>
  </si>
  <si>
    <t>2YTFMD61491730</t>
  </si>
  <si>
    <t>THE MILAN POLICE DEPARTMENT WOULD LIKE TO HAVE THE TRUCK TO MOVE MATERIAL TO AND FROM OUR NEW FIRING RANGE. WE ARE CONSTANTLY WORKING TO IMPROVE THE RANGE AND WOULD NOT BE ABLE TO PURCHASE A TRUCK LIKE THIS. THE TRUCK WILL ALSO BE USED TO MOVE DOWN TREES IN NATURAL DISASTERS. THE TRUCK WILL WILL BE USED BY OUR DEPARTMENT ONLY.</t>
  </si>
  <si>
    <t>ALLOCATION - The Milan PD is a 26 person department and has already received 4 pieces of earth moving equipment within the last 2 years which can be used for range maintenance.</t>
  </si>
  <si>
    <t>2YTHQ061422024</t>
  </si>
  <si>
    <t xml:space="preserve">
.THIS VEHICLE WOULD AID THE POLICE DEPARTMENT ON RESCUE EFFORTS AND BIG EVENTS TO NAVIGATE THROUGH THOUSANDS OF PEOPLE ENTERING THE CITY BY TRAIN AND POV.  THIS VEHICLE WOULD BE STRICTLY USED BY THE WATERTOWN POLICE DEPARTMENT AND ONLY BY THEM FOR LAW ENFORCEMENT PURPOSES</t>
  </si>
  <si>
    <t>Rejected by ETD1004.  Comments: LOCATED IN WASHINGTON STATE IF YOU STILL WANT RESUBMIT.</t>
  </si>
  <si>
    <t>2YTNBX61421639</t>
  </si>
  <si>
    <t>WATERTOWN POLICE DEPT (2YTNBX)</t>
  </si>
  <si>
    <t>Rejected by ETD1004.  Comments: APPROVED ONE EARLIER. .</t>
  </si>
  <si>
    <t>2YTFMD61491732</t>
  </si>
  <si>
    <t>THE HUMPHREYS COUNTY SHERIFFS OFFICE IS REQUESTING THIS ATV TO SUPPORT SEARCH AND RESCUE OPERATIONS AND TACTICAL RESPONSE IN ROUGH TERRAIN. THE COUNTYS DENSELY WOODED, RURAL, AND HILLY LANDSCAPE CREATES AREAS INACCESSIBLE TO STANDARD PATROL VEHICLES. THIS ATV WILL PROVIDE ENHANCED MOBILITY FOR DEPUTIES DURING EMERGENCY INCIDENTS, RESCUES, AND TACTICAL OPERATIONS, ADDING OPERATIONAL CAPABILITY NOT CURRENTLY AVAILABLE WITHIN THE AGENCY.</t>
  </si>
  <si>
    <t>ALLOCATION:  LESO HQ has deemed that this property is not needed based on the property the agency already has on their books. The LEA has previously received 11 other ATVs.</t>
  </si>
  <si>
    <t>2YTFMD61491726</t>
  </si>
  <si>
    <t>THIE PROPERTY WILL BE USED BY THE PARSONS POLICE DEPARTMENT BY THE INVESTIGATION DEPARTMENT. THIS UNIT WILL ALSO BE USED AS A UNDERCOVER DRUG ENFORCEMENT VEHICLE</t>
  </si>
  <si>
    <t xml:space="preserve">
Sales Order #: 2289358038
RTD Screening Code: DOD
Reason for Rejection: Y9</t>
  </si>
  <si>
    <t>2YTJEV61351055</t>
  </si>
  <si>
    <t>THIS PROPERTY WILL BE USED BY THE PARSONS POLICE DEPARTMENT FOR RUNNING EMERGENCY SCENE LIGHTS AT CRIME SCENES AND CRITICAL INCIDENTS.</t>
  </si>
  <si>
    <t xml:space="preserve">
Sales Order #: 2289338547
RTD Screening Code: DOD
Reason for Rejection: Y9</t>
  </si>
  <si>
    <t>2YTJEV61350978</t>
  </si>
  <si>
    <t>THIS PROPERTY WILL BE USED BY THE PARSONS POLICE DEPARTMENT AS A MOBILE CRITICAL COMMAND CENTER DURING CRUCIAL HIGH-STAKES SITUATIONS AND NATURAL DISASTERS.</t>
  </si>
  <si>
    <t xml:space="preserve">
Sales Order #: 2289337562
RTD Screening Code: DOD
Reason for Rejection: Y9</t>
  </si>
  <si>
    <t>2YTJEV61350937</t>
  </si>
  <si>
    <t>THE MADISONVILLE POLICE DEPARTMENT IS REQUESTING THIS SAFETY EQUIPMENT FOR USE BY OUR OFFICERS. IF AWARDED THIS COULD BE USED TO BLOCK TRAFFIC FOR SPECIAL EVENTS AND ROAD WORK. INFORMATION GATHERED FROM THE BASE IS THE UNIT IS SERVICEABLE. DUE TO CURRENT OPERATIONAL LIMITATIONS WE ARE UNABLE TO PURCHASE SPECIAL SAFETY EQUIPMENT LIKE THIS. THANKS</t>
  </si>
  <si>
    <t xml:space="preserve">
Sales Order #: 2289075202
RTD Screening Code: DOD
Reason for Rejection: Y9</t>
  </si>
  <si>
    <t>2YTG5761350715</t>
  </si>
  <si>
    <t>THE MADISONVILLE POLICE DEPARTMENT IS REQUESTING THIS TRAILER FOR USE BY OUR OFFICERS. THIS TRAILER IF AWARDED COULD BE USED AS A MOBILE CLASSROOM ON OUR SHOOTING RANGE AND MOBILE CRIME SCENE UNIT FOR EVIDENCE COLLECTION. DUE TO BUDGET CONSTRAINTS WE ARE CURRENTLY UNABLE TO PURCHASE ITEMS LIKE THIS TRAILER FOR USE. THANKS</t>
  </si>
  <si>
    <t xml:space="preserve">
Sales Order #: 2289100828
RTD Screening Code: DOD
Reason for Rejection: Y9</t>
  </si>
  <si>
    <t>2YTG5761350709</t>
  </si>
  <si>
    <t>THE GLEASON POLICE DEPARTMENT WILL BE THE ONLY ONES USING THIS ITEM. THIS ITEM WILL BE A GREAT BENEFIT TO THE DEPARTMENT DURING TIMES OF NATURAL DISASTERS. THIS ITEM WILL BE USED DURING TIMES OF DISTRESS DURING BAD WEATHER. THIS ITEM WILL BE USED DURING TIMES OF NATURAL DISASTERS TO HELP CONTROL THE FLOW OF TRAFFIC.</t>
  </si>
  <si>
    <t xml:space="preserve">
Sales Order #: 2289100821
RTD Screening Code: DOD
Reason for Rejection: Y9</t>
  </si>
  <si>
    <t>2YTEMC61350891</t>
  </si>
  <si>
    <t>THE BRISTOL TENNESSEE POLICE DEPARTMENT WOULD UTILIZE THIS TRAILER WHEN CHILDREN OR ADULTS ARE MISSING. THE TRAILER WOULD ALSO BE UTILIZED AT PROTESTS FOR TRANSPORTING AND STORING GEAR TO BE DEPLOYED QUICKLY.</t>
  </si>
  <si>
    <t xml:space="preserve">
Sales Order #: 2288894875
RTD Screening Code: DOD
Reason for Rejection: Y9</t>
  </si>
  <si>
    <t>2YTBJQ61350810</t>
  </si>
  <si>
    <t>THE BRISTOL POLICE DEPARTMENT WOULD UTILIZE THIS SPEED FEEDBACK SIGN TO HELP REDUCE CRASHES WITHIN THE CITY. THE BASE STATES THE BATTERIES JUST NEED TO BE REPLACED.</t>
  </si>
  <si>
    <t xml:space="preserve">
Sales Order #: 2289100827
RTD Screening Code: DOD
Reason for Rejection: Y9</t>
  </si>
  <si>
    <t>2YTBJQ61350809</t>
  </si>
  <si>
    <t>THE TN LAW ENFORCEMENT TRAINING ACADEMY TEACHES SCHOOL RESOURCES OFFICERS IN ACTIVE SHOOTER TRAINING FROM ALL AGENCIES ACROSS THE STATE OF TENNESSEE.  THESE LIGHTS WILL BE USED WITH THE TRAINING WEAPONS TO TEACH LAW ENFORCEMENT OFFICERS TO RESPOND TO ACTIVE SHOOTERS IN LOW LIGHT SCENARIOS.</t>
  </si>
  <si>
    <t>2YTP3561421480</t>
  </si>
  <si>
    <t>INSTRUCTORS AT THE TN LAW ENFORCEMENT TRAINING ACADEMY TRAIN CADETS FROM CITY, COUNTY, AND STATE AGENCIES FROM ACROSS THE STATE.  WE ALSO HELP FACILITATE TRAINING TO FEDERAL AGENCIES SUCH AS THE JTTF.  INSTRUCTORS HAVE CENTRALIZED PRINTERS THAT THEY HAVE TO LEAVE THEIR OFFICES AND WALK TO ANOTHER LOCATION TO GET THINGS THAT HAVE BEEN PRINTED OFF.  THESE PRINTERS WILL ALLOW MORE EFFICIENCY WHEN PERFORMING THEIR DUTIES.</t>
  </si>
  <si>
    <t xml:space="preserve">
Sales Order #: 2289686824
RTD Screening Code: DOD
Reason for Rejection: Y9</t>
  </si>
  <si>
    <t>PRINTER, INK JET</t>
  </si>
  <si>
    <t>DSINKJETP</t>
  </si>
  <si>
    <t>2YTP3561351481</t>
  </si>
  <si>
    <t>THE MONROE COUNTY SHERIFFS OFFICE IS REQUESTING THESE DUMPSTERS FOR ALL OF OUR PROPERTIES. THIS WILL BE UTILIZED FOR TRASH SCRAP AND WOOD. WE WILL BE ABLE TO MOVE THESE WITH OUR FORKLIFT TO REMOVE ALL THE DEBRIS AND TRASH AT ALL LOCATIONS.</t>
  </si>
  <si>
    <t xml:space="preserve">
Sales Order #: 2288235657
RTD Screening Code: GSA
Reason for Rejection: Z2</t>
  </si>
  <si>
    <t>SCRAP HOPPER</t>
  </si>
  <si>
    <t>DSHOPPERS</t>
  </si>
  <si>
    <t>2YTHWY61149353</t>
  </si>
  <si>
    <t>THIS SPOTTING SCOPE WILL BE USED BY OUR SNIPERS FOR OBSERVATION BOTH DURING TRAINING AND OPERATIONS.  
I HAVE CONTACTED THE BASE IN REFERENCE TO THE CONDITION OF THE SPOTTING SCOPE AND WE ARE SATISFIED WITH THE CONDITION.</t>
  </si>
  <si>
    <t xml:space="preserve">
Sales Order #: 2289556808
RTD Screening Code: DOD
Reason for Rejection: Y9</t>
  </si>
  <si>
    <t>SPOTTING SCOPE</t>
  </si>
  <si>
    <t>2YTHDF61421406</t>
  </si>
  <si>
    <t>THE MADISONVILLE POLICE DEPARTMENT IS REQUESTING THIS DRONE FOR USE BY OUR OFFICERS. THIS DRONE WOULD BE USED FOR SEARCH AND RESCUE, DRUG DEALING SURVEILLANCE, AND TRAFFIC CRASH INVESTIGATIONS. INFORMATION GATHERED FROM THE BASE IS THIS DRONE IS SERVICEABLE. DUE TO CURRENT BUDGET CONSTRAINTS WE ARE CURRENTLY UNABLE TO PURCHASE MUCH NEEDED EQUIPMENT LIKE THIS DRONE. THANKS</t>
  </si>
  <si>
    <t>2YTG5761351259</t>
  </si>
  <si>
    <t>HICKMAN COUNTY IS A FEDERALLY DECLEARED DISASTER AREA. THE SHERIFF'S OFFICE WOULD USE THIS VEHICLE TO MOVE HEAVY EQUIPMENT TO HELP WITH DEBRIS REMOVAL. THE SHERIFF'S OFFICE WILL REPAIR IT.</t>
  </si>
  <si>
    <t xml:space="preserve">
Sales Order #: 2289497075
RTD Screening Code: DOD
Reason for Rejection: Y9</t>
  </si>
  <si>
    <t>2YTFC261421238</t>
  </si>
  <si>
    <t>GAINESBORO POLICE WILL USE THIS TO ADD TO THE DRONE PROGRAM WE HAVE STARTED AND TO ASSIST OFFICERS TO MAKE IT SAFER FOR THEM TO RESPOND IN LOW LIGHT AND DARKNESS AND TO SEND IN BUILDING AS SUPPORT</t>
  </si>
  <si>
    <t xml:space="preserve">
Sales Order #: 2289485559
RTD Screening Code: DOD
Reason for Rejection: Y9</t>
  </si>
  <si>
    <t>2YTEF661351187</t>
  </si>
  <si>
    <t>GAINESBORO POLICE WILL USE THESE TO SEARCH FOR PEOPLE OUT ON FOOT AND TO ENTER BUILDING INSTEAD OF OFFICER FOR SAFETY WE ARE AWARE WE HAVE TO REPLACE BATTERYS</t>
  </si>
  <si>
    <t xml:space="preserve">
Sales Order #: 2289485562
RTD Screening Code: DOD
Reason for Rejection: Y9</t>
  </si>
  <si>
    <t>2YTEF661351185</t>
  </si>
  <si>
    <t>THE ADAMSVILLE POLICE DEPARTMENT WILL UTILIZE THIS VEHICLE TO TRANSPORT OUR OFFICERS TO AND FROM POLICE OFFICER CERTIFIED TRAINING CLASSES AND CONFERENCES ALLOWING OUR OFFICERS TO RECEIVE QUALITY TRAINING IN VARIOUS REGIONS OF THE STATE.</t>
  </si>
  <si>
    <t xml:space="preserve">
Sales Order #: 2286239153
RTD Screening Code: DOD
Reason for Rejection: YG</t>
  </si>
  <si>
    <t>2YTP7K60936971</t>
  </si>
  <si>
    <t xml:space="preserve">
Sales Order #: 2289075211
RTD Screening Code: DOD
Reason for Rejection: Y9</t>
  </si>
  <si>
    <t>2YTM9S61350759</t>
  </si>
  <si>
    <t>THIS NIGHT VISION GOOGLE WILL BE USED TO UPGRADE OUR EXISTING NIGHT VISION GOOGLE USED BY OUR SRT OPERATORS.  OLDER UNITS WILL BE TURNED IN AS WE ARE ABLE TO REPLACE THEM WITH UPGRADED UNITS.</t>
  </si>
  <si>
    <t>NIGHT VISION DEVICE</t>
  </si>
  <si>
    <t>2YTHDF61421290</t>
  </si>
  <si>
    <t>HICKMAN COUNTY IS A FEDERALL DECLARED DISASTER AREA. THE HICKMAN COUNTY SHERIFF'S OFFFICE WOULD USE THIS TO MOVE HEAVY EQUIPMENT FOR DEBRIS REMOVAL. THE SHERIFF'S OFFICE WILL MAKE REPAIRS.</t>
  </si>
  <si>
    <t xml:space="preserve">
Sales Order #: 2288894883
RTD Screening Code: DOD
Reason for Rejection: Y9</t>
  </si>
  <si>
    <t>2YTFC261350702</t>
  </si>
  <si>
    <t>THE MONROE COUNTY SHERIFFS DEPARTMENT IS REQUESTING THIS FOR MOVING OUR EQUIPMENT TRAILER. THIS SHORT TRUCK IS WHAT WE ARE NEEDING TO GET INTO TIGHT PLACES AND AROUND TOWN. THIS TRUCK WILL ALSO BE PULLING OUR SUPPORT TRAILER WHEN SETTING UP FOR LONG INVESTIGATIONS AND OPERATIONS THAT ARISE.</t>
  </si>
  <si>
    <t>Rejected by ETD1004.  Comments: APPROVED FOR AN EARLIER REQUISITIONER.</t>
  </si>
  <si>
    <t>2YTHWY61421261</t>
  </si>
  <si>
    <t>HICKMAN COUNTY IS A FEDERALLY DECLEARED DISASTER AREA. THE SHERIFF'S OFFICE WOULD USE THIS VEHILCE WOULD BE USED TO MOVE HEAVY EQUIPMENT TO HELP REMOVE DEBRIS. THE SHERIFF'S OFFICE WILL REPAIR IT</t>
  </si>
  <si>
    <t>Rejected by ETD1004.  Comments: approved for and earlier requisitioner.</t>
  </si>
  <si>
    <t>2YTFC261421236</t>
  </si>
  <si>
    <t>THIS CART WILL BE USED BY THE PARSONS POLICE DEPARTMENT AT OUR REGIONAL PARK WHILE HAVING EVENTS. THIS WOULD BE HELPFUL DUE TO TIGHT SPACE AROUND OF BALL FIELDS</t>
  </si>
  <si>
    <t xml:space="preserve">
Sales Order #: 2288924332
RTD Screening Code: DOD
Reason for Rejection: Y9</t>
  </si>
  <si>
    <t>2YTJEV61280490</t>
  </si>
  <si>
    <t>THE MONROE COUNTY SHERIFFS OFFICE IS REQUESTING THIS FOR OUR NEW TRAINING PROPERTY. THIS IS NEEDED FOR DIRT MOVING AND CLEARING FOR NEW TRAINING AREAS. THIS WILL BE USED FOR CLEANUP AS WELL AT OUR CURRENT SHOOTING RANGE.</t>
  </si>
  <si>
    <t xml:space="preserve">
Sales Order #: 2288709576
RTD Screening Code: DOD
Reason for Rejection: Y9</t>
  </si>
  <si>
    <t>2YTHWY61280132</t>
  </si>
  <si>
    <t>THE MADISONVILLE POLICE DEPARTMENT IS REQUESTING THIS VAN FOR USE BY OUR OFFICERS. THIS VAN WOULD BE USED AS A MOBILE EQUIPMENT VEHICLE FOR OUR SPECIAL RESPONSE TEAM. INFORMATION FROM THE BASE IS THE VAN RUNS AND DRIVES. THIS VAN WOULD BE GREATLY HELPFUL IN TRANSPORTING CRISIS GEAR AND SUPPLIES TO ACTIVE SCENES. DUE TO CURRENT BUDGET CONSTRAINTS WE ARE CURRENTLY UNABLE TO PURCHASE VEHICLES LIKE THIS UNIT. THANKS</t>
  </si>
  <si>
    <t xml:space="preserve">
Sales Order #: 2288617680
RTD Screening Code: DOD
Reason for Rejection: Y9</t>
  </si>
  <si>
    <t>2YTG5761280170</t>
  </si>
  <si>
    <t>HICKMAN COUNTY IS A FEDERALL DECLARED DISASTER AREA. THE HICKMAN COUNTY SHERIFF'S OFFFICE WOULD USE THIS TO HELP WITH DEBRIS REMOVAL. THE SHERIFF'S OFFICE WILL MAKE REPAIRS.</t>
  </si>
  <si>
    <t xml:space="preserve">
Sales Order #: 2288894889
RTD Screening Code: DOD
Reason for Rejection: Y9</t>
  </si>
  <si>
    <t>2YTFC261350706</t>
  </si>
  <si>
    <t>THIS RAIN GEAR WILL BE USED BY OUR SRT OPERATORS DURING WET WEATHER OPERATIONS.</t>
  </si>
  <si>
    <t xml:space="preserve">
Sales Order #: 2287254162
RTD Screening Code: DOD
Reason for Rejection: YG</t>
  </si>
  <si>
    <t>2YTHDF61078497</t>
  </si>
  <si>
    <t xml:space="preserve">
Sales Order #: 2287229977
RTD Screening Code: DOD
Reason for Rejection: YG</t>
  </si>
  <si>
    <t>2YTHDF61078496</t>
  </si>
  <si>
    <t xml:space="preserve">
Sales Order #: 2287229978
RTD Screening Code: DOD
Reason for Rejection: YG</t>
  </si>
  <si>
    <t>2YTHDF61078495</t>
  </si>
  <si>
    <t xml:space="preserve">
Sales Order #: 2287229981
RTD Screening Code: DOD
Reason for Rejection: YG</t>
  </si>
  <si>
    <t>2YTHDF61078494</t>
  </si>
  <si>
    <t>THE BRISTOL POLICE DEPARTMENT WOULD USE THIS FOR A MOBILE CRIME SCENE RESPONSE UNIT THAT WILL BE STOCKED WITH THE NECESSARY CRIME SCENE COLLECTION EQUIPMENT. THE BASE STATES THE TRUCK RUNS.</t>
  </si>
  <si>
    <t xml:space="preserve">
Sales Order #: 2282522516
RTD Screening Code: DOD
Reason for Rejection: YH</t>
  </si>
  <si>
    <t>2YTBJQ60371984</t>
  </si>
  <si>
    <t>THIS EQUIPMENT WILL BE USED BY THE PARSONS POLICE DEPARTMENT TO MOVE VARIOUS EQUIPMENT OF THE POLICE DEPARTMENT FOR VEHICLE CHECK POINTS AND FIRING RANGE EQUIPMENT DURING OUR IN-SERVICE TRAINING.</t>
  </si>
  <si>
    <t>Rejected by ETD1004.  Comments: cost prohibitive to ship.</t>
  </si>
  <si>
    <t>2YTJEV61351064</t>
  </si>
  <si>
    <t>GAINESBORO POLICE CAN USE THIS UNIT TO REPLACE OLDER UNITS IN ITS FLEET TO HELP BETTER SERVE THE PEOPLE IN ATHE TOWN LIMITS AND BE SAFE FOR THE OFFICERS TO DRIVE A NEWER UNIT WE ARE ALSO WILLING TO FIX THE BATTERY AND TRANSMISSION</t>
  </si>
  <si>
    <t>Rejected by ETD1004.  Comments: WAS APPROVED FOR AN EARLIER REQUISITIONER..</t>
  </si>
  <si>
    <t>2YTEF661351031</t>
  </si>
  <si>
    <t>THE WASHINGTON SHERIFFS OFFICE WILL USE THIS TRAILER FOR LAW ENFORCEMENT PURPOSES. THE SHERIFFS DEPT WILL USE THE TRAILERS IN EVENTS AND SPEED REMINDERS IN PROBLEM AREAS</t>
  </si>
  <si>
    <t>2YTM9S61350761</t>
  </si>
  <si>
    <t>2YTM9S61350757</t>
  </si>
  <si>
    <t>THE MONROE COUNTY SHERIFFS OFFICE IS REQUESTING THIS MACHINE FOR OUR TRAINING FACILITY. THIS UNIT COMES WITH ALL ATTACHMENTS NEEDED FOR MAINTENANCE TO OUR RANGE. THIS HAS A MOWER WHERE WE CAN SERVICE THE BURMS AND THE AREA BEHIND TO TRIM AND REMOVE OVER GROWTH. WE ALSO CAN USE FOR DIGGING OUR DRAINAGE FOR OUR NEW BUILDS AND DRIVING TRACK. THIS MACHINE WILL REALLY HELP US WITH ALL GROUND IMPROVEMENTS AND NEW CONSTRUCTION.</t>
  </si>
  <si>
    <t>2YTHWY61350773</t>
  </si>
  <si>
    <t>2YTEMC61350893</t>
  </si>
  <si>
    <t>2YTEMC61350892</t>
  </si>
  <si>
    <t>USE FOR MOVING DEPARTMENTAL EQUIPMENT, SPECIAL EVENT MATERIAL HANDLING, AND HAULING DISABLED DEPARTMENTAL VEHICLES.</t>
  </si>
  <si>
    <t xml:space="preserve">
Sales Order #: 2288152843
RTD Screening Code: DOD
Reason for Rejection: Y9</t>
  </si>
  <si>
    <t>2YTTAQ61219373</t>
  </si>
  <si>
    <t>USE FOR MOVING DEPARTMENTAL EQUIPMENT, SPECIAL EVENTS, AND POSSIBLY FOR DAILY PATROL OPERATIONS</t>
  </si>
  <si>
    <t xml:space="preserve">
Sales Order #: 2288235664
RTD Screening Code: DOD
Reason for Rejection: Y9</t>
  </si>
  <si>
    <t>2YTTAQ61219371</t>
  </si>
  <si>
    <t>USED FOR DAILY PATROL OPERATIONS FOR OFFICERS</t>
  </si>
  <si>
    <t xml:space="preserve">
Sales Order #: 2288152855
RTD Screening Code: DOD
Reason for Rejection: Y9</t>
  </si>
  <si>
    <t>2YTTAQ61219366</t>
  </si>
  <si>
    <t>TRUCK WILL BE USED BY THE GREENE COUNTY SHERIFFS OFFICE AS A PORTABLE SURVEILLANCE POST FOR SPECIAL EVENTS SO THAT WE CAN STATION AN OFFICER ABOVE THE CROWD TO WATCH THE EVENT. IT CAN ALSO BE USED BY OUR MAINTENANCE STAFF TO GET TO HIGH AREAS SAFELY TO MAKE REPAIRS.</t>
  </si>
  <si>
    <t xml:space="preserve">
Sales Order #: 2288229871
RTD Screening Code: DOD
Reason for Rejection: Y9</t>
  </si>
  <si>
    <t>2YTET661219323</t>
  </si>
  <si>
    <t>THIS UNIT WILL GREATLY BENEFIT US DURING SEARCH AND RESCUE MISSIONS, ESCAPE INMATES, NATURAL DISASTER EVENTS, AND SEARCHING LARGE AREAS FOR STOLEN ITEMS. WE HAVE TWO CORECIVIC PRISONS THAT HOUSE A TOTAL OF OVER 2,500 INMATES IN OUR CITY LIMITS. WE ASSIST TDOC WITH CONTRABAND THROW OVERS AND ARREST.</t>
  </si>
  <si>
    <t xml:space="preserve">
Sales Order #: 2288617683
RTD Screening Code: DOD
Reason for Rejection: Y9</t>
  </si>
  <si>
    <t>2YTNNY61280365</t>
  </si>
  <si>
    <t>IF AWARDED THIS VEHICLE WOULD BE USED BY THE SHERIFFS OFFICE TO HELP IN COUNTER DRUG ACTIVITIES SUCH AS PATROL AND OBSERVE AREAS IN THE COUNTY THAT A NORMAL VEHICLE CAN'T PATROL ON. THIS VEHICLE COULD HELP DETER DRUG ACTIVITIES IN THOSE LOCATIONS. THE CONDITION IS CONFIRMED AND ACCEPTED.</t>
  </si>
  <si>
    <t xml:space="preserve">
Sales Order #: 2288637353
RTD Screening Code: DOD
Reason for Rejection: Y9</t>
  </si>
  <si>
    <t>2YTM9S61280257</t>
  </si>
  <si>
    <t>THE WASHINGTON COUNTY SHERIFF'S OFFICE WOULD USE THIS VEHICLE FOR LAW ENFORCEMENT PURPOSES. WE WOULD USE THE VEHICLE FOR SWAT OPERATIONS</t>
  </si>
  <si>
    <t xml:space="preserve">
Sales Order #: 2288443107
RTD Screening Code: DOD
Reason for Rejection: Y9</t>
  </si>
  <si>
    <t>2YTM9S61280250</t>
  </si>
  <si>
    <t xml:space="preserve">
Sales Order #: 2288524686
RTD Screening Code: DOD
Reason for Rejection: Y9</t>
  </si>
  <si>
    <t>2YTM9S61280249</t>
  </si>
  <si>
    <t xml:space="preserve">
Sales Order #: 2288706322
RTD Screening Code: DOD
Reason for Rejection: Y9</t>
  </si>
  <si>
    <t>2YTM9S61280245</t>
  </si>
  <si>
    <t>THE MONROE COUNTY SHERIFFS OFFICE IS REQUESTING THIS FOR MOUNTAIN PATROL DUTIES. THIS WILL BE ASSIGNED TO ONE OF OUR CAMP GROUNDS FOR THE BUSY SEASON FOR DEPUTIES TO BE ABLE TO RESPOND TO ALL INCIDENTS.</t>
  </si>
  <si>
    <t xml:space="preserve">
Sales Order #: 2288706327
RTD Screening Code: DOD
Reason for Rejection: Y9</t>
  </si>
  <si>
    <t>2YTHWY61280130</t>
  </si>
  <si>
    <t>THIS TRACTOR WILL BE USED TO MAINTAIN AND WORK ON OUR SHOOTING RANGE.</t>
  </si>
  <si>
    <t xml:space="preserve">
Sales Order #: 2288882140
RTD Screening Code: DOD
Reason for Rejection: Y9</t>
  </si>
  <si>
    <t>2YTHDF61280142</t>
  </si>
  <si>
    <t>THE TN LAW ENFORCEMENT TRAINING ACADEMY TRAINS CITY, COUNTY, AND STATE AGENCIES.  OUR FACILITY ASSISTS IN WITH TRAINING FEDERAL AGENCIES SUCH AS THE JTTF.  WE ARE IN NEED OF A MULTI SEAT ATV TO MOVE CADETS AND EQUIPMENT ACROSS THE CAMPUS.  THIS ATV WILL BE AVAILABLE FOR USE BY ALL AGENCIES THAT ARE ON CAMPUS.  IT WILL ALSO BE USED TO TRANSPORT INJURED CADETS AND MEDICAL PERSONNEL.</t>
  </si>
  <si>
    <t xml:space="preserve">
Sales Order #: 2288706339
RTD Screening Code: DOD
Reason for Rejection: Y9</t>
  </si>
  <si>
    <t>2YTP3561280375</t>
  </si>
  <si>
    <t>THE TN LAW ENFORCEMENT TRAINING ACADEMY TRAINS CITY, COUNTY, AND STATE AGENCIES.  OUR FACILITY ALSO ASSISTS IN THE TRAINING OF FEDERAL AGENCIES SUCH AS THE JTTF.  THIS ATV WILL ASSIST IN MOVING CADETS, AMMUNITION AND SUPPLIES ON THE CAMPUS.  WE ARE IN NEED OF A MULTI SEAT ATV TO ASSIST IN TRANSPORTING INJURED CADETS AND MEDICAL PERSONNEL ON CAMPUS. THIS ATV WILL BE AVAILABLE FOR USE BY ALL AGENCIES WHILE ON CAMPUS.</t>
  </si>
  <si>
    <t xml:space="preserve">
Sales Order #: 2288524672
RTD Screening Code: DOD
Reason for Rejection: Y9</t>
  </si>
  <si>
    <t>2YTP3561280368</t>
  </si>
  <si>
    <t>HICKMAN COUNTY IS A FEDERALLY DECLARED DISASTER AREA. THIS EQUIPMENT WILL HELP THE HICKMAN COUNTY SHERIFF'S OFFICE WITH DISBRIS REMOVAL.THE SHERIFF'SOFFICE WILL RETURN EQUIPMENT TO RUNNING CONDITION.</t>
  </si>
  <si>
    <t xml:space="preserve">
Sales Order #: 2288372397
RTD Screening Code: DOD
Reason for Rejection: Y9</t>
  </si>
  <si>
    <t>2YTFC261280078</t>
  </si>
  <si>
    <t>UTV WILL BE USED BY THE GREENE COUNTY SHERIFFS OFFICE TO REPLACE ONE THAT THE DRIVE AXLE HAS BROKEN. WE USE THESE UTV FOR MOUNTAIN SEARCH AND RESCUE CALLS, DISASTERS, AND OTHER EVENTS.</t>
  </si>
  <si>
    <t xml:space="preserve">
Sales Order #: 2288637354
RTD Screening Code: DOD
Reason for Rejection: Y9</t>
  </si>
  <si>
    <t>2YTET661280042</t>
  </si>
  <si>
    <t>THE MONROE COUNTY SHERIFFS OFFICE IS REQUESTING THIS FOR OUR CONTAINER TRAINING FACILITY. WE ARE NEEDING MULTIPLE UNITS TO BE ABLE TO STACK AND CREATE AN INDOOR TRAINING SCENE FOR OUR DEPUTIES.</t>
  </si>
  <si>
    <t xml:space="preserve">
Sales Order #: 2288706319
RTD Screening Code: DOD
Reason for Rejection: Y9</t>
  </si>
  <si>
    <t>2YTHWY61280184</t>
  </si>
  <si>
    <t xml:space="preserve">
Sales Order #: 2288443097
RTD Screening Code: DOD
Reason for Rejection: Y9</t>
  </si>
  <si>
    <t>2YTHWY61280183</t>
  </si>
  <si>
    <t xml:space="preserve">
Sales Order #: 2288652367
RTD Screening Code: DOD
Reason for Rejection: Y9</t>
  </si>
  <si>
    <t>2YTHWY61280182</t>
  </si>
  <si>
    <t xml:space="preserve">
Sales Order #: 2288443099
RTD Screening Code: DOD
Reason for Rejection: Y9</t>
  </si>
  <si>
    <t>2YTHWY61280181</t>
  </si>
  <si>
    <t>BRADFORD POLICE DEPARTMENT CAN USE THIS FOR DISASTER RELIEF EMERGENCIES AND TRANSPORTATION FOR DISASTER VICTIMS. IT CAN ALSO BE USED AS SURVEILLANCE FOR CERTAIN CASES.</t>
  </si>
  <si>
    <t xml:space="preserve">
Sales Order #: 2287033090
RTD Screening Code: DOD
Reason for Rejection: YH</t>
  </si>
  <si>
    <t>2YTBF961008009</t>
  </si>
  <si>
    <t>2YTM3P61280459</t>
  </si>
  <si>
    <t>THE WILSON COUNTY SHERIFF'S OFFICE WILL PUT THIS EQUIPMENT TO USE TO MAINTAIN THE RANGE, IMPOUND LOT, AND ASSIST WITH INMATE PROGRAMS AS APPLICABLE.  CURRENTLY THE SHERIFF'S OFFICE DOES NOT HAVE ANY EQUIPMENT LIKE THIS AND WILL PUT THIS UNIT INTO SERVICE.</t>
  </si>
  <si>
    <t xml:space="preserve">
Sales Order #: 2288617709
RTD Screening Code: DOD
Reason for Rejection: Y9</t>
  </si>
  <si>
    <t>2YTNRP61280311</t>
  </si>
  <si>
    <t>THIS VEHICLE IS NEEDED TO FIGHT THE WAR ON DRUGS AND DRUG ABUSE. THIS VEHICLE WOULD REPLACE AN OLDER VEHICLE. THIS VEHICLE WOULD ALSO AID IN TRANSPORTING THE POLICE DEPARTMENT TO TRAINING. TELLICO PLAINS POLICE DEPARTMENT ASSUMES ALL COST AND RESPONSIBILITIES.</t>
  </si>
  <si>
    <t xml:space="preserve">
Sales Order #: 2288152838
RTD Screening Code: DOD
Reason for Rejection: Y9</t>
  </si>
  <si>
    <t>2YTLRG61219281</t>
  </si>
  <si>
    <t>THIS VEHICLE WILL BE USED BY PATROL AS A SUPERVISOR VEHICLE TO HELP REPLACE SOME OF OUR AGING FLEET OF PATROL VEHICLES.</t>
  </si>
  <si>
    <t>2YTHDF61280135</t>
  </si>
  <si>
    <t>THESE TARGET SYSTEMS WOULD BE USED TO TRAIN OUR SNIPERS AND PATROL OFFICERS ON SHOOTING MOVING TARGETS.  
I HAVE CONTACTED THE BASE AND WE ARE SATISFIED WITH THE CONDITION OF THE TARGET SYSTEMS.</t>
  </si>
  <si>
    <t xml:space="preserve">
Sales Order #: 2286830726
RTD Screening Code: DOD
Reason for Rejection: YH</t>
  </si>
  <si>
    <t>2YTHDF61007844</t>
  </si>
  <si>
    <t>THESE RIFLE SCOPES WILL BE USED BY OUR SRT SNIPERS TO UPGRADE THE SERVICE OPTICS THAT WE ARE CURRENTLY USING WITH A BETTER OPTIC TO WORK WITH OUR NIGHT VISION.  
I HAVE CONTACTED THE BASE IN REFERENCE TO THE CONDITION OF THE OPTICS AND WE ARE SATISFIED WITH THE CONDITION.</t>
  </si>
  <si>
    <t>ALLOCATION: Your agency is at their allocation limit or is over allocated for this National Stock Number (NSN) based on number of officers assigned.</t>
  </si>
  <si>
    <t>2YTHDF61280344</t>
  </si>
  <si>
    <t>USE FOR HAULING DEPARTMENT TRAILERS, CARRYING PERSONNEL, AND TRAFFIC CONTROL.</t>
  </si>
  <si>
    <t xml:space="preserve">
Sales Order #: 2287652749
RTD Screening Code: DOD
Reason for Rejection: YH</t>
  </si>
  <si>
    <t>2YTTAQ61148940</t>
  </si>
  <si>
    <t>Rejected by ETD1004.</t>
  </si>
  <si>
    <t>2YTNNY61280363</t>
  </si>
  <si>
    <t>2YTM9S61280258</t>
  </si>
  <si>
    <t>Rejected by ETD1004.  Comments: APPROVED FOR ANOTHER EARLIER REQUISITIONER.</t>
  </si>
  <si>
    <t>2YTM9S61280256</t>
  </si>
  <si>
    <t>2YTM9S61280255</t>
  </si>
  <si>
    <t>THE WASHINGTON COUNTY SHERIFF'S OFFICE WOULD USE THIS VEHICLE FOR LAW ENFORCEMENT PURPOSES. WE WOULD USE THE GENERATOR FOR RANG OPERATIONS</t>
  </si>
  <si>
    <t>2YTM9S61280251</t>
  </si>
  <si>
    <t>THE VONORE POLICE DEPARTMENT WOULD UTILIZE THIS LOADER TO UNLOAD EQUIPMENT SHIPMENTS. THE DEPARTMENT WOULD ALSO USE THIS ITEM TO MAINTAIN TRAINING GROUNDS TO IMPROVE OFFICER SAFETY WHILE TRAINING. THE SKID STEER WOULD ALSO BENEFIT THE POLICE DEPARTMENT BY BEING ABLE TO CONSTRUCT EMERGENCY ENTRANCES THROUGHOUT A NEW CONSTRUCTED WALKING TRAIL FOR FASTER RESPONSES TO INCIDENTS ON THE TRAIL. THE DEPARTMENT WOULD ACCEPT AS IN CONDITION.</t>
  </si>
  <si>
    <t>2YTM3P61280254</t>
  </si>
  <si>
    <t>THE SPARTA POLICE DEPARTMENT WILL USE THIS VEHICLE FOR PUBLIC SAFETY AND PATROL FUNCTIONS THIS VEHICLE CAPABILITIES WILL PROVIDE SUPPORT IN AREAS A GENERAL PATROL UNIT WILL NOT SEVERELY IMPACTING PUBLIC SAFETY CAPABILITIES.</t>
  </si>
  <si>
    <t>2YTS0861280230</t>
  </si>
  <si>
    <t>THE MONROE COUNTY SHERIFFS OFFICE IS REQUESTING THIS FOR OUR K9 PATROL. THIS TRUCK WILL BE USED FOR OUR K9 DIVISION. WE HAVE A KENNEL FROM A PREVIOUS TRUCK THAT WORKS IN THIS AND NEEDING ANOTHER TRUCK FOR GROWING OUR K9 PROGRAM.</t>
  </si>
  <si>
    <t>Rejected by ETD1004.  Comments: approved for another agency earlier.</t>
  </si>
  <si>
    <t>2YTHWY61280180</t>
  </si>
  <si>
    <t>THE MONROE COUNTY SHERIFFS OFFICE IS REQUESTING THIS FOR OUR GARAGE. THIS IS USED DAILY AROUND THE PROPERTY FOR MAINTENANCE AS WELL AS WHEN WORKING ON VEHICLES. WE USE IT TO LIFT HEAVY PARTS AND MOVE FOR MAINTAINING OUR FLEET.</t>
  </si>
  <si>
    <t>2YTHWY61280133</t>
  </si>
  <si>
    <t>2YTHWY61280129</t>
  </si>
  <si>
    <t>2YTHWY61280128</t>
  </si>
  <si>
    <t>Rejected by ETD1004.  Comments: approved for another agency.</t>
  </si>
  <si>
    <t>2YTHWY61280127</t>
  </si>
  <si>
    <t>THE MILAN POLICE DEPARTMENT WOULD LIKE TO HAVE THE TRACTOR TO HELP BULID AND MAINTAIN 360 DEGREE FIRING RANGE. THE RANGE ALLOWS US TO TRAIN FOR REAL WORLD ACTIVE SHOOT SITUATIONS. THE LAST TRACTOR DOZER WE HAD TRACK PROBLEMS THAT COULD NOT BE SERVICED BY US. THE TRACTOR WILL BE USED BY OUR DEPARTMENT ONLY APPEARS TO HAVE ONLY FLUID MAINTENANCE ISSUES CURRENTLY.</t>
  </si>
  <si>
    <t>2YTHQ061280303</t>
  </si>
  <si>
    <t>THIS VEHICLE WILL BE USED BY OUR EMERGENCY PERSONAL TO PUT OUT FIRES AND WORK EMERGENCY SCENES.</t>
  </si>
  <si>
    <t>Rejected by ETD1004.  Comments: JUSTIFICATION NEEDS TO BENEFIT THE POLICES AGENCY AND PUBLIC NOT FD.</t>
  </si>
  <si>
    <t>2YTHDF61280141</t>
  </si>
  <si>
    <t>2YTM9S61280246</t>
  </si>
  <si>
    <t>THE MONROE COUNTY SHERIFFS OFFICE IS REQUESTING THIS TRAILER FOR OUR TRACTORS AND BUSH HOGS. THIS TRAVELING AXLE TRAILER IS EXACTLY WHAT WE NEED TO BE ABLE TO MOVE OUR EQUIPMENT AND EASE OF LOADING WITH THE TILT FEATURE. IT IS MORE MANEUVERABLE TO GET INTO OUR PROPERTIES FOR THE MAINTENANCE.</t>
  </si>
  <si>
    <t xml:space="preserve">
Sales Order #: 2287652769
RTD Screening Code: DOD
Reason for Rejection: Y9</t>
  </si>
  <si>
    <t>2YTHWY61148833</t>
  </si>
  <si>
    <t>THE WILSON COUNTY SHERIFF'S OFFICE SPECIAL RESPONSE TEAM WILL BE ASSIGNED THESE UNITS FOR UTILIZATION UNDER LOW AND NO LIGHT EMERGENCIES AND CALLS FOR SERVICE.  WE HAVE SPOKEN WITH THE SITE AND ARE AWARE OF THE CONDITION CODE AND SUSPECT THEY MAY WORK.  THIS ITEM WAS PREVIOUSLY AWARDED TO US AND WAS ACCIDENTALLY CANCELLED SO IS BEING RESUBMITTED.</t>
  </si>
  <si>
    <t>2YTNRP61219823</t>
  </si>
  <si>
    <t>THE MONROE COUNTY SHERIFFS OFFICE IS REQUESTING THIS TO OUR UPCOMING CONCRETE JOB. WE ARE GOING TO BE CONCRETING OUR SHOOTING RANGE AND THIS MACHINE WILL HELP US WITH THE FINISHING OF THE PROCESS.</t>
  </si>
  <si>
    <t xml:space="preserve">
Sales Order #: 2285761802
RTD Screening Code: DOD
Reason for Rejection: YH</t>
  </si>
  <si>
    <t>FINISHING MACHINE,C</t>
  </si>
  <si>
    <t>2YTHWY60866267</t>
  </si>
  <si>
    <t xml:space="preserve">
Sales Order #: 2288057425
RTD Screening Code: DOD
Reason for Rejection: Y9</t>
  </si>
  <si>
    <t>2YTHDF61149208</t>
  </si>
  <si>
    <t>THESE ITEMS WOULD BE USEFUL FOR OUR PATROL UNITS WHEN DEALING THOSE WHO ONLY SPEAK SPANISH.</t>
  </si>
  <si>
    <t xml:space="preserve">
Sales Order #: 2286326895
Reason for Rejection: YG</t>
  </si>
  <si>
    <t>TRANSLATION DEVICE</t>
  </si>
  <si>
    <t>2YTF8B60937072</t>
  </si>
  <si>
    <t>KINGSTON POLICE DEPT (2YTF8B)</t>
  </si>
  <si>
    <t>THIS IS FOR ASSIGNMENT TO THE WILSON COUNTY SHERIFF'S OFFICE SPECIAL RESPONSE TEAM WHICH IS TASKED WITH RESPONDING TO LIFE SAFETY EMERGENCIES IN A VARIETY OF ENVIRONMENTS TO INCLUDE NO LIGHT AND LOW LIGHT SCENARIOS. I HAVE SPOKEN WITH THE SITE WHO ADVISED THAT ALTHOUGH THEY ARE CONDITION CODE H AND THERE IS NO GUARANTEE, THEY BELIEVES THEM TO LIKELY BE OPERATIONAL WITH INTACT GLASS.</t>
  </si>
  <si>
    <t xml:space="preserve">
Sales Order #: 2286425679
RTD Screening Code: DOD
Reason for Rejection: YG</t>
  </si>
  <si>
    <t>2YTNRP60937245</t>
  </si>
  <si>
    <t>THIS ASSET WOULD ALLOW OUR AGENCY AND OFFICERS TO UTILIZE THIS FOR PATROL USE IN RESPONDING TO CALLS, WORKING CRASH SCENES , BLOCKING TRAFFIC, ETC. I SPOKE WITH THE FORT THIS AGENCY WORKS AS IS</t>
  </si>
  <si>
    <t xml:space="preserve">
Sales Order #: 2288235667
RTD Screening Code: DOD
Reason for Rejection: Y9</t>
  </si>
  <si>
    <t>2YTS0861219283</t>
  </si>
  <si>
    <t>CLEARING DEBRIS AFTER STORMS, TORNADOES, OR EARTHQUAKES
REMOVING COLLAPSED BUILDINGS TO REACH TRAPPED PEOPLE
CLEARING BLOCKED ROADS SO EMERGENCY VEHICLES CAN GET THROUGH</t>
  </si>
  <si>
    <t xml:space="preserve">
Sales Order #: 2286802333
RTD Screening Code: DOD
Reason for Rejection: YG</t>
  </si>
  <si>
    <t>2YTKU860937507</t>
  </si>
  <si>
    <t>SCOTTS HILL POLICE DEPT (2YTKU8)</t>
  </si>
  <si>
    <t>THESE ASSETS WOULD BENEFIT THIS AGENCY AND OFFICERS BY ALLOWING US TO UTILIZE THESE FOR RIOT CONTROL INCIDENTS TO PROTECT OFFICERS. THE REASON I REQUESTED 30 IS TO MAKE SURE WE HAVE ENOUGH GOOD ONES FOR EACH OFFICER DUE TO SOME POSSIBLY BEING NOT COMPLETE OR BROKEN IN SOME WAY</t>
  </si>
  <si>
    <t xml:space="preserve">
Sales Order #: 2286239151
RTD Screening Code: GSA
Reason for Rejection: YH</t>
  </si>
  <si>
    <t>GUARD,SHIN</t>
  </si>
  <si>
    <t>2YTS0860936970</t>
  </si>
  <si>
    <t>THIS EQUIPMENT WOULD BE USED BY THE CITY OF TOWNSEND POLICE DEPARTMENT FOR COUNTER-DRUG INVESTIGATIONS. THE ELEVATED PLATFORM WOULD OFFER UNIQUE SURVEILLANCE OPPORTUNITIES AND FACILITATE THE INSTALLATION OF SURVEILLANCE EQUIPMENT. THE TRUCK ITSELF WOULD BLEND IN WITH SURROUNDINGS AND SERVE AS AN EXCELLENT SURVEILLANCE VEHICLE.</t>
  </si>
  <si>
    <t>2YTLXD61219640</t>
  </si>
  <si>
    <t>THE WASHINGTON COUNTY SHERIFF'S OFFICE WOULD USE THIS VEHICLE FOR LAW ENFORCEMENT PURPOSES. WE WOULD USE THE VEHICLE TO SET UP SURVEILLANCE ON TARGET LOCATIONS AND OTHER SPECIAL OPERATIONS INVOLVING THE CID</t>
  </si>
  <si>
    <t>2YTM9S61219428</t>
  </si>
  <si>
    <t>THE POLICE DEPARTMENT WOULD UTILIZE THIS BUCKET TRUCK TO COMPLETE MAINTENANCE ON TRAINING GROUNDS, AND POLICE DEPARTMENT BUILDINGS. THE DEPARTMENT WOULD ALSO USE THIS TRUCK TO INSTALL POLE CAMERAS TO CONDUCT SURVEILLANCE IN HIGH CRIME AREAS AND ON RESIDENTS DISTRIBUTING NARCOTICS. THE DEPARTMENT WOULD ACCEPT AS IN CONDITION.</t>
  </si>
  <si>
    <t>2YTM3P61219506</t>
  </si>
  <si>
    <t>USE FOR DAILY PATROL OPERATIONS</t>
  </si>
  <si>
    <t>2YTTAQ61219370</t>
  </si>
  <si>
    <t>USED FOR DAILY PATROL OPERATIONS.</t>
  </si>
  <si>
    <t>2YTTAQ61219364</t>
  </si>
  <si>
    <t>THIS ASSET WOULD BENEFIT THIS AGENCY AND OFFICERS BY ALLOWING US TO UTILIZE THIS AS A PATROL VEHICLE THIS ASSET WOULD BE STRIPED AND USED AS A TRAFFIC ENFORCEMENT , EMERGENCY RESPONSE, VEHICLE FOR POLICE OFFICERS TO RESPOND TO CALLS, EMERGENCIES, ASSIST OTHER AGENCIES, AND ASSIST IN BLOCKING TRAFFIC AND WORKING WRECKS . SPOKE WITH FORT THIS ASSET IS IN WORKING CONDITION AS IS. WE WOULD IMPLEMENT THIS ASSET IMMEDIATELY</t>
  </si>
  <si>
    <t>2YTS0861219280</t>
  </si>
  <si>
    <t>THE MONROE COUNTY SHERIFFS OFFICE IS REQUESTING THIS TRUCK FOR REPLACEMENT OF OUR CURRENT BUCKET TRUCK. WE HAVE HAD IT FOR A COUPLE OF YEARS AND IS STARTING TO HAVE MANY ISSUES. WE NEED THIS TRUCK TO REPLACE IT TO CONTINUE WORK ON OUR TRAINING FACILITY. THIS IS BEING UTILIZED FOR BUILDING A REPEL TOWER AND A CONTAINER TRAINING CENTER. THIS HELP WITH US MAKING SECUREMENT OF THESE STRUCTURES.</t>
  </si>
  <si>
    <t>2YTHWY61219596</t>
  </si>
  <si>
    <t>THE MONROE COUNTY SHERIFFS OFFICE IS REQUESTING THIS FOR OUR JUSTICE CENTER AND TRAINING FACILITY. THIS TRUCK IS NEEDED FOR SOME REPAIRS AND MAINTENANCE AROUND THESE AREAS. THIS BUCKET TRUCK WILL BE ABLE TO LIFT DEPUTIES TO FIX THE HIGH UP THINGS IN NEED OF REPAIR.</t>
  </si>
  <si>
    <t>2YTHWY61219345</t>
  </si>
  <si>
    <t>THE MONROE COUNTY SHERIFFS OFFICE IS REQUESTING THIS FOR OUR LIEUTENANT DETECTIVE. THIS LARGER SUV IS NEEDING AS HE HELPS OVERSEA OUR SWAT TEAM AND SEARCH AND RESCUE. THIS GIVES HIM ENOUGH ROOM FOR STORAGE OF THE EQUIPMENT USED DURING THESE EVENTS AND A NEWER MORE RELIABLE VEHICLE.</t>
  </si>
  <si>
    <t>2YTHWY61219344</t>
  </si>
  <si>
    <t>THIS VEHICLE WILL BE USED BY OUR PATROL OFFICERS OR INVESTIGATORS TO HELP WITH OUR AGING FLEET OF DEPARTMENT VEHICLES.</t>
  </si>
  <si>
    <t>2YTHDF61219393</t>
  </si>
  <si>
    <t>GAINESBORO POLICE DEPT CAN USE THIS UNIT TO UPDATE THE DEPT FLEET TO NEWER SAFER PATROL UNIT FOR THE TOWN OF GAINESBORO CITIZENS AND THE BIGGER UNIT WILL BE GREAT FOR OF NEW DRONE PROGRAM WE HAVE ALSO TALKED WITH DLA ABOUT THE F CONDITION AND WE ARE WILL TO FIX IT</t>
  </si>
  <si>
    <t>2YTEF661219336</t>
  </si>
  <si>
    <t>THE BRISTOL POLICE DEPARTMENT WOULD UP FIT THIS VEHICLE WITH MONITORS AND EMERGENCY EQUIPMENT TO STORE OUR DRONE FOR QUICK RESPONSE TO MISSING CHILDREN AND PEOPLE ESPECIALLY IN OUR CITY PARKS. THE DRONE RESPONSE VEHICLE WOULD ALSO BE UTILIZED FOR OVER WATCH DURING HIGH RISK SEARCH WARRANTS. THE BASE STATES THE VEHICLE RUNS AND IS OPERATIONAL.</t>
  </si>
  <si>
    <t>2YTBJQ61219362</t>
  </si>
  <si>
    <t>THE WILSON COUNTY SHERIFF'S OFFICE HOSTS THE TN STATE FAIR WHICH REQUIRES THE DEPLOYMENT OF ALL TERRAIN VEHICLES AND STORAGE OF PUBLIC SAFETY EQUIPMENT FOR RAPID DEPLOYMENT FOR THE LARGEST FAIR IN THE STATE OF TN.  THIS TRAILER WILL BE INSTRUMENTAL IN ALLOWING FOR THIS TO BE DONE.  WE ARE AWARE OF THE CONDITION CODE.</t>
  </si>
  <si>
    <t xml:space="preserve">
Sales Order #: 2287229971
RTD Screening Code: DOD
Reason for Rejection: Y9</t>
  </si>
  <si>
    <t>2YTNRP61078461</t>
  </si>
  <si>
    <t>THE VONORE POLICE DEPARTMENT WOULD UTILIZE THIS TRUCK AS AN INCIDENT RESPONSE - CRIME SCENE VEHICLE TO HAVE THE CORRECT EQUIPMENT READY TO RESPOND AT ANY TIME. THE DEPARTMENT DOES NOT HAVE A DEDICATED CRIME SCENE TRUCK AT THIS TIME. A CRIME SCENE TRUCK WOULD BENEFIT DEPARTMENT BY BEING BETTER PREPARED AND HAVING ALL EQUIPMENT NEEDED READY TO RESPOND. THE DEPARTMENT WOULD ACCEPT AS IN CONDITION.</t>
  </si>
  <si>
    <t xml:space="preserve">
Sales Order #: 2286335316
RTD Screening Code: DOD
Reason for Rejection: Y9</t>
  </si>
  <si>
    <t>2YTM3P61078388</t>
  </si>
  <si>
    <t>THE MONROE COUNTY SHERIFFS OFFICE IS REQUESTING THIS TRUCK FOR OUR NEW EMERGENCY RELIEF TRAILER. THIS HEAVY DUTY BUT SMALL TRUCK IS JUST WHAT WE NEED TO MOVE THIS TRAILER. THIS WILL BE USED FOR MAJOR INCIDENTS AND INVESTIGATIONS TO TAKE OUR TRAILER WHERE NEEDED FOR DEPUTIES. IT PROVIDES A PLACE WHERE ALL EQUIPMENT AND SUPPLIES DURING THESE BIG INCIDENTS AND NATURAL DISASTERS.</t>
  </si>
  <si>
    <t xml:space="preserve">
Sales Order #: 2287182044
RTD Screening Code: DOD
Reason for Rejection: Y9</t>
  </si>
  <si>
    <t>2YTHWY61078198</t>
  </si>
  <si>
    <t>WE ARE IN NEED OF AN ARMORED VEHICLE TO BE USED BY OUR SRT TEAM.  THIS VEHICLE WOULD FIT OUR NEED WELL.
I HAVE CONTACTED THE BASE IN REFERENCE TO THE CONDITION OF THE VEHICLE AND WE ARE SATISFIED WITH THE CONDITION.</t>
  </si>
  <si>
    <t xml:space="preserve">
Sales Order #: 2287724180
RTD Screening Code: DOD
Reason for Rejection: Y9</t>
  </si>
  <si>
    <t>2YTHDF61078320</t>
  </si>
  <si>
    <t>WE ARE REQUESTING THESE TWO LADDERS TO MODIFY AND CONVERT A LMTV INTO A RESCUE TRUCK FOR HIGH WATER AND DISASTER RELIEF BY CREATING A STABLE AND SAFE REAR PLATFORM AND BOARDING ACCESS FOR VICTIMS OF FLOODING AND OTHER DISASTER SCENARIOS.</t>
  </si>
  <si>
    <t xml:space="preserve">
Sales Order #: 2287217736
RTD Screening Code: DOD
Reason for Rejection: Y9</t>
  </si>
  <si>
    <t>2YTFMD61078177</t>
  </si>
  <si>
    <t>THIS ASSET WOULD BENEFIT THIS AGENCY AND OFFICERS BY ALLOWING US TO UTILIZE THIS AS A PARTS UNIT FOR OUR OTHER GENERATOR  THIS WOULD ALLOW US TO HAVE POWER DURING STORMS AND OTHER DISASTER STYLE EVENTS THAT KNOCK POWER OUT.  SPOKE WITH FORT THIS WOULD BE OK FOR PARTS</t>
  </si>
  <si>
    <t xml:space="preserve">
Sales Order #: 2287515378
RTD Screening Code: RTD2
Reason for Rejection: YH</t>
  </si>
  <si>
    <t>2YTS0861008759</t>
  </si>
  <si>
    <t>THE MONROE COUNTY SHERIFFS OFFICE IS REQUESTING THESE FOR OUR SWAT TEAM. THESE LADDERS WILL BE PLACED IN OUR SPECIAL RESPONSE VEHICLES FOR DEPUTIES TO BE ABLE TO ACCESS AREAS WHEN SERVING WARRANTS AND NARCOTICS SEARCHES. THIS WILL HELP APPREHEND CRIMINALS AND LOCATE DRUGS DURING THESE EVENTS.</t>
  </si>
  <si>
    <t xml:space="preserve">
Sales Order #: 2287761629
RTD Screening Code: DOD
Reason for Rejection: Y9</t>
  </si>
  <si>
    <t>LADDER,TACTICAL ASS</t>
  </si>
  <si>
    <t>2YTHWY61149049</t>
  </si>
  <si>
    <t>THE MONROE COUNTY SHERIFFS OFFICE IS REQUESTING THIS FOR STORAGE OF MATERIALS WE WILL BE USING FOR TRAINING BUILDINGS. ONCE COMPLETED WE WILL USE THIS CONTAINER ALONG WITH OTHERS TO BUILD A CONTAINER TRAINING CENTER.</t>
  </si>
  <si>
    <t xml:space="preserve">
Sales Order #: 2287652746
RTD Screening Code: DOD
Reason for Rejection: Y9</t>
  </si>
  <si>
    <t>2YTHWY61148893</t>
  </si>
  <si>
    <t>THIS UNIT WILL BE USED BY THE PARSONS POLICE DEPARTMENT AS AN UNDERCOVER MULTI-INVESTIGATION UNIT. THIS UNIT WILL BE DRIVEN BY THE LEAD INVESTIGATOR WITH THE PURPOSE OF SURVEILLANCE AND DRUG INTERDICTION.</t>
  </si>
  <si>
    <t>Rejected by ETD1004.  Comments:  FEPP cycle and located in Africa.</t>
  </si>
  <si>
    <t>2YTJEV61079171</t>
  </si>
  <si>
    <t>THIS WILL BE USED TO UPGRADE A PATROL RIFLE OPTIC. 
I HAVE CONTACTED THE BASE IN REFERENCE TO THE CONDITION OF THE OPTIC AND WE ARE SATISFIED WITH THE CONDITION.</t>
  </si>
  <si>
    <t xml:space="preserve">
Sales Order #: 2286616568
RTD Screening Code: DOD
Reason for Rejection: Y9</t>
  </si>
  <si>
    <t>2YTHDF61078241</t>
  </si>
  <si>
    <t>HICKMAN COUNTY IS A FEDERALLY DECLEARED DISASTER AREA. THIS EQUIPMENT WILL HELP THE SHERIFF'S OFFICE WITH DEBRIS REMOVAL. ITEM WILL BE REPAIRED.</t>
  </si>
  <si>
    <t xml:space="preserve">
Sales Order #: 2286712879
RTD Screening Code: DOD
Reason for Rejection: YH</t>
  </si>
  <si>
    <t>2YTFC261007719</t>
  </si>
  <si>
    <t>USE FOR CAMPUS PATROL AND CARRYING OFFICERS AND EQUIPMENT FOR SPECIAL CAMPUS EVENTS</t>
  </si>
  <si>
    <t xml:space="preserve">
Sales Order #: 2287652747
RTD Screening Code: DOD
Reason for Rejection: Y9</t>
  </si>
  <si>
    <t>2YTTAQ61148941</t>
  </si>
  <si>
    <t>THE MONROE COUNTY SHERIFFS OFFICE IS REQUESTING THESE HOIST FOR OUR GARAGE. THIS WILL BE USED FOR LIFTING LARGE PARTS WHEN INSTALLING INTO PATROL VEHICLES. THIS WILL HELP WITH ALL MAJOR REPAIRS REMOVING AND INSTALLING.</t>
  </si>
  <si>
    <t>2YTHWY61149048</t>
  </si>
  <si>
    <t>THIS VEHICLE WILL BE USED BY OUR INVESTIGATORS AND PATROL OFFICERS WHO ARE WORKING ON UNDER COVER NARCOTIC OPERATIONS.</t>
  </si>
  <si>
    <t xml:space="preserve">
Sales Order #: 2287652752
RTD Screening Code: DOD
Reason for Rejection: Y9</t>
  </si>
  <si>
    <t>2YTHDF61148909</t>
  </si>
  <si>
    <t xml:space="preserve">
Sales Order #: 2286656110
RTD Screening Code: DOD
Reason for Rejection: YH</t>
  </si>
  <si>
    <t>2YTFC261007721</t>
  </si>
  <si>
    <t xml:space="preserve">
Sales Order #: 2286656115
RTD Screening Code: DOD
Reason for Rejection: YH</t>
  </si>
  <si>
    <t>2YTFC261007720</t>
  </si>
  <si>
    <t>HICKMAN COUNTY IS A FEDERAL DECLEARED DISASTER AREA. THE HICKMAN COUNTY SHERIFF'S OFFICE WILL USE THIS TRAILER TO MOVE HEAVY EQUIPMENT INTO DISASTER AREA FOR DEBRIS REMOVAL. SHERIFF'S OFFICE WILL RESTORE TO WORKING ORDER.</t>
  </si>
  <si>
    <t xml:space="preserve">
Sales Order #: 2285864866
RTD Screening Code: DOD
Reason for Rejection: YH</t>
  </si>
  <si>
    <t>2YTFC260866462</t>
  </si>
  <si>
    <t>THE MONROE COUNTY SHERIFFS OFFICE IS REQUESTING THESE TOOLS FOR OUR SHOP. THEY WILL BE USED IN DAILY OPERATIONS OF WORKING ON OUR PATROL FLEET.</t>
  </si>
  <si>
    <t>2YTHWY61148890</t>
  </si>
  <si>
    <t>THE MADISONVILLE POLICE DEPARTMENT IS REQUESTING THIS KENNEL FOR USE BY OUR K9 UNIT. THIS KENNEL COULD BE USED TO STORE DEPARTMENT PATROL DOGS FOR SAFEKEEPING. INFORMATION GATHERED FROM THE BASE IS THESE UNITS ARE LIKE NEW. DUE TO BUDGET CONSTRAINTS WE ARE CURRENTLY UNABLE TO PURCHASE MUCH NEEDED EQUIPMENT LIKE THIS. THANKS</t>
  </si>
  <si>
    <t xml:space="preserve">
Sales Order #: 2285864848
RTD Screening Code: GSA
Reason for Rejection: YG</t>
  </si>
  <si>
    <t>MWD WORLDWIDE DEPLOYABLE KENNEL SYSTEM</t>
  </si>
  <si>
    <t>2YTG5760796210</t>
  </si>
  <si>
    <t>THE MADISONVILLE POLICE DEPARTMENT IS REQUESTING THIS TRUCK FOR USE BY OFFICERS. OUR DEPARTMENT IS LOCATED IN A RURAL MOUNTAINOUS AREA. THIS TRUCK WOULD BE DEPLOYED FOR CRIME SCENES, DRUG RAIDS, AND DISASTERS AS A MOBILE OFFICE QUICK RESPONSE. DUE TO BUDGET CONSTRAINTS WE ARE CURRENTLY UNABLE TO PURCHASE MUCH NEEDED EQUIPMENT LIKE THIS UNIT. THANKS</t>
  </si>
  <si>
    <t>Rejected by EJH2476.  Comments: REJECT JH OVER ALLOCATED.</t>
  </si>
  <si>
    <t>2YTG5761148874</t>
  </si>
  <si>
    <t>THESE FLOODLIGHT SETS WOULD BE USED DURING ROADBLOCKS, CHECKPOINTS, SEARCH AND RESCUE OPERATIONS, INMATE ESCAPES, AND SPECIAL EVENTS.</t>
  </si>
  <si>
    <t xml:space="preserve">
Sales Order #: 2286656108
RTD Screening Code: DOD
Reason for Rejection: Y9</t>
  </si>
  <si>
    <t>2YTNNY61007832</t>
  </si>
  <si>
    <t>THESE SPOTTING SCOPES WILL BE USED BY PATROL OFFICERS FOR OBSERVATION WHEN MAKING DRUG CASES ALONG WITH OBSERVATIONS FOR OTHER INVESTIGATIONS.
I HAVE CONTACTED THE BASE IN REFERENCE TO THE CONDITION OF THE OPTICS AND WE ARE SATISFIED WITH THEIR CONDITION.</t>
  </si>
  <si>
    <t xml:space="preserve">
Sales Order #: 2286656104
RTD Screening Code: DOD
Reason for Rejection: Y9</t>
  </si>
  <si>
    <t>2YTHDF61007633</t>
  </si>
  <si>
    <t>WE ARE A SHERIFF DEPT WITH A LIMITED BUDGET. WE ARE IN NEED OF THIS EQUIPMENT FOR OUR OFFICERS TO USE ON CRIME SCENES AND ROAD BLOCKS. THIS EQUIPMENT WOULD BE A GREAT ASSET FOR OUR OFFICERS.</t>
  </si>
  <si>
    <t xml:space="preserve">
Sales Order #: 2286756672
RTD Screening Code: DOD
Reason for Rejection: Y9</t>
  </si>
  <si>
    <t>2YTE4H61007870</t>
  </si>
  <si>
    <t>BRADFORD POLICE CAN USE THIS TO TRANSPORT OFF ROAD VEHICLES TO CRIME SCENES IN RURAL AREAS. OUR TOWN HAS ALOT OF FARM LAND AND RURAL AREA.</t>
  </si>
  <si>
    <t xml:space="preserve">
Sales Order #: 2286756687
RTD Screening Code: DOD
Reason for Rejection: Y9</t>
  </si>
  <si>
    <t>2YTBF961007882</t>
  </si>
  <si>
    <t>THE ADAMSVILLE POLICE DEPARTMENT WILL UTILIZE THIS VEHICLE AS A RECRUITMENT VEHICLE. THE VEHICLE CAN ALSO BE USED, DUE TO ITS SIZE AND ABILITY, AS A PATROL VEHICLE IN TIMES OF NATURAL DISASTER AND SIGNIFICANT WEATHER EVENTS TO HELP OUR OFFICERS BETTER, AND MORE SAFELY, PATROL OUR JURISDICTION</t>
  </si>
  <si>
    <t xml:space="preserve">
Sales Order #: 2286883114
RTD Screening Code: DOD
Reason for Rejection: Y9</t>
  </si>
  <si>
    <t>2YTP7K61007943</t>
  </si>
  <si>
    <t>THIS ITEM WILL BE USED BY THE PARSONS POLICE DEPARTMENT AS AN UNDERCOVER DRUG INVESTIGATION UNIT TO HELP PROMOTE DRUG ARREST.</t>
  </si>
  <si>
    <t>Rejected by ETD1004.  Comments: tactile request form not returned for submission this is an armored auto.</t>
  </si>
  <si>
    <t>2YTJEV61078466</t>
  </si>
  <si>
    <t>THE MONROE COUNTY SHERIFFS OFFICE IS REQUESTING THIS FOR OUR DETECTIVES DIVISION. THIS WILL BE USED BY A DETECTIVE FOR EVERYDAY OPERATIONS AND SOME UNDERCOVER INVESTIGATIONS.</t>
  </si>
  <si>
    <t>Rejected by ETD1004.  Comments: tactical request form not returned for submission this is an armored auto.</t>
  </si>
  <si>
    <t>2YTHWY61078204</t>
  </si>
  <si>
    <t>THE WASHINGTON COUNTY SHERIFF'S OFFICE WOULD USE THIS VEHICLE FOR LAW ENFORCEMENT PURPOSES. WE WOULD USE THE TRUCK FOR FLOCK AND SURVEILLANCE CAMERAS.</t>
  </si>
  <si>
    <t xml:space="preserve">
Sales Order #: 2286803351
RTD Screening Code: DOD
Reason for Rejection: Y9</t>
  </si>
  <si>
    <t>2YTM9S61007914</t>
  </si>
  <si>
    <t>2YTHWY61078207</t>
  </si>
  <si>
    <t>2YTHDF61078319</t>
  </si>
  <si>
    <t>THIS VEHICLE WILL BE USED BY THE PARSONS POLICE DEPARTMENT AS AN UNDERCOVER INVESTIGATION UNIT. IT WILL BE DRIVEN BY AN INVESTIGATOR WITH THE PARSONS POLICE DEPARTMENT.</t>
  </si>
  <si>
    <t>2YTJEV61078467</t>
  </si>
  <si>
    <t>THE WASHINGTON COUNTY SHERIFF'S OFFICE WOULD USE THIS VEHICLE FOR LAW ENFORCEMENT PURPOSES. WE WOULD USE THE VEHICLE TO SET UP SURVEILLANCE ON TARGET LOCATIONS</t>
  </si>
  <si>
    <t xml:space="preserve">
Sales Order #: 2286317839
RTD Screening Code: DOD
Reason for Rejection: YH</t>
  </si>
  <si>
    <t>2YTM9S60937064</t>
  </si>
  <si>
    <t>THIS UNIT WILL BE USED BY THE PARSONS POLICE DEPARTMENT TO PATROL OUR REGINAL PARK DURING EVENTS AND TO AID WITH SEARCHES IN RURAL AREAS OF THE CITY WHEN CONDUCTING SEARCHES FOR MISSING PERSONS.</t>
  </si>
  <si>
    <t>2YTJEV61078469</t>
  </si>
  <si>
    <t>THE MONROE COUNTY SHERIFFS OFFICE IS REQUESTING THIS TRAILER FOR MOVING LARGE EVIDENCE AND SUPPLIES AS WELL AS TRAINING MATERIALS. I WAS RECENTLY ON SITE AND OBSERVED THIS TRAILER AND IT IS EXACTLY WHAT WE ARE NEEDING FOR MOVING LARGE ITEMS WITH OUR DAY CAB SEMI. THIS WILL HELP IN MOVING ALL OUR LARGE STUFF FOR THE CONSTRUCTION OF OUR CONTAINER TRAINING FACILITY AS WELL.</t>
  </si>
  <si>
    <t xml:space="preserve">
Sales Order #: 2287229027
RTD Screening Code: DOD
Reason for Rejection: Y9</t>
  </si>
  <si>
    <t>2YTHWY61078206</t>
  </si>
  <si>
    <t>Rejected by ETD1004.  Comments: states this atv does not run.</t>
  </si>
  <si>
    <t>2YTJEV61078470</t>
  </si>
  <si>
    <t>THE MONROE COUNTY SHERIFFS OFFICE IS REQUESTING THIS MACHINE FOR OUR TRAINING PROPERTY. WE CURRENTLY HAVE A SMALL DOZER AND HAVE MANY TASK ON OUR NEW PROPERTY WE NEED A BIGGER MACHINE FOR. THIS MACHINE WILL CLEAR AREAS AND BE ABLE TO LEVEL GROUNDS FOR OUR TRAINING CLASSROOM AND OTHER TRAINING NEEDS.</t>
  </si>
  <si>
    <t>Rejected by ETD1004.  Comments: very similar to property awarded in 2023.</t>
  </si>
  <si>
    <t>2YTHWY61078477</t>
  </si>
  <si>
    <t>THE ADAMSVILLE POLICE DEPARTMENT WILL UTILIZE THIS VEHICLE IN HIGHLY VOLATILE AND POTENTIALLY DANGEROUS SITUATIONS, SUCH AS STANDOFFS AND BARRICADED SUSPECTS, FOR OFFICER SAFETY AND PUBLIC SAFETY PURPOSES</t>
  </si>
  <si>
    <t>Rejected by ETD1004.  Comments: chief no longer wants .</t>
  </si>
  <si>
    <t>2YTP7K61078415</t>
  </si>
  <si>
    <t>THE MADISONVILLE POLICE DEPARTMENT IS REQUESTING THIS UNIT FOR USE BY OUR OFFICERS. OUR DEPARTMENT IS LOCATED IN A HIGH METH LAB RURAL MOUNTAINOUS AREA WITH OUR LAST LAB BEING LESS THAN A MONTH AGO. DUE TO BUDGET CONSTRAINTS WE ARE CURRENTLY UNABLE TO PURCHASE MUCH NEEDED HAZMAT EQUIPMENT TO KEEP OUR OFFICERS SAFE. THANKS</t>
  </si>
  <si>
    <t xml:space="preserve">
Sales Order #: 2284436738
RTD Screening Code: DOD
Reason for Rejection: YG</t>
  </si>
  <si>
    <t>2YTG5760583542</t>
  </si>
  <si>
    <t>THE HUMPHREYS COUNTY SHERIFFS OFFICE IS REQUESTING THIS 4X4 TO SUPPORT SEARCH AND RESCUE OPERATIONS IN RUGGED AND DIFFICULT TERRAIN. THIS EQUIPMENT WILL ENHANCE MOBILITY, ALLOWING DEPUTIES TO ACCESS REMOTE AREAS, TRANSPORT PERSONNEL AND EQUIPMENT, AND OPERATE SAFELY IN ADVERSE CONDITIONS. HCSO ACKNOWLEDGES THE TRACTOR IS LISTED IN CONDITION H AND ACCEPTS RESPONSIBILITY FOR THE EQUIPMENT AND ITS CONDITION UPON RECEIPT.</t>
  </si>
  <si>
    <t>2YTFMD61078185</t>
  </si>
  <si>
    <t>THE WEAKLEY COUNTY SHERIFF'S OFFICE IS REQUESTING THIS VAN TO BE ABLE TO TRANSPORT MULTIPLE DEPUTIES AT A TIME TO AND FROM CRIME SCENES, TRAINING, AND OTHER TIMES WHEN MULTIPLE INDIVIDUALS NEED TO BE TRANSPORTED.  I HAVE SEEN THE INCLUDED PICTURES, AND AM SATISFIED WITH IT'S CONDITION.</t>
  </si>
  <si>
    <t>2YTNED60937499</t>
  </si>
  <si>
    <t>THIS VEHICLE WOULD BE PRIMARILY USED FOR SEARCH AND RESCUE OPERATIONS BY OUR SPECIAL OPERATIONS IN OUR MULTIPLE VAST ATV RIDING AREAS</t>
  </si>
  <si>
    <t xml:space="preserve">
Sales Order #: 2286373307
RTD Screening Code: DOD
Reason for Rejection: Y9</t>
  </si>
  <si>
    <t>2YT18E60937218</t>
  </si>
  <si>
    <t>THIS VEHICLE WOULD BE USED PRIMARILY FOR SEARCH AND RESCUE OPERATIONS BY OUR SPECIAL OPERATIONS IN OUR MULTIPLE VAST ATV TRAIL AREAS</t>
  </si>
  <si>
    <t xml:space="preserve">
Sales Order #: 2286425652
RTD Screening Code: DOD
Reason for Rejection: Y9</t>
  </si>
  <si>
    <t>2YT18E60937212</t>
  </si>
  <si>
    <t>THE MONROE COUNTY SHERIFFS OFFICE IS REQUESTING THIS FOR OUR CAMP GROUND PATROL. THIS WILL BE USED FOR BUSY CAMPING SEASON FOR DETERRENCE OF CRIMES IN THESE AREAS.</t>
  </si>
  <si>
    <t xml:space="preserve">
Sales Order #: 2286618451
RTD Screening Code: DOD
Reason for Rejection: Y9</t>
  </si>
  <si>
    <t>2YTHWY60937278</t>
  </si>
  <si>
    <t>THIS CAMERA ADAPTOR WILL BE USED BY OUR PATROL OFFICERS THAT ARE WORKING ON DRUG CASES.  IT WILL ALLOW THEM TO CONDUCT NIGHTTIME SURVEILLANCE AND PHOTOGRAPH TRANSACTIONS.  
I HAVE CONTACTED THE BASE IN REFERENCE TO THE CONDITION OF THE PART AND WE ARE SATISFIED WITH ITS CONDITION.</t>
  </si>
  <si>
    <t xml:space="preserve">
Sales Order #: 2286425663
RTD Screening Code: DOD
Reason for Rejection: Y9</t>
  </si>
  <si>
    <t>2YTHDF60937171</t>
  </si>
  <si>
    <t>THE MONROE COUNTY SHERIFFS OFFICE IS REQUESTING THIS MACHINE FOR LIFTING OUT CONTAINERS FOR A TRAINING FACILITY. THIS WILL HELP IN BUILDING OUR CONTAINER STRUCTURE FOR BUILDING CLEARING TRAINING SESSIONS.</t>
  </si>
  <si>
    <t xml:space="preserve">
Sales Order #: 2285179439
RTD Screening Code: DOD
Reason for Rejection: YG</t>
  </si>
  <si>
    <t>MHE TRACTOR</t>
  </si>
  <si>
    <t>DSMHETRAC</t>
  </si>
  <si>
    <t>2YTHWY60654714</t>
  </si>
  <si>
    <t>THE MILAN POLICE DEPARTMENT WOULD LIKE TO HAVE THIS TRAILER TO TRANSPORT AND RELOCATE OUR HEAVY EQUIPMENT BETWEEN TRAINING SITES. THE TRAILER WOULD HELP OUR DEPARTMENT BE BETTER PREPARED AND NOT HAVE TO RELY ON OTHERS TO TRANSPORT OUR EQUIPMENT. WE HAVE TWO COMMISSIONED OFFICERS THAT HOLD CDL'S AND WOULD BE USED BY OUR DEPARTMENT ONLY.</t>
  </si>
  <si>
    <t xml:space="preserve">
Sales Order #: 2287003322
RTD Screening Code: DOD
Reason for Rejection: Y9</t>
  </si>
  <si>
    <t>2YTHQ061007995</t>
  </si>
  <si>
    <t>THIS TRUCK WILL BE USED TO MOVE EQUIPMENT AND PULL A TRAILER TO AND FROM THE RANGE WHEN DOING MAINTENANCE WORK.  IT WILL ALSO BE USED TO MOVE EQUIPMENT TO AND FROM PUBLIC EVENTS THAT OUR OFFICERS ARE WORKING.  
I HAVE CONTACTED THE BASE AND WE ARE SATISFIED WITH THE CONDITION OF THE TRUCK.</t>
  </si>
  <si>
    <t xml:space="preserve">
Sales Order #: 2286830724
RTD Screening Code: DOD
Reason for Rejection: Y9</t>
  </si>
  <si>
    <t>2YTHDF61007841</t>
  </si>
  <si>
    <t>WE AREA SHERIFF DEPT WITH A LIMITED BUDGET. WE ARE IN NEED OF THIS VEHICLE FOR OUR OFFICERS TO USE TOWING A TRAILER WITH THEIR SEARCH AND RESCUE VEHICLES . THIS VEHICLE WOULD BE A GREAT ASSET TO THE OFFICERS.</t>
  </si>
  <si>
    <t xml:space="preserve">
Sales Order #: 2286821631
RTD Screening Code: DOD
Reason for Rejection: Y9</t>
  </si>
  <si>
    <t>2YTE4H61007814</t>
  </si>
  <si>
    <t>THESE ATVS WILL BE USED BY PATROL TO WORK PUBLIC VENUES WERE THEY WOULD OTHERWISE HAVE TO BE ON FOOT.  THIS WILL ALLOW THEM TO BE MOBILE WHILE ALSO BEING USED FOR GROUND MAINTENANCE AT OUR PD AND RANGE.  
I HAVE CONTACTED THE BASE IN REFERENCE TO THE CONDITION OF THE ATVS AND WE ARE SATISFIED WITH THEIR CONDITION.</t>
  </si>
  <si>
    <t xml:space="preserve">
Sales Order #: 2286803358
RTD Screening Code: DOD
Reason for Rejection: Y9</t>
  </si>
  <si>
    <t>2YTHDF61007901</t>
  </si>
  <si>
    <t>THE HUMPHREYS COUNTY SHERIFFS OFFICE IS REQUESTING THIS TO SUPPORT AGENCY OPERATIONS INCLUDING GROUNDS MAINTENANCE AT HCSO PROPERTIES, OFF ROAD PERSONNEL TRANSPORT DURING EMERGENCY INCIDENTS, SEARCH AND RESCUE OPERATIONS, AND UTILITY USE BY DEPUTIES OPERATING IN THE COUNTYS LARGE RURAL AND HILLY TERRAIN. WE ACKNOWLEDGE THE EQUIPMENT IS LISTED AS CONDITION F AND ACCEPT RESPONSIBILITY FOR REMOVAL, REPAIR, AND RESTORATION IF REQUIRED.</t>
  </si>
  <si>
    <t xml:space="preserve">
Sales Order #: 2286712847
RTD Screening Code: DOD
Reason for Rejection: Y9</t>
  </si>
  <si>
    <t>2YTFMD61007779</t>
  </si>
  <si>
    <t>THE HICKMAN COUNTY SHERIFF'S OFFICE NEEDS THIS VEHICLE TO MOVE HEAVY EQUIPMENT TO HELP WITH DEBRIS REMOVAL AND A REHAB UNIT DEMERGENCIES. HICKMAN COUNTY IS A FEDERALLY DECLEARED DISASTER AREA. VEHICLE WILL BE REPAIRED</t>
  </si>
  <si>
    <t xml:space="preserve">
Sales Order #: 2286202079
RTD Screening Code: DOD
Reason for Rejection: YH</t>
  </si>
  <si>
    <t>2YTFC260866940</t>
  </si>
  <si>
    <t>BRADFORD POLICE CAN USE THIS FOR DISASTER RELIEF EMERGENCIES AS WELL AS OFF ROAD APPREHENSION. OUR TOWN HAS ALOT OF FARM LAND AND RURAL AREA. THIS WOULD BE A TOOL USED ON SEVERAL OCCASIONS.</t>
  </si>
  <si>
    <t xml:space="preserve">
Sales Order #: 2286756680
RTD Screening Code: DOD
Reason for Rejection: Y9</t>
  </si>
  <si>
    <t>2YTBF961007874</t>
  </si>
  <si>
    <t>THE MILAN POLICE DEPARTMENT WOULD LIKE HAVE THE TRUCK TO PULL GENERATORS AND ATV'S FOR EMERGENCY RESPONSE. WE HAVE GOTTEN A COUPLE OF TRUCKS RECENTLY AND HAVE BEEN UNABLE TO GET ONE RUNNING DUE TO ENGINE PROBLEMS. THE TRUCK WILL BE USED BY OUR DEPARTMENT ONLY.</t>
  </si>
  <si>
    <t>Rejected by ETD1004.  Comments: Unserviceable - Condemned i see no comments about having contacted the fort.</t>
  </si>
  <si>
    <t>2YTHQ061008020</t>
  </si>
  <si>
    <t>BRADFORD POLICE CAN USE THIS FOR DISASTER RELIEF EMERGENCIES AND FOR SUSPECT APPREHENSION. OUR TOWN HAS A LOT OF FARM LAND AND RURAL AREA. THIS WOULD HELP US IN LOCATING EITHER VICTIMS, RUNAWAYS OR FELONS.</t>
  </si>
  <si>
    <t>Rejected by ETD1004.  Comments: does not run.</t>
  </si>
  <si>
    <t>2YTBF961008010</t>
  </si>
  <si>
    <t>WILL USE THESE IN OUR DEPARTMENT FOR BACKUPS.</t>
  </si>
  <si>
    <t>2YTCFS61563104</t>
  </si>
  <si>
    <t>CLARK POLICE DEPT (2YTCFS)</t>
  </si>
  <si>
    <t>THIS WOULD HELP AID IN MISSING PERSONS.</t>
  </si>
  <si>
    <t>THERMAL CAMERA</t>
  </si>
  <si>
    <t>DSTHRMCAM</t>
  </si>
  <si>
    <t>2YTCFS61773912</t>
  </si>
  <si>
    <t xml:space="preserve">
Sales Order #: 2290356206
RTD Screening Code: DOD
Reason for Rejection: Y9</t>
  </si>
  <si>
    <t>BINOCULAR,NIGHT VISION</t>
  </si>
  <si>
    <t>2YTHTJ61562442</t>
  </si>
  <si>
    <t>WE WILL USE FOR OUR OFFICE.</t>
  </si>
  <si>
    <t>2YTCFS61633098</t>
  </si>
  <si>
    <t xml:space="preserve">
Sales Order #: 2290356201
RTD Screening Code: DOD
Reason for Rejection: Y9</t>
  </si>
  <si>
    <t>2YTHTJ61562439</t>
  </si>
  <si>
    <t>THE MINNEHAHA COUNTY SO IS REQUESTING 1 ALL TERRAIN VEHICLE FOR THE PURPOSE OF OUR RANGE EQUIPMENT TRUCK.  IT WOULD BE USED IN RANGE MAINTENANCE AND HAULING EQUIPMENT ESSENTIAL TO FOR THE RANGE.  I HAVE SPOKEN WITH DLA DS COLORADO SPRINGS AND AM SATISFIED WITH THE EQUIPMENT.</t>
  </si>
  <si>
    <t>2YTHTJ61422727</t>
  </si>
  <si>
    <t xml:space="preserve">
Sales Order #: 2290356202
RTD Screening Code: DOD
Reason for Rejection: Y9</t>
  </si>
  <si>
    <t>2YTHTJ61562440</t>
  </si>
  <si>
    <t>THE MINNEHAHA COUNTY SO IS REQUESTING 10 NVGS FOR THE PURPOSE OF SWAT.  USED IN HOSTAGE RESCUE, DIGNITARY PROTECTION AND BARRICADED SUBJECTS.  USED BY OUT NARCOTICS DETECTIVES HIDTA PROGRAM FOR NARCOTICS INVESTIGATIONS.  I HAVE SPOKEN WITH DLA DS RILEY AND SATISFIED WITH THE EQUIPMENT.</t>
  </si>
  <si>
    <t>2YTHTJ61492289</t>
  </si>
  <si>
    <t>THE MINNEHAHA COUNTY SO IS REQUESTING 1 NVG FOR THE PURPOSE OF SWAT TO BE USED IN HOSTAGE RESCUE, DIGNITARY PROTECTION AND BARRICADED SUBJECTS.  IT WILL ALSO BE USED TO HELP OUR NARCOTICS DETECTIVES PART OF THE HIDTA PROGRAM.  I HAVE SPOKEN WITH DLA DS COLUMBUS AND AM SATISFIED WITH THE EQUIPMENT.</t>
  </si>
  <si>
    <t xml:space="preserve">
Sales Order #: 2289485558
RTD Screening Code: DOD
Reason for Rejection: BQ</t>
  </si>
  <si>
    <t>2YTHTJ61421245</t>
  </si>
  <si>
    <t>THE MINNEHAHA COUNTY SO, IS REQUESTING 1 NVG FOR THE PURPOSE OF SWAT TO BE USED FOR HOSTAGE RESCUE, DIGNITARY PROTECTION AND BARRICADED SUBJECTS.  THEY WOULD ALSO BE USED FOR THE HIDTA PROGRAM AIDING OUR NARCOTICS INVESTIGATORS.  THEY WOULD AID OUR FUGITIVE TASK FORCE IN APPREHENDING VIOLENT CRIMINALS.  I HAVE SPOKEN WITH DLA DS BARSTOW AND AM SATISFIED WITH THE EQUIPMENT.</t>
  </si>
  <si>
    <t xml:space="preserve">
Sales Order #: 2289485561
RTD Screening Code: DOD
Reason for Rejection: Y9</t>
  </si>
  <si>
    <t>2YTHTJ61421241</t>
  </si>
  <si>
    <t>THE MINNEHAHA COUNTY SO IS REQUESTING 1 NVG FOR THE PURPOSE OF SWAT TO USED FOR HOSTAGE RESCUE, DIGNITARY PROTECTION AND BARRICADED SUBJECTS.  THE NVG WILL ALSO BE USED FOR OUR NARCOTICS DETECTIVES WHO ARE PART OF THE HIDTA PROGRAM.  IT WILL ALSO AID OUR TASK FORCE IN APPREHENDING VIOLENT CRIMINALS.  I HAVE SPOKEN WITH DLA DS JOAQUIN AND AM SATISFIED WITH THE EQUIPMENT.</t>
  </si>
  <si>
    <t xml:space="preserve">
Sales Order #: 2289485560
RTD Screening Code: DOD
Reason for Rejection: BQ</t>
  </si>
  <si>
    <t>2YTHTJ61421280</t>
  </si>
  <si>
    <t>THE MINNEHAHA COUNTY SO SWAT TEAM IS REQUESTING 1 NIGHT VISION FOR THE PURPOSE OF HOSTAGE RESCUE, SAME APPREHENSION IF BARRICADED SUBJECTS AND DIGNITARY PROTECTION.  IT WILL ALSO BE USED FOR NARCOTICS INVESTIGATIONS PART OF THE HIDTA TEAM AND COMMUNITY SAFE PROJECTS AIMED AT APPREHENDING VIOLENT CRIMINALS.  I HAVE SPOKEN TO DLA DS BARSTOW, REVIEWED PHOTOS AND AM SATISFIED WITH THE EQUIPMENT.</t>
  </si>
  <si>
    <t xml:space="preserve">
Sales Order #: 2288478211
RTD Screening Code: DOD
Reason for Rejection: Y9</t>
  </si>
  <si>
    <t>2YTHTJ61280432</t>
  </si>
  <si>
    <t xml:space="preserve">
Sales Order #: 2288478214
RTD Screening Code: DOD
Reason for Rejection: Y9</t>
  </si>
  <si>
    <t>2YTHTJ61280431</t>
  </si>
  <si>
    <t>THE MINNEHAHA COUNTY SO IS REQUESTING 2 NVGS FOR THE PURPOSE OF SWAT TO BE USED IN HOSTAGE RESCUE, CRIMINAL APPREHENSION AND DIGNITARY PROTECTION.  THEY WOULD ALSO BE USED IN NARCOTICS INVESTIGATIONS FOR THE HIDTA PROGRAM PROMOTING SAFE COMMUNITIES.  NVG WOULD ALSO BE USED IN DANGEROUS CRIMINAL APPREHENSION AIDING IN A SAFE COMMUNITY.  I HAVE SPOKEN WITH DLA DS RILEY, VIEWED PHOTOS AND AM SATISFIED WITH THE EQUIPMENT.</t>
  </si>
  <si>
    <t xml:space="preserve">
Sales Order #: 2288956709
RTD Screening Code: DOD
Reason for Rejection: BQ</t>
  </si>
  <si>
    <t>2YTHTJ61350723</t>
  </si>
  <si>
    <t>THE MINNEHAHA COUNTY SO IS REQUESTING 5 IMAGE INTENSIFIERS FOR THE USE OF, HOSTAGE RESCUE, CRIMINAL APPREHENSION AND DIGNITARY PROTECTION.  THE INTENSIFIERS WOULD ALSO BE USED IN NARCOTICS INVESTIGATIONS ASSOCIATED WITH HIDTA CREATING SAFE COMMUNITIES.  THEY WOULD ALSO BE USED IN DANGEROUS CRIMINAL APPREHENSION AIDING IN SAFER COMMUNITIES.  I HAVE SPOKEN WITH DLA DS RED RIVER, REVIEWED PHOTOS AND AM SATISFIED WITH THE EQUIPMENT.</t>
  </si>
  <si>
    <t>2YTHTJ61350721</t>
  </si>
  <si>
    <t>THE MINNEHAHA COUNTY SO SWAT TEAM IS REQUESTING 1 NIGHT VISION VIEWER FOR THE PURPOSE OF HOSTAGE RESCUE, BARRICADED SUBJECTS AND DIGNITARY PROTECTION.  THE NIGHT VISION WOULD ALSO BE USED IN NARCOTICS INVESTIGATIONS, ARRESTING VIOLENT CRIMINALS PROMOTING COMMUNITY SAFETY.  I HAVE SPOKEN WITH DLA DS SAN ANTONIO, REVIEWED PHOTOS AND AM SATISFIED WITH THE EQUIPMENT.</t>
  </si>
  <si>
    <t>2YTHTJ61280105</t>
  </si>
  <si>
    <t>THE MINNEHAHA COUNTY SO SWAT TEAM IS REQUESTING 10 IMAGE INTENSIFIERS FOR ITS USE ON THE SWAT TEAM FOR DIGNITARY PROTECTION. HOSTAGE RESCUE AND BARRICADED SUBJECTS.  IT WILL ALSO BE USED FOR HIDTA IN ASSISTING NARCOTICS INVESTIGATIONS, ARRESTING CRIMINALS TO MAKE SAFER COMMUNITIES.  I HAVE SPOKEN TO DLA DS SAN ANTONIO, REVIEWED PHOTOS AND AM SATISFIED WITH THE EQUIPMENT.</t>
  </si>
  <si>
    <t xml:space="preserve">
Sales Order #: 2288443079
RTD Screening Code: DOD
Reason for Rejection: BQ</t>
  </si>
  <si>
    <t>2YTHTJ61280110</t>
  </si>
  <si>
    <t>THE MINNEHAHA COUNTY SO SWAT TEAM REQUESTING 10 ILLUMINATORS FOR THE PURPOSE OF HOSTAGE RESCUE, BARRICADED SUBJECTS AND DIGNITARY PROTECTION.  ALONG WITH SWAT, NARCOTICS DETECTIVES PARTICIPATING IN HIDTA TASK FORCE WILL ALSO BE USING THEM FOR COUNTER DRUG ENFORCEMENT.  I HAVE SPOKEN WITH DLA DS ANNISTON, REVIEWED PHOTOS AND AM SATISFIED WITH THE EQUIPMENT.</t>
  </si>
  <si>
    <t xml:space="preserve">
Sales Order #: 2288110156
RTD Screening Code: DOD
Reason for Rejection: Y9</t>
  </si>
  <si>
    <t>2YTHTJ61219365</t>
  </si>
  <si>
    <t>THE MINNEHAHA COUNTY SO SWAT TEAM IS REQUESTING 10 ILLUMINATORS FOR THE USE OF HOSTAGE RESCUE, BARRICADED SUBJECT AND DIGNITARY PROTECTION.  I HAVE SPOKEN WITH AND VIEWED PHOTOS FROM DLA DS ANNISTON AND AM SATISFIED WITH THE EQUIPMENT.</t>
  </si>
  <si>
    <t xml:space="preserve">
Sales Order #: 2287381827
RTD Screening Code: DOD
Reason for Rejection: Y9</t>
  </si>
  <si>
    <t>2YTHTJ61078669</t>
  </si>
  <si>
    <t>THE MINNEHAHA COUNTY SO IS REQUESTING 4 ILLUMINATORS FOR THE SWAT TEAM.  THE ILLUMINATORS WILL BE USED FOR HOSTAGE RESCUE, BARRICADED SUBJECTS AND DIGNITARY PROTECTION.  I HAVE SPOKE WITH DLA DS COLUMBUS, REVIEWED PHOTOS AND SATISFIED WITH THE EQUIPMENT.</t>
  </si>
  <si>
    <t xml:space="preserve">
Sales Order #: 2287103728
RTD Screening Code: DOD
Reason for Rejection: Y9</t>
  </si>
  <si>
    <t>2YTHTJ61008094</t>
  </si>
  <si>
    <t>THE MINNEHAHA COUNTY SO IS REQUESTING 10 ILLUMINATORS FOR THE SWAT TEAM.  TO BE USED IN HOSTAGE RESCUE, BARRICADED SUBJECTS AND DIGNITARY PROTECTION.  THE ILLUMINATORS WILL ALSO BE USED NARCOTIC SEARCH WARRANTS AND APPREHENDING VIOLENT CRIMINALS.  I HAVE SPOKEN WITH DLA DS EGLIN, VIEWED PHOTOS AND AM SATISFIED WITH THE EQUIPMENT.</t>
  </si>
  <si>
    <t xml:space="preserve">
Sales Order #: 2287032568
RTD Screening Code: DOD
Reason for Rejection: Y9</t>
  </si>
  <si>
    <t>2YTHTJ61078213</t>
  </si>
  <si>
    <t>THE MINNEHAHA COUNTY SO IS REQUESTING 1 NIGHT VISION GOGGLES, FOR THE USE ON THE SWAT TEAM.  THE NIGHT VISION WILL BE USED IN CRIMINAL BARRICADES, HOSTAGE RESCUE AND DIGNITARY PROTECTION.  I HAVE REACHED OUT TO DLA DS ANNISTON, REVIEWED PHOTOS AND AM SATISFIED WITH THE CONDITION.</t>
  </si>
  <si>
    <t xml:space="preserve">
Sales Order #: 2287032565
RTD Screening Code: DOD
Reason for Rejection: BQ</t>
  </si>
  <si>
    <t>2YTHTJ61078317</t>
  </si>
  <si>
    <t xml:space="preserve">
Sales Order #: 2287162993
RTD Screening Code: DOD
Reason for Rejection: BQ</t>
  </si>
  <si>
    <t>2YTHTJ61078316</t>
  </si>
  <si>
    <t>THESE SAFETY GLASSES WOULD BE USED IN ANY APPLICABLE LAW ENFORCEMENT ROLE IN ORDER TO PROTECT THE EYES, TO INCLUDE FIREARMS TRAINING, FORCE ON FORCE TRAINING, TASER TRAINING, SIMUNITION TRAINING. OR ANY DUTY PURPOSE IN WHICH EYE PROTECTION IS REQUIRED. I ACKNOWLEDGE THE CONDITION CODES LISTED FOR THESE GLASSES.</t>
  </si>
  <si>
    <t xml:space="preserve">
Sales Order #: 2286821619
RTD Screening Code: DOD
Reason for Rejection: Y9</t>
  </si>
  <si>
    <t>2YTNBW61007812</t>
  </si>
  <si>
    <t>GENERATORS REQUESTED BY DPS, UTILIZED BY DPS OFFICERS, TO SUPPLY MOBILE POWER.</t>
  </si>
  <si>
    <t>2YTKTF61915070</t>
  </si>
  <si>
    <t>DRYERS REQUESTED BY DPS, UTILIZED BY DPS OFFICERS, FOR DRYING HANDS.</t>
  </si>
  <si>
    <t>DRYER INDUSTRIAL AIR</t>
  </si>
  <si>
    <t>DSDRYER01</t>
  </si>
  <si>
    <t>2YTKTF61844896</t>
  </si>
  <si>
    <t>TARP REQUESTED BY DPS, UTILIZED BY DPS OFFICERS, FOR COVERING VEHICLES AND OTHER PROPERTY.</t>
  </si>
  <si>
    <t xml:space="preserve">
Sales Order #: 2290791059
RTD Screening Code: DOD
Reason for Rejection: YG</t>
  </si>
  <si>
    <t>2YTKTF61563152</t>
  </si>
  <si>
    <t xml:space="preserve">
Sales Order #: 2291585148
RTD Screening Code: DOD
Reason for Rejection: Y9</t>
  </si>
  <si>
    <t>2YTKTF61773783</t>
  </si>
  <si>
    <t>AIR PURIFIER REQUESTED BY DPS, UTILIZED BY DPS OFFICERS, FOR PURIFYING AIR.</t>
  </si>
  <si>
    <t xml:space="preserve">
Sales Order #: 2291172724
RTD Screening Code: GSA
Reason for Rejection: YH</t>
  </si>
  <si>
    <t>AIR PURIFICATION EQUIPMENT</t>
  </si>
  <si>
    <t>DSAIRPURI</t>
  </si>
  <si>
    <t>2YTKTF61703353</t>
  </si>
  <si>
    <t>AIR MACHINE REQUESTED BY DPS, UTILIZED BY DPS OFFICERS, FOR PURIFYING AIR.</t>
  </si>
  <si>
    <t xml:space="preserve">
Sales Order #: 2291172738
RTD Screening Code: GSA
Reason for Rejection: YH</t>
  </si>
  <si>
    <t>2YTKTF61703346</t>
  </si>
  <si>
    <t xml:space="preserve">
Sales Order #: 2291717025
RTD Screening Code: DOD
Reason for Rejection: Y9</t>
  </si>
  <si>
    <t>2YTAZ261773905</t>
  </si>
  <si>
    <t>GROUND CLOTH REQUEST BY DPS, UTILIZED BY DPS OFFICERS, FOR BARRIER WHEN UTILIZING TEMPORARY SHELTER.</t>
  </si>
  <si>
    <t xml:space="preserve">
Sales Order #: 2291585147
RTD Screening Code: DOD
Reason for Rejection: Y9</t>
  </si>
  <si>
    <t>GROUND CLOTH</t>
  </si>
  <si>
    <t>2YTKTF61773778</t>
  </si>
  <si>
    <t>THE ITEMS ARE REQUESTED BY THE LORIS POLICE DEPARTMENT, FOR THE USE BY THE SWORN LAW ENFORCEMENT OFFICERS WHILE ON-DUTY WITH THE LORIS POLICE DEPART IN DIRECT SUPPORT OF DAILY OPERATIONS. WE WANT TO ADD AN ADDITIONAL MONITOR TO THE WORK BAY COMPUTERS FOR THE OFFICERS DESKS</t>
  </si>
  <si>
    <t xml:space="preserve">
Sales Order #: 2291172727
RTD Screening Code: DOD
Reason for Rejection: Y9</t>
  </si>
  <si>
    <t>2YTGXY61703561</t>
  </si>
  <si>
    <t xml:space="preserve">
Sales Order #: 2291678316
RTD Screening Code: DOD
Reason for Rejection: Y9</t>
  </si>
  <si>
    <t>2YTAZ261683906</t>
  </si>
  <si>
    <t>CHAIN REQUESTED BY DPS, UTILIZED BY DPS OFFICERS, FOR SECURING PROPERTY.</t>
  </si>
  <si>
    <t xml:space="preserve">
Sales Order #: 2291585164
RTD Screening Code: DOD
Reason for Rejection: Y9</t>
  </si>
  <si>
    <t>CHAIN ASSEMBLY,SING</t>
  </si>
  <si>
    <t>2YTKTF61773779</t>
  </si>
  <si>
    <t>OVEN REQUESTED BY DPS, UTILIZED BY DPS OFFICERS, FOR COOKING MEALS.</t>
  </si>
  <si>
    <t xml:space="preserve">
Sales Order #: 2290732843
RTD Screening Code: DOD
Reason for Rejection: YG</t>
  </si>
  <si>
    <t>OVEN</t>
  </si>
  <si>
    <t>DSOVEN000</t>
  </si>
  <si>
    <t>2YTKTF61562839</t>
  </si>
  <si>
    <t>WINCH REQUESTED BY DPS, UTILIZED BY DPS OFFICERS, FOR WINCHING ITEMS ONTO A TRAILER.</t>
  </si>
  <si>
    <t>GSA Cycle.  LEAs cannot received property from the GSA Cycle.</t>
  </si>
  <si>
    <t>2YTKTF61633646</t>
  </si>
  <si>
    <t>PRINTERS REQUESTED BY DPS, UTILIZED BY DPS OFFICERS, FOR PRINTING DOCUMENTS.</t>
  </si>
  <si>
    <t xml:space="preserve">
Sales Order #: 2291172735
RTD Screening Code: DOD
Reason for Rejection: Y9</t>
  </si>
  <si>
    <t>2YTKTF61633541</t>
  </si>
  <si>
    <t>THE ITEMS ARE REQUESTED BY THE LORIS POLICE DEPARTMENT, FOR THE USE BY THE SWORN LAW ENFORCEMENT OFFICERS WHILE ON-DUTY WITH THE LORIS POLICE DEPART IN DIRECT SUPPORT OF DAILY OPERATIONS. WE NEED MORE PRINTERS</t>
  </si>
  <si>
    <t xml:space="preserve">
Sales Order #: 2291250424
RTD Screening Code: DOD
Reason for Rejection: Y9</t>
  </si>
  <si>
    <t>2YTGXY61633560</t>
  </si>
  <si>
    <t>THE ITEM IS REQUESTED BY THE LORIS POLICE DEPARTMENT, FOR THE USE BY THE SWORN LAW ENFORCEMENT OFFICERS WHILE ON-DUTY. EQUIPMENT WILL USED TO ASSIST WITH DOCUMENTING TRAINING EVOLUTIONS.</t>
  </si>
  <si>
    <t>2YTGXY61633677</t>
  </si>
  <si>
    <t>FAN REQUESTED BY DPS, FOR USE BY DPS OFFICERS, FOR COOLING AND AIR CIRCULATION NEEDS.</t>
  </si>
  <si>
    <t xml:space="preserve">
Sales Order #: 2290494773
RTD Screening Code: DOD
Reason for Rejection: YH</t>
  </si>
  <si>
    <t>2YTKTF61562738</t>
  </si>
  <si>
    <t>PROCESSING UNIT REQUESTED BY DPS, FOR USE BY DPS IT, FOR COMPUTER TECHNICAL ISSUES.</t>
  </si>
  <si>
    <t xml:space="preserve">
Sales Order #: 2290542476
RTD Screening Code: DOD
Reason for Rejection: YH</t>
  </si>
  <si>
    <t>INTERFACE UNIT,AUTOMATIC DATA PROCESSING</t>
  </si>
  <si>
    <t>2YTKTF61562707</t>
  </si>
  <si>
    <t xml:space="preserve">
Sales Order #: 2290542475
RTD Screening Code: DOD
Reason for Rejection: YH</t>
  </si>
  <si>
    <t>2YTKTF61492692</t>
  </si>
  <si>
    <t>THE ITEMS ARE REQUESTED BY THE LORIS POLICE DEPARTMENT, FOR THE USE BY THE SWORN LAW ENFORCEMENT OFFICERS WHILE ON-DUTY WITH THE LORIS POLICE DEPART IN DIRECT SUPPORT OF DAILY OPERATIONS. WE WANT TO ADD A MAGNIFIER TO THE RIFLES THAT ARE ISSUED TO THE PATROL OFFICER FOR ADDITIONAL OPTION WHILE ON PATROL.</t>
  </si>
  <si>
    <t>2YTGXY61633562</t>
  </si>
  <si>
    <t>THE OCONEE COUNTY SHERIFFS OFFICE REQUEST ONE EXERCISE BICYCLE TO BE USED BY DEPUTIES TO INCREASE THEIR PHYSICAL FITNESS.  I UNDERSTAND ITS CONDITION AND I'M STILL REQUESTING IT.</t>
  </si>
  <si>
    <t>Rejected by EJC2716.</t>
  </si>
  <si>
    <t>BICYCLE,EXERCISE</t>
  </si>
  <si>
    <t>2YT1X261563253</t>
  </si>
  <si>
    <t>THE OCONEE COUNTY SHERIFFS OFFICE REQUEST ONE MOBILE TOOL CABINET CHEST TOP TO BE USED FOR THE MAINTENANCE AND UPKEEP OF SHERIFFS OFFICE VEHICLES AND EQUIPMENT.  I UNDERSTAND ITS CONDITION AND I'M STILL REQUESTING IT.</t>
  </si>
  <si>
    <t>CHEST,TOP,MOBILE TOOL CABINET</t>
  </si>
  <si>
    <t>2YT1X261563251</t>
  </si>
  <si>
    <t>THE OCONEE COUNTY SHERIFFS OFFICE REQUEST ONE MOBILE TOOL CABINET TO BE USED FOR THE MAINTENANCE AND UPKEEP OF SHERIFFS OFFICE VEHICLES AND EQUIPMENT.  I UNDERSTAND ITS CONDITION AND I'M STILL REQUESTING IT.</t>
  </si>
  <si>
    <t>CABINET,TOOL,MOBILE</t>
  </si>
  <si>
    <t>2YT1X261563248</t>
  </si>
  <si>
    <t>WHEEL CHOCK REQUESTED BY DPS, UTILIZED BY DPS OFFICERS, FOR SECURING VEHICLE OR TRAILERS.</t>
  </si>
  <si>
    <t>2YTKTF61563324</t>
  </si>
  <si>
    <t>DPS REQUESTED PELICAN CASE, FOR USE BY DPS OFFICERS, TO SECURE ASSETS.</t>
  </si>
  <si>
    <t xml:space="preserve">
Sales Order #: 2290732839
RTD Screening Code: DOD
Reason for Rejection: Y9</t>
  </si>
  <si>
    <t>PELICAN CASE</t>
  </si>
  <si>
    <t>2YTKTF61562825</t>
  </si>
  <si>
    <t>THE DARLINGTON COUNTY SHERIFF'S OFFICE REQUEST THE DUCT TAPE TO USE IN NARCOTICS.  THE UNIT USES THIS TYPE TAPE TO HELP HIDE ITEMS INSIDE CARS IN DIFFERENT LOCATION WHEN CONDUCTING UNDERCOVER OPERATIONS.</t>
  </si>
  <si>
    <t xml:space="preserve">
Sales Order #: 2290791063
RTD Screening Code: DOD
Reason for Rejection: Y9</t>
  </si>
  <si>
    <t>TAPE,DUCT</t>
  </si>
  <si>
    <t>2YTC4Y61633137</t>
  </si>
  <si>
    <t>THE DARLINGTON COUNTY SHERIFF'S OFFICE REQUEST THE CASE TO USE AS STORAGE.  THIS IS PELICAN CASE THAT SEALS AND CAN STORE ITEMS FOR US.  OUR INVESTIGATORS CAN USE THEM TO STORE SUPPLY'S INSIDE THE VEHICLES.</t>
  </si>
  <si>
    <t xml:space="preserve">
Sales Order #: 2290542477
RTD Screening Code: DOD
Reason for Rejection: Y9</t>
  </si>
  <si>
    <t>2YTC4Y61562706</t>
  </si>
  <si>
    <t xml:space="preserve">
Sales Order #: 2290732842
RTD Screening Code: DOD
Reason for Rejection: Y9</t>
  </si>
  <si>
    <t>2YTDCS61632930</t>
  </si>
  <si>
    <t>CAMERA REQUESTED BY DPS, FOR USE BY DPS OFFICERS, FOR MONITORING PROPERTY AND ASSETS BY THE AGENCY.</t>
  </si>
  <si>
    <t xml:space="preserve">
Sales Order #: 2290545591
RTD Screening Code: DOD
Reason for Rejection: Y9</t>
  </si>
  <si>
    <t>2YTKTF61632937</t>
  </si>
  <si>
    <t>LADDER REQUESTED BY DPS, UTILIZED BY DPS OFFICERS, FOR REACHING HIGH ITEMS IN FACILITIES.</t>
  </si>
  <si>
    <t>2YTKTF61633078</t>
  </si>
  <si>
    <t>THE DILLON COUNTY SHERIFF'S OFFICE WILL UTILIZE THESE ITEMS TO ISSUE TO DEPUTIES FOR SURVEILLANCE DUTIES ALONG WITH DUTY USE. I UNDERSTAND THESE ITEMS MAY BE DAMAGED AND NOT WORKING CORRECT OR AT ALL.</t>
  </si>
  <si>
    <t xml:space="preserve">
Sales Order #: 2289731518
RTD Screening Code: DOD
Reason for Rejection: YH</t>
  </si>
  <si>
    <t>LASER-INFRARED OBSERVATION SET</t>
  </si>
  <si>
    <t>2YTDCS61421234</t>
  </si>
  <si>
    <t>THE SOUTH CAROLINA LAW ENFORCEMENT DIVISION WOULD RESPECTFULLY REQUEST THESE COMBAT CASUALTY BAGS FOR USE BY OUR LAW ENFORCEMENT AGENTS TO CARRY MEDICAL SUPPLIES AS WELL AS OTHER LAW ENFORCEMENT EQUIPMENT.</t>
  </si>
  <si>
    <t xml:space="preserve">
Sales Order #: 2288872307
RTD Screening Code: DOD
Reason for Rejection: YG</t>
  </si>
  <si>
    <t>2YTKTH61280549</t>
  </si>
  <si>
    <t>SAFE REQUESTED BY DPS, FOR USE BY DPS OFFICERS, FOR SECURING ASSETS SECURELY.</t>
  </si>
  <si>
    <t>2YTKTF61492831</t>
  </si>
  <si>
    <t>2YTKTF61633012</t>
  </si>
  <si>
    <t>TRANSLATOR REQUESTED BY DPS, UTILIZED BY DPS OFFICERS, FOR TRANSLATING LANGUAGE WHILE COMMUNICATING WITH PUBLIC.</t>
  </si>
  <si>
    <t>2YTKTF61482836</t>
  </si>
  <si>
    <t>RACK REQUESTED BY DPS, FOR USE BY DPS OFFICERS, SECURING FIREARMS BY ARMORER.</t>
  </si>
  <si>
    <t>2YTKTF61482834</t>
  </si>
  <si>
    <t>THIS BOAT, PATROL, FIBERGL, IS REQUESTED BY THE HOLLY HILL POLICE DEPARTMENT, FOR USE BY HOLLY HILL PD OFFICERS FOR WATER RESCUE AND RECOVERY OPERATIONS, DUE TO MULTIPLE LARGE PONDS IN SUBDIVISIONS WITHIN THE JURISDICTION AND MUTUAL AID WITH LAKE BORDERING JURISDICTIONS WITHIN 5 MILES FROM HOLLY HILL.</t>
  </si>
  <si>
    <t>2YTRSD61492644</t>
  </si>
  <si>
    <t>THE DILLON COUNTY SHERIFF'S OFFICE WILL UTILIZE THESE ITEMS TO ISSUE TO DEPUTIES TO HELP BUILD FIRST AID KITS FOR THEIR VEHICLES</t>
  </si>
  <si>
    <t xml:space="preserve">
Sales Order #: 2289995618
RTD Screening Code: DOD
Reason for Rejection: Y9</t>
  </si>
  <si>
    <t>2YTDCS61491829</t>
  </si>
  <si>
    <t>THE SOUTH CAROLINA LAW ENFORCEMENT DIVISION WOULD RESPECTFULLY REQUEST THIS FAST ROPE FOR USE BY OUR TACTICAL TEAM FOR TRAINING AND CALLOUT USE.</t>
  </si>
  <si>
    <t xml:space="preserve">
Sales Order #: 2288872308
RTD Screening Code: DOD
Reason for Rejection: YG</t>
  </si>
  <si>
    <t>HELI-VAC FAST ROPE</t>
  </si>
  <si>
    <t>2YTKTH61280546</t>
  </si>
  <si>
    <t xml:space="preserve">
Sales Order #: 2288916741
RTD Screening Code: DOD
Reason for Rejection: YG</t>
  </si>
  <si>
    <t>2YTKTH61280545</t>
  </si>
  <si>
    <t>THE DILLON COUNTY SHERIFFS OFFICE WILL UTILIZE THESE ITEMS TO ISSUE TO DEPUTIES FOR DUTY USE AND STORAGE OF ITEMS</t>
  </si>
  <si>
    <t xml:space="preserve">
Sales Order #: 2289995628
RTD Screening Code: DOD
Reason for Rejection: Y9</t>
  </si>
  <si>
    <t>2YTDCS61491830</t>
  </si>
  <si>
    <t>VACUUM REQUESTED BY DPS, FOR USE BY FLEET, FOR CLEANING AND MAINTAINING POLICE VEHICLES.</t>
  </si>
  <si>
    <t>CLEANER,VACUUM,PNEU</t>
  </si>
  <si>
    <t>2YTKTF61562698</t>
  </si>
  <si>
    <t>WORKSTATION REQUESTED BY DPS, FOR USE BY IT, ASSISTING WITH DAILY TECHNICAL DIFFICULTIES.</t>
  </si>
  <si>
    <t>Rejected by EJC2716.  Comments: requested by another lea first.</t>
  </si>
  <si>
    <t>2YTKTF61562696</t>
  </si>
  <si>
    <t>THIS ITEM IS BEING REQUESTED BY BEAUFORT CSO FOR THE USE BY BEAUFORT CSO PERSONNEL.  THIS ITEM WILL BE USED TO ASSIST PERSONNEL IN PHYSICAL STRENGTH BUILDING FOR PATROL OPERATIONS AND ANNUAL PHYSICAL FITNESS TEST.</t>
  </si>
  <si>
    <t xml:space="preserve">
Sales Order #: 2290006832
RTD Screening Code: DOD
Reason for Rejection: Y9</t>
  </si>
  <si>
    <t>2YTAZ261491962</t>
  </si>
  <si>
    <t>THE DILLON COUNTY SHERIFF'S OFFICE WILL UTILIZE THIS ITEMS FOR THE DEPUTIES ASSIGNED TO THE SHERIFF'S OFFICE ANIMAL PROTECTION UNIT. THIS WILL ALLOW SAFE TRANSPORT OF ANIMALS TO SHELTERS OUTSIDE THE COUNTY AND STATE.</t>
  </si>
  <si>
    <t xml:space="preserve">
Sales Order #: 2289672800
RTD Screening Code: DOD
Reason for Rejection: Y9</t>
  </si>
  <si>
    <t>2YTDCS61421568</t>
  </si>
  <si>
    <t>THE DILLON COUNTY SHERIFF'S OFFICE WILL UTILIZE THESE ITEMS DURING NATURAL DISASTERS. I UNDERSTAND THAT THE CONDITION CODE IS F AND THEY MAY NOT WORK OR NEED TO BE REPAIRED</t>
  </si>
  <si>
    <t xml:space="preserve">
Sales Order #: 2289574673
RTD Screening Code: DOD
Reason for Rejection: Y9</t>
  </si>
  <si>
    <t>2YTDCS61421329</t>
  </si>
  <si>
    <t>THE DILLON COUNTY SHERIFF'S OFFICE WILL UTILIZE THESE KITS TO ISSUE TO DEPUTIES TO BUILD THEIR FIRST AID KITS IN THEIR PATROL VEHICLES ALONG WITH AN ACTIVE SHOOTER PREP OR NATURAL DISASTER PREP KIT</t>
  </si>
  <si>
    <t xml:space="preserve">
Sales Order #: 2290086875
RTD Screening Code: DOD
Reason for Rejection: Y9</t>
  </si>
  <si>
    <t>2YTDCS61492140</t>
  </si>
  <si>
    <t>THE DILLON COUNTY SHERIFF'S OFFICE WILL UTILIZE THIS ITEM FOR FLEET VEHICLE REPAIRS AND UPKEEP</t>
  </si>
  <si>
    <t xml:space="preserve">
Sales Order #: 2289841980
RTD Screening Code: DOD
Reason for Rejection: Y9</t>
  </si>
  <si>
    <t>2YTDCS61491729</t>
  </si>
  <si>
    <t>THE DILLON COUNTY SHERIFF'S OFFICE WILL UTILIZE THESE KITS TO ISSUE TO DEPUTIES TO BUILD THEIR IFAK KITS FOR THEIR PATROL CARS FOR DISASTER PREP AND ACTIVE SHOOTER PREP</t>
  </si>
  <si>
    <t xml:space="preserve">
Sales Order #: 2290086884
RTD Screening Code: DOD
Reason for Rejection: Y9</t>
  </si>
  <si>
    <t>KIT,COMBAT CASEVAC</t>
  </si>
  <si>
    <t>2YTDCS61492158</t>
  </si>
  <si>
    <t xml:space="preserve">
Sales Order #: 2289995620
RTD Screening Code: DOD
Reason for Rejection: Y9</t>
  </si>
  <si>
    <t>2YTDCS61491781</t>
  </si>
  <si>
    <t>THE DILLON COUNTY SHERIFF'S OFFICE WILL UTILIZE THIS JACK FOR THE MOVING AND UNLOADING OF MATERIALS THAT ARE SHIPPED TO THE SHERIFF'S OFFICE ANIMAL PROTECTION DIVISION</t>
  </si>
  <si>
    <t xml:space="preserve">
Sales Order #: 2289958410
RTD Screening Code: DOD
Reason for Rejection: Y9</t>
  </si>
  <si>
    <t>2YTDCS61491759</t>
  </si>
  <si>
    <t>THE DILLON COUNTY SHERIFF'S OFFICE WILL UTILIZE THESE ITEMS TO ISSUE TO DEPUTIES TO BE PLACED ON DEPARTMENT ISSUED PATROL RIFLES</t>
  </si>
  <si>
    <t xml:space="preserve">
Sales Order #: 2290086877
RTD Screening Code: DOD
Reason for Rejection: Y9</t>
  </si>
  <si>
    <t>MAGNIFIER,WEAPON SIGHT</t>
  </si>
  <si>
    <t>2YTDCS61422054</t>
  </si>
  <si>
    <t xml:space="preserve">
Sales Order #: 2289973032
RTD Screening Code: DOD
Reason for Rejection: Y9</t>
  </si>
  <si>
    <t>CAP,COLD WEATHER</t>
  </si>
  <si>
    <t>2YTDCS61491869</t>
  </si>
  <si>
    <t>THE DILLON COUNTY SHERIFF'S OFFICE WILL UTILIZE THESE ITEMS TO ISSUE TO DEPUTIES FOR DUTY USE AND TRAINING. THESE ITEMS WILL ALSO BE ADDED TO THE RANGE FOR FIREARMS TRAINING AND TASER TRAINING</t>
  </si>
  <si>
    <t xml:space="preserve">
Sales Order #: 2289973038
RTD Screening Code: DOD
Reason for Rejection: Y9</t>
  </si>
  <si>
    <t>2YTDCS61491764</t>
  </si>
  <si>
    <t>THE DILLON COUNTY SHERIFF'S OFFICE WILL UTILIZE THESE ITEMS TO ISSUE TO DEPUTIES TO BE USED WITH THEIR DEPARTMENT WALKIE</t>
  </si>
  <si>
    <t>2YTDCS61492209</t>
  </si>
  <si>
    <t>THIS ITEM IS BEING REQUESTED BY BEAUFORT CSO FOR THE USE BY BEAUFORT CSO PERSONNEL.  THIS ITEM WILL BE USED TO PROVIDE COMMUNICATIONS ACCESS FOR DISPATCH AND TRAFFIC MANAGEMENT SERVICES THAT BEAUFORT CSO PROVIDES FOR THE COUNTY AS A WHOLE.</t>
  </si>
  <si>
    <t xml:space="preserve">
Sales Order #: 2290006836
RTD Screening Code: DOD
Reason for Rejection: Y9</t>
  </si>
  <si>
    <t>2YTAZ261491960</t>
  </si>
  <si>
    <t xml:space="preserve">
Sales Order #: 2289086323
RTD Screening Code: DOD
Reason for Rejection: Y9</t>
  </si>
  <si>
    <t>2YT1PG61350685</t>
  </si>
  <si>
    <t>THE ITEM IS REQUESTED BY THE LPD, FOR THE USE BY THE SWORN LEO'S. BUDGETARY CONSTRAINTS DO NOT ALLOW FOR THE PURCHASE OF A SPEED MONITORING DEVICE. THIS ITEM WOULD BE PLACED ON THE ROADWAYS IN SUPPORT OF LPD TRAFFIC ENFORCEMENT EFFORTS.</t>
  </si>
  <si>
    <t xml:space="preserve">
Sales Order #: 2289358027
RTD Screening Code: DOD
Reason for Rejection: Y9</t>
  </si>
  <si>
    <t>2YTGXY61350873</t>
  </si>
  <si>
    <t>THIS BOAT, PATROL,FIBERGL IS REQUESTED BY HOLLY HILL POLICE DEPARTMENT FOR USE BY HOLLY HILL PD OFFICERS FOR AQUATIC SEARCH AND RESCUE IN PONDS WITHIN THE JURISDICTION AS WELL AS LAKES BORDERING JURISDICTION IN WHICH WE HAVE MUTUAL AIDS IN PLACE.</t>
  </si>
  <si>
    <t>2YTRSD61350998</t>
  </si>
  <si>
    <t>THIS TRAILER IS REQUESTED BY HOLLY HILL POLICE DEPARTMENT, FOR USE BY HOLLY HILL PD OFFICERS TO WARN AND OBSERVE THE SPEED OF MOTORISTS.</t>
  </si>
  <si>
    <t xml:space="preserve">
Sales Order #: 2289210611
RTD Screening Code: DOD
Reason for Rejection: Y9</t>
  </si>
  <si>
    <t>2YTRSD61350871</t>
  </si>
  <si>
    <t>THE DILLON COUNTY SHERIFF'S OFFICE WILL UTILIZE THESE ITEMS ON THE FIRING RANGE TO TRAIN DEPUTIES IN DIFFERENT SCENARIOS SUCH AS MOVING TARGETS. THESE WILL GREATLY IMPROVE THE FOREARMS TRAINING FOR DEPUTIES THAT ARE USED TO SHOOTING AT A STILL TARGET. THIS WILL IMPROVE ACCURACY AND SHOOTING RESPONSE TIMES. THIS WILL ALSO HELP BRING THE FIRING RANGE UP TO DATE AND REMOVE A LINE ITEM FROM THE BUDGET. I UNDERSTAND THAT THE ITEMS MAY NEED REPAIRS TO WORK CORRECTLY OR THEY MAY NOT FUNCTION AT ALL.</t>
  </si>
  <si>
    <t xml:space="preserve">
Sales Order #: 2289338544
RTD Screening Code: DOD
Reason for Rejection: Y9</t>
  </si>
  <si>
    <t>2YTDCS61351011</t>
  </si>
  <si>
    <t>CURRENTLY WE HAVE NO NIGHT VISION CAPABILITY.  THIS ITEM WOULD BE USED FROM SHORE FOR REPORTS OF SWIMMERS IN THE OCEAN DURING NIGHT TIME HOURS OR TO AID IN SEARCHING FOR MISSING PERSONS ALONG THE BEACH DURING NIGHT TIME HOURS.</t>
  </si>
  <si>
    <t>Rejected by EJC2716.  Comments: condition code.</t>
  </si>
  <si>
    <t>2YTLMG61421486</t>
  </si>
  <si>
    <t>SURFSIDE BEACH POLICE DEPT (2YTLMG)</t>
  </si>
  <si>
    <t>THE DILLON COUNTY SHERIFF'S OFFICE WILL UTILIZE THESE ITEMS TO BE PLACED ON DEPUTIES ISSUED DEPARTMENT PATROL RIFLES AND SHOTGUNS. I UNDERSTAND THAT THESE ITEMS MAY BE DAMAGED AND NOT WORK AT ALL OR CORRECTLY</t>
  </si>
  <si>
    <t>SIGHT,HOLOGRAPHIC</t>
  </si>
  <si>
    <t>2YTDCS61421239</t>
  </si>
  <si>
    <t>FOR EASLEY POLICE DEPARTMENT, FOR USE BY EASLEY POLICE OFFICERS DURING DAILY OPERATIONS AND TACTICAL OPERATIONS TO HELP ENHANCE NOT ONLY OFFICER SAFETY IN POTENTIALLY KINETIC ENVIRONMENTS BUT ALSO PROVIDE THE ABILITY TO BETTER POSITIVELY IDENTIFY BYSTANDERS, SUSPECTS, AND FRIENDLY PERSONNEL.</t>
  </si>
  <si>
    <t xml:space="preserve">
Sales Order #: 2277943849
RTD Screening Code: DOD
Reason for Rejection: Y9</t>
  </si>
  <si>
    <t>2YTQ7360090388</t>
  </si>
  <si>
    <t>EASLEY PD (2YTQ73)</t>
  </si>
  <si>
    <t xml:space="preserve">
Sales Order #: 2288535288
RTD Screening Code: DOD
Reason for Rejection: Y9</t>
  </si>
  <si>
    <t>2YTGXY61280470</t>
  </si>
  <si>
    <t>THIS TRAILER, CARGO IS REQUESTED BY THE HOLLY HILL POLICE DEPARTMENT, FOR USE BY HOLLY HILL PD OFFICERS TO STORE AND CARRY PD EQUIPMENT TO VARIOUS SCENES SUCH AS BUT NOT LIMITED TO SEARCH AND RESCUES, NATURAL DISASTERS, AND FUGITIVE APPREHENSIONS.</t>
  </si>
  <si>
    <t>2YTRSD61280279</t>
  </si>
  <si>
    <t>FOR EASLEY POLICE DEPARTMENT, FOR USE BY EASLEY POLICE OFFICERS DURING TACTICAL OPERATIONS TO HELP EHANCE OFFICER SAFETY IN POTENTIALLY HAZARDOUS ENVIRONMENTS ON HIGH RISK CALLOUT SITUATIONS TO TRANSPORT OPERATORS, EQUIPMENT, AND SUPPLIES. VEHICLE WILL ALSO BE USED A STAND IN COMMAND POST FOR STAFF TO MEET AND ASSESS OPERATIONAL NEEDS.</t>
  </si>
  <si>
    <t xml:space="preserve">
Sales Order #: 2288646737
RTD Screening Code: DOD
Reason for Rejection: Y9</t>
  </si>
  <si>
    <t>2YTQ7361280360</t>
  </si>
  <si>
    <t>THE DILLON COUNTY SHERIFF'S OFFICE WILL UTILIZE THESE TO ISSUE TO DEPUTIES FOR DUTY USE AND TACTICAL SITUATIONS</t>
  </si>
  <si>
    <t xml:space="preserve">
Sales Order #: 2289338556
RTD Screening Code: DOD
Reason for Rejection: Y9</t>
  </si>
  <si>
    <t>2YTDCS61281072</t>
  </si>
  <si>
    <t>THE DILLON COUNTY SHERIFF'S OFFICE WILL UTILIZE THESE ITEMS TO ISSUE TO DEPUTIES TO BE USED ON THEIR DEPARTMENT ISSUED PATROL RIFLE OR SHOTGUN. I UNDERSTAND THAT THESE MAY BE DAMAGED AND NOT WORK CORRECTLY OR AT ALL.</t>
  </si>
  <si>
    <t xml:space="preserve">
Sales Order #: 2288524670
RTD Screening Code: DOD
Reason for Rejection: Y9</t>
  </si>
  <si>
    <t>2YTDCS61280008</t>
  </si>
  <si>
    <t>REQUESTED BY NORTH MYRTLE BEACH POLICE DEPARTMENT TO BE USED BY NMB POLICE OFFICERS DURING LARGE SCALE EVENTS, HURRICANES AND OTHER NATURAL DISASTERS TO PROVIDE SAFE LOCATIONS FOR EVENTS AND WORKERS.</t>
  </si>
  <si>
    <t>Rejected by EJC2716.  Comments: justification.</t>
  </si>
  <si>
    <t>2YT1PG61350669</t>
  </si>
  <si>
    <t>THE DILLON COUNTY SHERIFF'S OFFICE WILL UTILIZE THIS FOR EQUIPMENT STORAGE IN THE SHERIFF'S OFFICE SHOP.</t>
  </si>
  <si>
    <t xml:space="preserve">
Sales Order #: 2287246350
RTD Screening Code: DOD
Reason for Rejection: YH</t>
  </si>
  <si>
    <t>CONTAINER,SHELF SYS</t>
  </si>
  <si>
    <t>2YTDCS61078503</t>
  </si>
  <si>
    <t>THE DILLON COUNTY SHERIFF'S OFFICE WILL UTILIZE THIS ITEM TO PROVIDE EXTRA MARKSMANSHIP TRAINING TO PATROL DEPUTIES AND RESOURCE OFFICERS. THIS WILL LEAD TO ENHANCES IN MARKSMANSHIP WITHOUT THE USE OF LIVE FIRE</t>
  </si>
  <si>
    <t>2YTDCS61280660</t>
  </si>
  <si>
    <t>THE DILLON COUNTY SHERIFF'S OFFICE WILL UTILIZE THESE ITEMS TO ISSUE TO DEPUTIES FOR DUTY USE, ALONG WITH TRAINING SCENARIOS SUCH AS TASER, FIRING RANGE, AND ACTIVE SHOOTER TRAINING</t>
  </si>
  <si>
    <t xml:space="preserve">
Sales Order #: 2287852513
RTD Screening Code: DOD
Reason for Rejection: Y9</t>
  </si>
  <si>
    <t>FACESHIELD,INDUSTRI</t>
  </si>
  <si>
    <t>2YTDCS61219724</t>
  </si>
  <si>
    <t>THE DILLON COUNTY SHERIFF'S OFFICE WILL UTILIZE THESE ITEMS TO ISSUED TO DEPUTIES FOR DUTY USE AND CARRYING OF EQUIPMENT</t>
  </si>
  <si>
    <t xml:space="preserve">
Sales Order #: 2288229874
RTD Screening Code: DOD
Reason for Rejection: Y9</t>
  </si>
  <si>
    <t>2YTDCS61219575</t>
  </si>
  <si>
    <t>THE DILLON COUNTY SHERIFF'S OFFICE WILL UTILIZE THESE ITEMS TO ISSUE TO DEPUTIES FOR DUTY USE, I UNDERSTAND THESE ITEMS MAY BE DAMAGED AND NOT WORK PROPERLY</t>
  </si>
  <si>
    <t xml:space="preserve">
Sales Order #: 2288229890
RTD Screening Code: DOD
Reason for Rejection: Y9</t>
  </si>
  <si>
    <t>2YTDCS61219388</t>
  </si>
  <si>
    <t>THIS ALL TERRAIN VEHICLE, 4 WHEEL IS REQUESTED BY HOLLY HILL POLICE DEPARTMENT FOR USE BY HOLLY HILL PD OFFICERS FOR SEARCH AND RESCUE, OFF ROAD FUGITIVE APPREHENSION AND EMERGENCY SITUATIONS.</t>
  </si>
  <si>
    <t xml:space="preserve">
Sales Order #: 2288358969
RTD Screening Code: DOD
Reason for Rejection: Y9</t>
  </si>
  <si>
    <t>2YTRSD61280295</t>
  </si>
  <si>
    <t xml:space="preserve">
Sales Order #: 2288535279
RTD Screening Code: DOD
Reason for Rejection: Y9</t>
  </si>
  <si>
    <t>2YTRSD61280293</t>
  </si>
  <si>
    <t>2YTRSD61280292</t>
  </si>
  <si>
    <t>2YTRSD61280291</t>
  </si>
  <si>
    <t>THE OCONEE COUNTY SHERIFFS OFFICE REQUEST ONE SCOOP TYPE LOADER TO BE USED BY DEPUTIES OF THE SHERIFFS OFFICE TO UPGRADE AND EXPAND THE AGENCYS ADVANCED FIREARMS TRAINING FACILITY.  I UNDERSTAND ITS CONDITION AND IT IS STILL REQUESTED.</t>
  </si>
  <si>
    <t>2YT1X261280165</t>
  </si>
  <si>
    <t>THE OCONEE COUNTY SHERIFFS OFFICE REQUEST ONE TRUCK CARGO TO BE USED BY DEPUTIES TO CONDUCT PATROL OPERATIONS AND LAW ENFORCEMENT INVESTIGATIONS.  I UNDERSTAND THE CONDITION OF THIS VEHICLE AND IT IS STILL REQUESTED.</t>
  </si>
  <si>
    <t xml:space="preserve">
Sales Order #: 2288582742
RTD Screening Code: DOD
Reason for Rejection: Y9</t>
  </si>
  <si>
    <t>2YT1X261280160</t>
  </si>
  <si>
    <t>FOR EASLEY POLICE DEPARTMENT, FOR USE BY EASLEY POLICE OFFICERS DURING TACTICAL OPERATIONS TO HELP EHANCE OFFICER SAFETY IN POTENTIALLY HAZARDOUS ENVIRONMENTS ON HIGH RISK CALLOUT SITUATIONS TO ASSIST IN TACTICAL ENTRY OF SPACES AND WELL AS ASSIST OFFICERS IN THE RESCUE OF INDIVIDUALS THAT MAY BE NON THREATS BUT SITUATIONAL VICTIMS.</t>
  </si>
  <si>
    <t>2YTQ7361280362</t>
  </si>
  <si>
    <t>THE DILLON COUNTY SHERIFF'S OFFICE WILL UTILIZE THESE ITEMS TO ISSUE TO SHIFT SUPERVISORS. THESE ITEMS WILL ASSIST IN GAINING ENTRY INTO BUILDINGS AND RESIDENCES IN THE EVENT OF AN EMERGENCY, BARRICADED SUBJECT, OR SEARCH WARRANT. THIS WILL INCREASE ENTRY TIMES AND AID IN OFFICER SAFETY.</t>
  </si>
  <si>
    <t>2YTDCS61280397</t>
  </si>
  <si>
    <t>THE DILLON COUNTY SHERIFF'S OFFICE WILL UTILIZE THIS ITEM BY ISSUING TO DEPUTIES FOR DUTY USE. THIS ITEM LETS OFFICERS GATHER INFORMATION AND ASSESS DANGEROUS SITUATIONS LIKE HOSTAGE SCENES OR BOMB THREATS WITHOUT PUTTING PEOPLE AT IMMEDIATE RISK. THIS FITS WITHIN LEGAL STANDARDS LIKE GRAHAM V CONNOR WHICH ALLOW REASONABLE METHODS TO MANAGE THREATS. I UNDERSTAND THIS ITEM MAY NOT FUNCTION CORRECTLY OR AT ALL GIVEN THE CONDITION CODE.</t>
  </si>
  <si>
    <t>2YTDCS61149630</t>
  </si>
  <si>
    <t>THE DILLON COUNTY SHERIFF'S OFFICE WILL UTILIZE THESE ITEMS FOR ISSUING TO DEPUTIES FOR DUTY USE. I DO UNDERSTAND THESE DO NOT OFFER ANY BALLISTIC PROTECTION</t>
  </si>
  <si>
    <t>2YTDCS61219391</t>
  </si>
  <si>
    <t>FOR EASLEY POLICE DEPARTMENT, FOR USE BY EASLEY POLICE OFFICERS DURING TACTICAL OPERATIONS TO HELP ENHANCE NOT ONLY OFFICER SAFETY IN POTENTIALLY HAZARDOUS ENVIRONMENTS ON HIGH RISK CALLOUT SITUATIONS BUT ALSO ASSIST IN STATE OF EMERGENCY SITUATIONS IN OUR AREA. VEHICLE WOULD SERVE MULTIPLE FUNCTIONS WITHIN THE AGENCY.</t>
  </si>
  <si>
    <t>Rejected by EJC2716.  Comments: demil code.</t>
  </si>
  <si>
    <t>2YTQ7361219610</t>
  </si>
  <si>
    <t>FOR EASLEY POLICE DEPARTMENT, FOR USE BY EASLEY POLICE OFFICERS DURING TACTICAL OPERATIONS TO HELP ENHANCE NOT ONLY OFFICER SAFETY IN POTENTIALLY HAZARDOUS ENVIRONMENTS ON HIGH RISK CALLOUT SITUATIONS BUT ALSO ASSIST IN STATE OF EMERGENCY SITUATIONS IN OUR AREA. VEHICLE WOULD SERVE MULTIPLE FUNCTIONS WITHIN THE AGENCY TO HELP OFFICERS AND COMMUNITY MEMBERS ALIKE.</t>
  </si>
  <si>
    <t>Rejected by EJC2716.  Comments: truck has frag kit installed..</t>
  </si>
  <si>
    <t>2YTQ7361219602</t>
  </si>
  <si>
    <t>THE DILLON COUNTY SHERIFF'S OFFICE WILL UTILIZE THESE ITEMS TO ISSUE TO DEPUTIES FOR DUTY USE. SUCH AS SEARCH AND RESCUE, BARRICADED SUBJECTS, EXTRICATION OF TRAPPED VICTIMS IN ACCIDENTS.
I UNDERSTAND THAT THESE ITEMS MAY BE DAMAGED AND NOT WORKING PROPERLY</t>
  </si>
  <si>
    <t>2YTDCS61219709</t>
  </si>
  <si>
    <t>THE DILLON COUNTY SHERIFF'S OFFICE WILL UTILIZE THESE ITEMS TO ISSUE TO PATROL DEPUTIES FOR DUTY USE</t>
  </si>
  <si>
    <t>JUSTIFICATION: Please provide a justification that states these three requirements. We need to know that it will be used by the requesting Law Enforcement Agency, used for a Law Enforcement purpose and be persuasive. Provide specific examples of how the item will be used.</t>
  </si>
  <si>
    <t>2YTDCS61219395</t>
  </si>
  <si>
    <t>THE DILLON COUNTY SHERIFF'S OFFICE WILL UTILIZE THESE ITEMS BY ISSUING THEM TO DEPUTIES FOR DUTY USE.</t>
  </si>
  <si>
    <t>2YTDCS61129379</t>
  </si>
  <si>
    <t>THE DILLON COUNTY SHERIFF'S OFFICE WILL UTILIZE THIS ITEM BY ISSUING IT TO DEPUTIES FOR DUTY USE. THIS WILL HELP LOCATE SUSPECTS AND SEARCH AND RESCUE. I UNDERSTAND THIS ITEM MAY BE DAMAGED AND NOT WORK AT ALL OR PROPERLY.</t>
  </si>
  <si>
    <t>2YTDCS61149266</t>
  </si>
  <si>
    <t>REQUESTED BY NORTH MYRTLE BEACH POLICE DEPARTMENT TO BE USED BY NMB POLICE TRAFFIC DIVISION FOR STORAGE AND DEPLOYMENT OF AGENCY TRAFFIC CONES.</t>
  </si>
  <si>
    <t xml:space="preserve">
Sales Order #: 2287242435
RTD Screening Code: DOD
Reason for Rejection: Y9</t>
  </si>
  <si>
    <t>2YT1PG61078281</t>
  </si>
  <si>
    <t>THE DILLON COUNTY SHERIFF'S OFFICE WILL UTILIZE THESE ITEMS TO ISSUE TO DEPUTIES FOR DUTY USE. THIS WILL ASSIST IN SUSPECT TRACKING AND SEARCH AND RESCUE IN LOW OR NO LIGHT CONDITIONS. I UNDERSTAND THAT THESE ITEMS MAY BE DAMAGED AND NOT WORKING AT ALL OR CORRECTLY.</t>
  </si>
  <si>
    <t xml:space="preserve">
Sales Order #: 2287823764
RTD Screening Code: DOD
Reason for Rejection: Y9</t>
  </si>
  <si>
    <t>2YTDCS61149156</t>
  </si>
  <si>
    <t>THE DILLON COUNTY SHERIFF'S OFFICE WILL UTILIZE THESE ITEMS TO ISSUE TO DEPUTIES FOR DUTY USE. THIS WILL ASSIST IN SUSPECT TRACKING AND SEARCH AND RESCUE. I UNDERSTAND THAT THESE ITEMS MAY BE DAMAGED AND NOT WORKING AT ALL OR CORRECTLY</t>
  </si>
  <si>
    <t xml:space="preserve">
Sales Order #: 2287761817
RTD Screening Code: DOD
Reason for Rejection: Y9</t>
  </si>
  <si>
    <t>TARGET LOCATOR MODULE</t>
  </si>
  <si>
    <t>2YTDCS61149155</t>
  </si>
  <si>
    <t>THE DILLON COUNTY SHERIFF'S OFFICE WILL UTILIZE THESE ITEMS TO ISSUE TO DEPUTIES FOR THEIR DEPARTMENT PATROL RIFLES. I UNDERSTAND THAT THESE ITEMS MAY NOT WORK PROPERLY OR MAY BE DAMAGED.</t>
  </si>
  <si>
    <t>SIGHT,BORE,OPTICAL</t>
  </si>
  <si>
    <t>2YTDCS61079160</t>
  </si>
  <si>
    <t>THE DILLON COUNTY SHERIFF'S OFFICE WILL UTILIZE THIS ITEM BY ISSUING IT TO DEPUTIES TO ASSIST WITH APPREHENSION OF SUSPECTS AT NIGHT AND LOW LIGHT CONDITIONS. I UNDERSTAND THAT THE CONDITION CODE MAY MEAN THIS ITEM IS NOT WORKING.</t>
  </si>
  <si>
    <t>2YTDCS61078696</t>
  </si>
  <si>
    <t>FOR EASLEY POLICE DEPARTMENT AND USE BY EASLEY POLICE OFFICERS DURING TACTICAL AND PATROL OPERATIONS. ITEMS WILL PROVIDE AN EXTRA LEVEL OF PROTECTION AND HELP ENHANCE OFFICER SAFETY DURING CRITICAL INCIDENTS THAT COULD EXCEED THE PROTECTIVE LEVEL OF ISSUED BODY ARMOR.</t>
  </si>
  <si>
    <t>2YTQ7361289159</t>
  </si>
  <si>
    <t>THE DILLON COUNTY SHERIFF'S OFFICE WILL UTILIZE THESE ITEMS BY ISSUING THEM TO DEPUTIES. THERMAL IMAGING CAPABILITY WILL ENHANCE OFFICER SAFETY, IMPROVE SUSPECT APPREHENSION RATES IN LOW-LIGHT CONDITIONS, AND SUPPORT SEARCH-AND-RESCUE OPERATIONS. THE TECHNOLOGY REDUCES RISK TO BOTH OFFICERS AND THE PUBLIC BY INCREASING SITUATIONAL AWARENESS AND MINIMIZING THE NEED FOR FORCE.</t>
  </si>
  <si>
    <t>2YTDCS61149154</t>
  </si>
  <si>
    <t>THE DILLON COUNTY SHERIFF'S OFFICE WILL UTILIZE THESE ITEMS BY ISSUING THEM TO DEPUTIES FOR SURVEILLANCE, SEARCH AND RESCUE, AND SUSPECT TRACKING.</t>
  </si>
  <si>
    <t>2YTDCS61149108</t>
  </si>
  <si>
    <t>THE DILLON COUNTY SHERIFF'S OFFICE WILL UTILIZE THESE ITEMS TO ISSUE TO PATROL DEPUTIES ALLOWING THEM TO CLIP A LIGHT TO THEIR VEST FOR HANDS FREE OPERATIONS. I AM AWARE OF THE CONDITION CODE AND KNOW SOME ITEMS MAY NOT WORK.</t>
  </si>
  <si>
    <t xml:space="preserve">
Sales Order #: 2287297618
RTD Screening Code: DOD
Reason for Rejection: Y9</t>
  </si>
  <si>
    <t>2YTDCS61078482</t>
  </si>
  <si>
    <t>THE DILLON COUNTY SHERIFF'S OFFICE WILL UTILIZE THIS ITEM FOR FLEET VEHICLE AND EQUIPMENT MAINTENANCE</t>
  </si>
  <si>
    <t xml:space="preserve">
Sales Order #: 2287628011
RTD Screening Code: DOD
Reason for Rejection: Y9</t>
  </si>
  <si>
    <t>WRENCH SET,COMBINATION BOX AND OPEN END</t>
  </si>
  <si>
    <t>2YTDCS61148903</t>
  </si>
  <si>
    <t>THE DILLON COUNTY SHERIFF'S OFFICE WILL UTILIZE THESE ITEMS TO ISSUE TO SHIFT SUPERVISORS FOR DAY TO DAY DUTY USE, SUSPECT TRACKING AND SEARCH AND RESCUE IN LOW LIGHT CONDITIONS</t>
  </si>
  <si>
    <t>2YTDCS61148906</t>
  </si>
  <si>
    <t>FOR EASLEY POLICE DEPARTMENT, FOR USE BY EASLEY POLICE OFFICERS DURING NIGHT OPERATIONS AND TACTICAL OPERATIONS TO HELP ENHANCE NOT ONLY OFFICER SAFETY IN POTENTIALLY HAZARDOUS ENVIRONMENTS ON HIGH RISK CALLOUT SITUATIONS.</t>
  </si>
  <si>
    <t>2YTQ7361288632</t>
  </si>
  <si>
    <t>THE DILLON COUNTY SHERIFF'S OFFICE WILL UTILIZE THESE ITEMS BY ISSUING THEM TO DEPUTIES ALONG WITH THE ENTRENCHING TOOL FOR STORAGE IN PATROL CARS</t>
  </si>
  <si>
    <t>CARRIER, ENTRENCHING</t>
  </si>
  <si>
    <t>2YTDCS61018813</t>
  </si>
  <si>
    <t>THE DILLON COUNTY SHERIFF'S OFFICE WILL UTILIZE THIS ITEM FOR ISSUING TO DEPUTIES FOR STORAGE AND TRANSPORTATION OF ITEMS DURING DAY TO DAY DUTY USE INCLUDING CRIME SCENE PROCESSING ITEMS AND DUTY ELECTRONICS</t>
  </si>
  <si>
    <t>MOLLE RUCKSACK SET, MEDIUM - OCP</t>
  </si>
  <si>
    <t>2YTDCS61018812</t>
  </si>
  <si>
    <t>THE DILLON COUNTY SHERIFF'S OFFICE WILL UTILIZE THESE ITEMS BY ISSUING THEM TO DEPUTIES FOR MAGAZINE STORAGE IN THEIR PATROL CAR</t>
  </si>
  <si>
    <t>2YTDCS61018811</t>
  </si>
  <si>
    <t>THE SOUTH CAROLINA LAW ENFORCEMENT DIVISION WOULD RESPECTFULLY REQUEST THESE LAPTOP CASES FOR USE BY OUR LAW ENFORCEMENT AGENTS TO CARRY AND PROTECT THEIR OFFICIAL COMPUTER LAPTOPS IN WHILE PERFORMING THEIR LAW ENFORCEMENT DUTIES.</t>
  </si>
  <si>
    <t>2YTKTH61078688</t>
  </si>
  <si>
    <t>THE DILLON COUNTY SHERIFF'S OFFICE WILL UTILIZE THESE ITEMS TO ISSUED TO DEPUTIES FOR TRANSPORTATION OF DUTY ITEMS AND CRIME SCENE PROCESSING EQUIPMENT</t>
  </si>
  <si>
    <t xml:space="preserve">
Sales Order #: 2287217440
RTD Screening Code: DOD
Reason for Rejection: Y9</t>
  </si>
  <si>
    <t>2YTDCS61078283</t>
  </si>
  <si>
    <t>THE DILLON COUNTY SHERIFF'S OFFICE WILL UTILIZE THESE ITEMS TO ISSUED TO PATROL DEPUTIES TO ASSIST IN THERE DAY TO DAY DUTIES</t>
  </si>
  <si>
    <t xml:space="preserve">
Sales Order #: 2287045321
RTD Screening Code: DOD
Reason for Rejection: Y9</t>
  </si>
  <si>
    <t>KNIFE, COMBAT, WITH SHEATH</t>
  </si>
  <si>
    <t>2YTDCS61008060</t>
  </si>
  <si>
    <t>THE DILLON COUNTY SHERIFF'S OFFICE WILL UTILIZE THESE ITEMS BY ISSUING THEM TO DEPUTIES. DEPUTIES CARRY FIXED-BLADE KNIVES BECAUSE THEY ARE RELIABLE, QUICK TO USE, AND DURABLE TOOLS. THEY WORK IMMEDIATELY WITHOUT MECHANICAL FAILURE, ARE STRONG ENOUGH FOR TOUGH TASKS, AND ARE USEFUL IN EMERGENCIES LIKE CUTTING SEATBELTS OR CLOTHING. THEY CAN ALSO SERVE AS A LAST-RESORT BACKUP TOOL IF NEEDED.</t>
  </si>
  <si>
    <t xml:space="preserve">
Sales Order #: 2287045325
RTD Screening Code: DOD
Reason for Rejection: Y9</t>
  </si>
  <si>
    <t>2YTDCS61007747</t>
  </si>
  <si>
    <t xml:space="preserve">
THE ITEMS ARE REQUESTED BY THE LORIS POLICE DEPARTMENT, FOR THE USE BY THE SWORN LAW ENFORCEMENT OFFICERS WHILE ON-DUTY WITH THE LORIS POLICE DEPART DURING DAILY OPERATIONS MISSIONS IN DIRECT SUPPORT OF OFFICIAL LAW ENFORCEMENT DUTIES. THESE TABLETS WILL BE INSTALLED IN THE COMMAND STAFF VEHICLES TO BE USED FOR COMMUNICATION DURING PATROLLING</t>
  </si>
  <si>
    <t>Rejected by EJC2716.  Comments: cannot issue. must be new in box.</t>
  </si>
  <si>
    <t>2YTGXY61008422</t>
  </si>
  <si>
    <t>..</t>
  </si>
  <si>
    <t>Rejected by EJC2716.  Comments: no justification.</t>
  </si>
  <si>
    <t>2YTDCS61078284</t>
  </si>
  <si>
    <t>THE DILLON COUNTY SHERIFF'S OFFICE WILL UTILIZE THIS ITEM FOR THE SPECIAL RESPONSE TEAM FOR BARRICADED SUBJECTS, BOMB THREATS, AND ACTIVE SHOOTER EVENTS. I UNDERSTAND THIS ITEM MAY BE BROKEN AND NEED REPAIRS.</t>
  </si>
  <si>
    <t>2YTDCS61218069</t>
  </si>
  <si>
    <t>THE DILLON COUNTY SHERIFF'S OFFICE WILL UTILIZE THIS ITEM ON DEPUTIES PATROL RIFLES, WITH PROPER TRAINING ON THE ITEM. RIFLE OPTICS SIGNIFICANTLY IMPROVE SIGHT ALIGNMENT AND TARGET DISCRIMINATION, PARTICULARLY IN LOW-LIGHT OR VISUALLY COMPLEX CONDITIONS. THIS INCREASED CLARITY HELPS REDUCE THE LIKELIHOOD OF MISSED SHOTS OR UNINTENDED IMPACTS, DIRECTLY CONTRIBUTING TO SAFER OUTCOMES.</t>
  </si>
  <si>
    <t xml:space="preserve">
Sales Order #: 2286425678
RTD Screening Code: DOD
Reason for Rejection: Y9</t>
  </si>
  <si>
    <t>2YTDCS60937166</t>
  </si>
  <si>
    <t>THE DILLON COUNTY SHERIFF'S OFFICE WILL UTILIZE THESE ITEMS BY REPLACING WORN AND OR NOT WORKING KEYBOARDS THROUGHOUT THE OFFICE.</t>
  </si>
  <si>
    <t xml:space="preserve">
Sales Order #: 2286712840
RTD Screening Code: DOD
Reason for Rejection: Y9</t>
  </si>
  <si>
    <t>2YTDCS60937390</t>
  </si>
  <si>
    <t>THE DILLON COUNTY SHERIFF'S OFFICE WILL UTILIZE THIS ITEM BY ISSUING IT TO DEPUTIES WHO ARE MEMBERS OF THE SHERIFF'S OFFICE SPECIAL RESPONSE TEAM</t>
  </si>
  <si>
    <t>2YTDCS61008062</t>
  </si>
  <si>
    <t>THE DILLON COUNTY SHERIFF'S OFFICE WILL UTILIZE THESE ITEMS BY ISSUING THEM TO DEPUTIES FOR USE IN TRAINING ENVIRONMENTS, SUCH AS THE FIRING RANGE. SECONDLY THESE HEADSETS CAN BE TIED INTO OFFICERS RADIOS DURING OPERATIONS WHICH WILL GREATLY INCREASE THE COMMUNICATION BETWEEN OFFICERS RESULTING IN NOT ONLY OFFICER SAFETY BUT THE SAFETY OF THE PUBLIC</t>
  </si>
  <si>
    <t>HEADSET,ELECTRICAL</t>
  </si>
  <si>
    <t>2YTDCS61007889</t>
  </si>
  <si>
    <t>REQUESTING THESE ITEMS TO SUPPLEMENT OUR SWAT AND PATROL NIGHT VISION TEAM. I ACKNOWLEDGE CONDITION AND SHIPPING PICKUP RESPONSIBILITIES.</t>
  </si>
  <si>
    <t xml:space="preserve">
Sales Order #: 2289574663
RTD Screening Code: DOD
Reason for Rejection: YG</t>
  </si>
  <si>
    <t>2YTSZY61421434</t>
  </si>
  <si>
    <t>PSP WILL USE THESE ON WARRANT SERVICES AND OTHER HIGH RISK INCIDENTS.</t>
  </si>
  <si>
    <t>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statements need to be in the justification comment box.</t>
  </si>
  <si>
    <t>2YTJA961914827</t>
  </si>
  <si>
    <t>LOWER ALLEN TOWNSHIP POLICE DEPARTMENT REQUESTS THESE ITEMS FOR USE BY OFFICERS IN CARRYING VARIOUS FIRST AID SUPPLIES IN THEIR PATROL BAGS IN VEHICLES FOR RAPID DEPLOYMENT IN EMERGENCY SITUATIONS.</t>
  </si>
  <si>
    <t xml:space="preserve">
Sales Order #: 2291758541
RTD Screening Code: DOD
Reason for Rejection: Y9</t>
  </si>
  <si>
    <t>2YTGZM61773959</t>
  </si>
  <si>
    <t>PSP WILL USE THESE FOR HIGH RISK WARRANT SERVICES.</t>
  </si>
  <si>
    <t xml:space="preserve">
Sales Order #: 2291157752
RTD Screening Code: GSA
Reason for Rejection: YH</t>
  </si>
  <si>
    <t>2YTJA961703417</t>
  </si>
  <si>
    <t>THE SPRINGFIELD TOWNSHIP POLICE DEPARTMENT CONDUCTS ITS OWN VEHICLE MAINTENANCE AND REPAIR AND WE ARE ALWAYS LOOKING TO IMPROVE OUR ABILITY TO DO SUCH WITH THE ADDITION OF NEWER AND BETTER EQUIPMENT AND TOOLS. THIS SET APPEARS TO INCLUDE A LOT OF TOOLS THAT WILL UPGRADE OUR CURRENT INVENTORY. THESE TOOLS WILL BE KEPT IN THE POLICE MAINTENANCE GARAGE.</t>
  </si>
  <si>
    <t xml:space="preserve">
Sales Order #: 2291909334
RTD Screening Code: DOD
Reason for Rejection: Y9</t>
  </si>
  <si>
    <t>2YTLEC61774256</t>
  </si>
  <si>
    <t>SPRINGFIELD TOWNSHIP POLICE DEPT (2YTLEC)</t>
  </si>
  <si>
    <t>THE SPRINGFIELD TOWNSHIP POLICE DEPARTMENT HAS A LOT OF EQUIPMENT THAT IS HAULED, STORED, MANAGED, MOVED, ETC. AND THESE STRAPS WOULD ASSIST IN BETTER SECURING THIS EQUIPMENT AND MAKE FOR A MORE STANDARD STRAPPING SYSTEM.</t>
  </si>
  <si>
    <t xml:space="preserve">
Sales Order #: 2291410917
RTD Screening Code: DOD
Reason for Rejection: Y9</t>
  </si>
  <si>
    <t>TIE DOWN,CARGO,VEHI</t>
  </si>
  <si>
    <t>2YTLEC61773889</t>
  </si>
  <si>
    <t>LOWER ALLEN TOWNSHIP POLICE DEPARTMENT REQUESTS THIS ITEM FOR SECURE STORAGE AND TRANSPORTATION OF VARIOUS EQUIPMENT FOR TRAINING AND TACTICAL RESPONSE PURPOSES.</t>
  </si>
  <si>
    <t xml:space="preserve">
Sales Order #: 2291758540
RTD Screening Code: DOD
Reason for Rejection: Y9</t>
  </si>
  <si>
    <t>2YTGZM61773956</t>
  </si>
  <si>
    <t>LAW ENFORCEMENT USE-WYOMING AREA REGIONAL POLICE
TACTICAL TEAM</t>
  </si>
  <si>
    <t>JUSTIFICATION: Please provide a justification that states these three requirements. We need to know that it will be used by the requested Law Enforcement Agency, used for a Law Enforcement purpose and be persuasive. Provide specific examples of how the item will be used.</t>
  </si>
  <si>
    <t>2YTTCL61773831</t>
  </si>
  <si>
    <t>WYOMING AREA REGIONAL PD (2YTTCL)</t>
  </si>
  <si>
    <t>2YTTCL61773828</t>
  </si>
  <si>
    <t>2YTTCL61773827</t>
  </si>
  <si>
    <t>2YTTCL61773826</t>
  </si>
  <si>
    <t>2YTTCL61773825</t>
  </si>
  <si>
    <t>2YTTCL61773824</t>
  </si>
  <si>
    <t>2YTTCL61773823</t>
  </si>
  <si>
    <t>2YTTCL61773822</t>
  </si>
  <si>
    <t>LAW ENFORCEMENT USE-WYOMING AREA REGIONAL POLICE
PATROL AND TACTICAL TEAM USE</t>
  </si>
  <si>
    <t>THERMAL IMAGING SYS</t>
  </si>
  <si>
    <t>2YTTCL61773821</t>
  </si>
  <si>
    <t>2YTTCL61773820</t>
  </si>
  <si>
    <t>LAW ENFORCEMENT USE-WYOMING AREA REGIONAL POLICE</t>
  </si>
  <si>
    <t>2YTTCL61773819</t>
  </si>
  <si>
    <t>LAW ENFORCEMENT USE- WYOMING AREA REGIONAL POLICE</t>
  </si>
  <si>
    <t>2YTTCL61703830</t>
  </si>
  <si>
    <t>2YTTCL61703829</t>
  </si>
  <si>
    <t>LAW ENFORCEMENT USE-WYOMING AREA REGIONAL POLICE
TACTICAL TEAM USE</t>
  </si>
  <si>
    <t>2YTTCL61703818</t>
  </si>
  <si>
    <t>REQUESTING THIS ITEM TO UTILIZE FOR SWAT OPERATIONS AND DAILY PATROL OPS TO ENHANCE OFFICERS SAFETY DURING LOW-LIGHT OR NIGHT TIME OPERATIONS. I ACKNOWLEDGE CONDITION AND PICK UP RESPONSIBILITIES.</t>
  </si>
  <si>
    <t xml:space="preserve">
Sales Order #: 2289879837
RTD Screening Code: DOD
Reason for Rejection: YG</t>
  </si>
  <si>
    <t>2YTSZY61421695</t>
  </si>
  <si>
    <t xml:space="preserve">
Sales Order #: 2289879863
RTD Screening Code: DOD
Reason for Rejection: YG</t>
  </si>
  <si>
    <t>2YTSZY61421693</t>
  </si>
  <si>
    <t xml:space="preserve">
Sales Order #: 2289879881
RTD Screening Code: DOD
Reason for Rejection: YG</t>
  </si>
  <si>
    <t>2YTSZY61421691</t>
  </si>
  <si>
    <t>REQUESTING THESE ITEMS TO UTILIZE ON RIVER AND WATER OPERATIONS, AS THE MONONGAHELA RIVER FLOWS THROUGH OUR JURISDICTION. I ACKNOWLEDGE CONDITION AND PICK UP RESPONSIBILITIES.</t>
  </si>
  <si>
    <t xml:space="preserve">
Sales Order #: 2288349003
Reason for Rejection: Y8</t>
  </si>
  <si>
    <t>2YTSZY61149836</t>
  </si>
  <si>
    <t>REQUESTING THIS ITEM FOR NIGHT TIME AND LOW LIGHT OPERATIONS FOR SWAT, PATROL, AND RESCUE OPERATIONS. I ACKNOWLEDGE CONDITION AND SHIPPING RESPONSIBILITIES.</t>
  </si>
  <si>
    <t xml:space="preserve">
Sales Order #: 2290155484
RTD Screening Code: DOD
Reason for Rejection: Y9</t>
  </si>
  <si>
    <t>2YTSZY61562605</t>
  </si>
  <si>
    <t>LOWER ALLEN TOWNSHIP POLICE DEPARTMENT REQUESTS THESE ITEMS FOR USE BY OFFICERS IN TRANSPORTING EQUIPMENT AND VEHICLES TO AND FROM EMERGENCY RESPONSE SCENES AND TRAINING EXERCISES.</t>
  </si>
  <si>
    <t xml:space="preserve">
Sales Order #: 2290802629
RTD Screening Code: DOD
Reason for Rejection: Y9</t>
  </si>
  <si>
    <t>2YTGZM61633067</t>
  </si>
  <si>
    <t>TO BE USED BY DANVILLE POLICE TO ALLOW OFFICERS AND SUPPORT PERSONNEL TO WORK IN LOW LIGHT AND NO LIGHT ENVIRONMENTS WITHOUT ENDANGERING THEIR HEALTH AND SAFETY.</t>
  </si>
  <si>
    <t xml:space="preserve">
Sales Order #: 2285179819
RTD Screening Code: DOD
Reason for Rejection: Y9</t>
  </si>
  <si>
    <t>2YTC4G60654433</t>
  </si>
  <si>
    <t>DANVILLE PD (2YTC4G)</t>
  </si>
  <si>
    <t>REQUESTING THESE ITEMS TO UTILIZE FOR OUR SWAT AND PATROL SNIPER TEAM RIFLES. I ACKNOWLEDGE CONDITION AND SHIPPING PICKUP RESPONSIBILITIES.</t>
  </si>
  <si>
    <t xml:space="preserve">
Sales Order #: 2289574666
Reason for Rejection: YG</t>
  </si>
  <si>
    <t>2YTSZY61351435</t>
  </si>
  <si>
    <t>LOWER BURRELL CITY POLICE HAVE MULTIPLE OFFICERS ASSIGNED TO WESTMORELAND SWAT.  THIS IS A MULTIJURISDICTIONAL SWAT TEAM THAT COVERS THE NORTHERN PART OF WESTMORELAND COUNTY.  WE CURRENTLY COMPRISE 14 JURISDICTIONS AND ARE GROWING.   THESE BOOTS WOULD BE ISSUED TO SWAT OPERATORS TO WEAR ON DEPLOYMENTS</t>
  </si>
  <si>
    <t xml:space="preserve">
Sales Order #: 2288929834
RTD Screening Code: DOD
Reason for Rejection: YG</t>
  </si>
  <si>
    <t>2YTGZ061280509</t>
  </si>
  <si>
    <t>LOWER BURRELL CITY POLICE HAVE MULTIPLE OFFICERS ASSIGNED TO WESTMORELAND SWAT.  THIS IS A MULTIJURISDICTIONAL SWAT TEAM THAT COVERS PART OF WESTMORELAND COUNTY.  CURRENTLY WE ARE COMPRISED OF 14 JURISDICTIONS AND GROWING.  THESE BAGS WOULD BE USED FOR EQUIPMENT ON SWAT DEPLOYMENTS</t>
  </si>
  <si>
    <t xml:space="preserve">
Sales Order #: 2288929820
RTD Screening Code: DON
Reason for Rejection: YG</t>
  </si>
  <si>
    <t>2YTGZ061280508</t>
  </si>
  <si>
    <t>LOWER BURRELL CITY POLICE HAVE MULTIPLE OFFICERS ASSIGNED TO WESTMORELAND SWAT.  THIS IS A MULTIJURISDICTIONAL SWAT TEAM THAT COVERS THE NORTHERN PART OF WESTMORELAND COUNTY.  CURRENTLY, WE ARE COMPRISED OF 14 JURISDICTIONS AND GROWING.   THESE LADDERS WOULD BE USED FOR SWAT OPERATIONS</t>
  </si>
  <si>
    <t xml:space="preserve">
Sales Order #: 2288882139
RTD Screening Code: DON
Reason for Rejection: YG</t>
  </si>
  <si>
    <t>2YTGZ061280506</t>
  </si>
  <si>
    <t>LOWER ALLEN TOWNSHIP POLICE DEPARTMENT REQUESTS THESE ITEMS FOR USE BY OFFICERS IN SECURELY OBTAINING, STORING, AND ACCESSING DIGITAL EVIDENCE, SPECIFICALLY STORE SURVEILLANCE VIDEO OBTAINED FROM AREA BUSINESSES FREQUENTLY AS A ROUTINE INVESTIGATIVE DUTY.</t>
  </si>
  <si>
    <t xml:space="preserve">
Sales Order #: 2290216010
RTD Screening Code: DOD
Reason for Rejection: Y9</t>
  </si>
  <si>
    <t>USB FLASH DRIVE</t>
  </si>
  <si>
    <t>2YTGZM61562413</t>
  </si>
  <si>
    <t>LOWER ALLEN TOWNSHIP POLICE DEPARTMENT REQUESTS THESE ITEMS FOR USE WITH OUR DEPARTMENT VEHICLES AND TRAILERS IN SAFELY SECURING OPERATIONAL EQUIPMENT DURING TRANSPORT TO TRAINING AND EMERGENCY SCENES.</t>
  </si>
  <si>
    <t xml:space="preserve">
Sales Order #: 2290335260
RTD Screening Code: DOD
Reason for Rejection: Y9</t>
  </si>
  <si>
    <t>2YTGZM61562411</t>
  </si>
  <si>
    <t xml:space="preserve">
Sales Order #: 2290216014
RTD Screening Code: DOD
Reason for Rejection: Y9</t>
  </si>
  <si>
    <t>2YTSZY61562604</t>
  </si>
  <si>
    <t>THIS VEHICLE WILL SUPPORT LAW ENFORCEMENT MOBILITY FOR DRUG ENFORCEMENT, SEARCH OPERATIONS, MISSING PERSON INCIDENTS, AND SWAT SUPPORT. IT WILL ALSO ASSIST PATROL OF PARKS, WOODED AREAS, INCLUDING THE PENNYPACK TRAIL SYSTEM WHICH EXTENDS OVER 6 MILES STARTING IN THIS JURISDICTION. IT WILL ASSIST LAW ENFORCEMENT WITH CROWD CONTROL AND SECURITY DURING LARGE PUBLIC EVENTS, RAPID RESPONSE IN AREAS INACCESSIBLE TO PATROL VEHICLES, AND GENERAL LAW ENFORCEMENT PATROL AND PUBLIC SAFETY OPERATIONS.</t>
  </si>
  <si>
    <t xml:space="preserve">
Sales Order #: 2289356814
RTD Screening Code: DOD
Reason for Rejection: Y9</t>
  </si>
  <si>
    <t>2YTKDD61421333</t>
  </si>
  <si>
    <t>ROCKLEDGE POLICE DEPT (2YTKDD)</t>
  </si>
  <si>
    <t xml:space="preserve">
Sales Order #: 2289879851
RTD Screening Code: DOD
Reason for Rejection: Y9</t>
  </si>
  <si>
    <t>2YTSZY61421694</t>
  </si>
  <si>
    <t xml:space="preserve">
Sales Order #: 2289879878
RTD Screening Code: DOD
Reason for Rejection: Y9</t>
  </si>
  <si>
    <t>2YTSZY61421692</t>
  </si>
  <si>
    <t xml:space="preserve">
Sales Order #: 2289879849
RTD Screening Code: DOD
Reason for Rejection: Y9</t>
  </si>
  <si>
    <t>2YTSZY61421690</t>
  </si>
  <si>
    <t>LOWER ALLEN TWP POLICE REQUESTS THIS TRAILER TO BE UTILIZED FOR THE SECURE STORAGE OF EXCESS OVERFLOW PROPERTY AND FOR TRANSPORTING OFFROAD EMERGENCY RESPONSE VEHICLES AND EQUIPMENT FOR RESPONSE EXERCISES AND FIREARMS RANGE TRAININGS.</t>
  </si>
  <si>
    <t xml:space="preserve">
Sales Order #: 2289606321
RTD Screening Code: DOD
Reason for Rejection: Y9</t>
  </si>
  <si>
    <t>2YTGZM61421382</t>
  </si>
  <si>
    <t xml:space="preserve">
Sales Order #: 2289578567
RTD Screening Code: DOD
Reason for Rejection: Y9</t>
  </si>
  <si>
    <t>2YTGZM61421381</t>
  </si>
  <si>
    <t xml:space="preserve">
Sales Order #: 2289597512
RTD Screening Code: DOD
Reason for Rejection: Y9</t>
  </si>
  <si>
    <t>2YTGZM61421378</t>
  </si>
  <si>
    <t>TO BE USED BY DANVILLE POLICE AS A MOBILE COMMAND VEHICLE AND USED TO TRANSPORT MEN AND EQUIPMENT FROM LOCATION TO THE INCIDENT SITE.</t>
  </si>
  <si>
    <t xml:space="preserve">
Sales Order #: 2289841979
RTD Screening Code: DOD
Reason for Rejection: Y9</t>
  </si>
  <si>
    <t>2YTC4G61491940</t>
  </si>
  <si>
    <t>LOWER ALLEN TOWNSHIP POLICE DEPARTMENT REQUESTS THESE ITEMS FOR USE BY OUR TASK FORCE TEAM AND SPECIAL OPERATORS IN COMMUNICATING DURING OPERATIONAL MISSIONS.</t>
  </si>
  <si>
    <t>2YTGZM61422073</t>
  </si>
  <si>
    <t>LOWER ALLEN TOWNSHIP POLICE DEPARTMENT REQUESTS THESE TABLETS FOR USE BY OUR DETECTIVES AND ADMIN BUREAUS, AS WELL AS PATROLMAN IN ATTENDING TRAINING CLASSES AND COMPLETING ROUTINE DUTIES TO INCLUDE EMAIL, REPORTS, AND INVESTIGATIVE TASKS.</t>
  </si>
  <si>
    <t>2YTGZM61422072</t>
  </si>
  <si>
    <t>LOWER ALLEN TOWNSHIP POLICE DEPARTMENT REQUESTS 2 OF THESE TABLETS FOR OUR SCHOOL RESOURCE OFFICER AND FLEX INVESTIGATOR FOR ON-DUTY PORTABLE USE IN ROUTINE ADMINISTRATIVE DUTIES, INVESTIGATING CRIMINAL ACTS, AND REPORT COMPLETION.</t>
  </si>
  <si>
    <t xml:space="preserve">
Sales Order #: 2289767914
RTD Screening Code: DOD
Reason for Rejection: Y9</t>
  </si>
  <si>
    <t>2YTGZM61421630</t>
  </si>
  <si>
    <t xml:space="preserve">
Sales Order #: 2289958412
RTD Screening Code: DOD
Reason for Rejection: Y9</t>
  </si>
  <si>
    <t>2YTC4G61491942</t>
  </si>
  <si>
    <t xml:space="preserve">
Sales Order #: 2289606322
RTD Screening Code: DOD
Reason for Rejection: Y9</t>
  </si>
  <si>
    <t>2YTGZM61351390</t>
  </si>
  <si>
    <t>LOWER ALLEN TOWNSHIP POLICE DEPARTMENT REQUESTS THESE ITEMS FOR USE BY OFFICER IN FORCE-ON-FORCE TRAINING SCENARIOS FOR EMERGENCY OPERATIONS AND ACTIVE SHOOTER SCENARIOS.</t>
  </si>
  <si>
    <t xml:space="preserve">
Sales Order #: 2289777638
RTD Screening Code: DOD
Reason for Rejection: Y9</t>
  </si>
  <si>
    <t>TRAINING DEVICE,FIR</t>
  </si>
  <si>
    <t>2YTGZM61351628</t>
  </si>
  <si>
    <t>LOWER ALLEN TOWNSHIP POLICE REQUESTS THESE CASES FOR STORAGE OF TACTICAL EQUIPMENT IN OUR EMERGENCY RESPONSE VEHICLES FOR PROTECTION AND RAPID DEPLOYMENT ON SCENES.</t>
  </si>
  <si>
    <t xml:space="preserve">
Sales Order #: 2289358037
RTD Screening Code: DOD
Reason for Rejection: Y9</t>
  </si>
  <si>
    <t>2YTGZM61350940</t>
  </si>
  <si>
    <t>THIS ITEM IS BEING REQUESTED BY THE ALTOONA POLICE DEPT. TO BE USED BY OFFICERS FOR SIMUNITION, ACTIVE ASSAILANT AND NARCOTICS WARRANT TRAININGS.</t>
  </si>
  <si>
    <t>2YTAHQ61351636</t>
  </si>
  <si>
    <t>2YTGZM61351452</t>
  </si>
  <si>
    <t>REQUESTING THIS VEHICLE TO UTILIZE IN DAILY PATROL AND SWAT OPERATIONS TO PREVENT OFFICERS FROM USING THEIR POV FOR WORK PURPOSES. I ACKNOWLEDGE CONDITION AND PICK UP RESPONSIBILITIES.</t>
  </si>
  <si>
    <t xml:space="preserve">
Sales Order #: 2288563110
RTD Screening Code: DOD
Reason for Rejection: Y9</t>
  </si>
  <si>
    <t>2YTSZY61280024</t>
  </si>
  <si>
    <t>REQUESTING THIS VEHICLE TO UTILIZE IN DAILY PATROL AND AND SWAT OPERATIONS THAT REQUIRE A VEHICLE WITH EXPANDED CARGO SPACE FOR SPECIALITY EQUIPMENT. I ACKNOWLEDGE CONDITION AND PICK UP RESPONSIBILITIES.</t>
  </si>
  <si>
    <t xml:space="preserve">
Sales Order #: 2288563096
RTD Screening Code: DOD
Reason for Rejection: Y9</t>
  </si>
  <si>
    <t>2YTSZY61280015</t>
  </si>
  <si>
    <t>A STANDARDIZED TOOL KIT EQUIPS DEPUTIES TO HANDLE MINOR MECHANICAL ISSUES, SECURE SCENES, AND ASSIST THE PUBLIC WITHOUT DELAY. IT REDUCES DOWNTIME, SUPPORTS VEHICLE AND EQUIPMENT READINESS, AND ENHANCES SELF-SUFFICIENCY IN REMOTE OR URGENT SITUATIONS. ISSUING TOOL KITS IMPROVES OPERATIONAL EFFICIENCY, SAFETY, AND SERVICE TO THE COMMUNITY.</t>
  </si>
  <si>
    <t xml:space="preserve">
Sales Order #: 2287640273
RTD Screening Code: DOD
Reason for Rejection: YG</t>
  </si>
  <si>
    <t>2YTG1761148931</t>
  </si>
  <si>
    <t>A FAN IS JUSTIFIED TO IMPROVE AIR CIRCULATION AND MAINTAIN A SAFE, COMFORTABLE ENVIRONMENT FOR STAFF AND THE PUBLIC. PROPER VENTILATION HELPS PREVENT HEAT-RELATED ISSUES, SUPPORTS PRODUCTIVITY, AND ENSURES OPERATIONAL CONTINUITY, PARTICULARLY IN AREAS WITH LIMITED CLIMATE CONTROL OR DURING HIGH-TRAFFIC PERIODS.</t>
  </si>
  <si>
    <t xml:space="preserve">
Sales Order #: 2287568719
RTD Screening Code: DOD
Reason for Rejection: YG</t>
  </si>
  <si>
    <t>2YTG1761078661</t>
  </si>
  <si>
    <t>WOOD CUTTING SAW IS JUSTIFIED TO SUPPORT BOTH COMMUNITY OUTREACH AND EMERGENCY RESPONSE. DEPUTIES CAN ASSIST RESIDENTS DURING STORMS, REMOVE HAZARDOUS DEBRIS, AND CLEAR BLOCKED ROADWAYS QUICKLY. THIS TOOL IMPROVES RESPONSE TIME, ENHANCES PUBLIC SAFETY, AND REDUCES RELIANCE ON OUTSIDE AGENCIES FOR IMMEDIATE ASSISTANCE.</t>
  </si>
  <si>
    <t xml:space="preserve">
Sales Order #: 2287497517
RTD Screening Code: DOD
Reason for Rejection: YG</t>
  </si>
  <si>
    <t>WOODWORKING MACHINES</t>
  </si>
  <si>
    <t>DSWOODMAC</t>
  </si>
  <si>
    <t>2YTG1761078660</t>
  </si>
  <si>
    <t>TARPS ARE ESSENTIAL FOR THE SHERIFFS DEPARTMENT TO PROTECT EQUIPMENT, SECURE EVIDENCE, AND PROVIDE TEMPORARY SHELTER DURING EMERGENCIES OR OUTDOOR OPERATIONS. THEY SUPPORT SCENE PRESERVATION, DISASTER RESPONSE, AND TRANSPORT NEEDS WHILE ENSURING MATERIALS REMAIN PROTECTED FROM WEATHER, ENHANCING OPERATIONAL READINESS AND EFFICIENCY.</t>
  </si>
  <si>
    <t xml:space="preserve">
Sales Order #: 2287246507
RTD Screening Code: DOD
Reason for Rejection: YG</t>
  </si>
  <si>
    <t>2YTG1761078450</t>
  </si>
  <si>
    <t xml:space="preserve">
Sales Order #: 2287297620
RTD Screening Code: DOD
Reason for Rejection: YG</t>
  </si>
  <si>
    <t>2YTG1761078449</t>
  </si>
  <si>
    <t xml:space="preserve">
Sales Order #: 2287297619
RTD Screening Code: DOD
Reason for Rejection: YG</t>
  </si>
  <si>
    <t>2YTG1761078447</t>
  </si>
  <si>
    <t xml:space="preserve">
Sales Order #: 2287246511
RTD Screening Code: DOD
Reason for Rejection: YG</t>
  </si>
  <si>
    <t>2YTG1761078446</t>
  </si>
  <si>
    <t>GAITERS PROVIDE ESSENTIAL PROTECTION FOR DEPUTIES OPERATING IN ROUGH TERRAIN AND ADVERSE WEATHER. THEY HELP KEEP DEBRIS, WATER, AND SNOW OUT OF FOOTWEAR, IMPROVING COMFORT, MOBILITY, AND SAFETY DURING PATROLS AND SEARCH OPERATIONS. THIS EQUIPMENT SUPPORTS READINESS AND REDUCES RISK OF INJURY IN THE FIELD.</t>
  </si>
  <si>
    <t xml:space="preserve">
Sales Order #: 2287119117
RTD Screening Code: DOD
Reason for Rejection: YG</t>
  </si>
  <si>
    <t>2YTG1761078441</t>
  </si>
  <si>
    <t>A UTV WILL ENHANCE THE SHERIFFS DEPARTMENTS ABILITY TO RESPOND QUICKLY IN AREAS INACCESSIBLE TO STANDARD PATROL VEHICLES, INCLUDING ROUGH TERRAIN, TRAILS, AND DISASTER ZONES. IT IMPROVES SEARCH AND RESCUE OPERATIONS, PUBLIC SAFETY COVERAGE, AND EMERGENCY RESPONSE TIMES WHILE INCREASING OFFICER EFFICIENCY AND REDUCING RISK IN CHALLENGING ENVIRONMENTS.</t>
  </si>
  <si>
    <t xml:space="preserve">
Sales Order #: 2287217435
RTD Screening Code: DOD
Reason for Rejection: YG</t>
  </si>
  <si>
    <t>2YTG1761078300</t>
  </si>
  <si>
    <t xml:space="preserve">
Sales Order #: 2286683273
RTD Screening Code: DOD
Reason for Rejection: YG</t>
  </si>
  <si>
    <t>2YTG1761007757</t>
  </si>
  <si>
    <t xml:space="preserve">
Sales Order #: 2286796061
RTD Screening Code: DOD
Reason for Rejection: YG</t>
  </si>
  <si>
    <t>2YTG1761007756</t>
  </si>
  <si>
    <t>BED BLANKETS FOR COTS ENSURE DEPUTIES AND PERSONNEL HAVE WARMTH AND COMFORT DURING OVERNIGHT DEPLOYMENTS, EMERGENCY RESPONSE, OR EXTENDED SHIFTS. THEY SUPPORT REST, RECOVERY, AND OVERALL WELL-BEING, HELPING MAINTAIN ALERTNESS AND EFFECTIVENESS IN THE FIELD.</t>
  </si>
  <si>
    <t xml:space="preserve">
Sales Order #: 2286796043
RTD Screening Code: DOD
Reason for Rejection: YG</t>
  </si>
  <si>
    <t>2YTG1761007706</t>
  </si>
  <si>
    <t xml:space="preserve">
Sales Order #: 2286796084
RTD Screening Code: DOD
Reason for Rejection: YG</t>
  </si>
  <si>
    <t>2YTG1761007705</t>
  </si>
  <si>
    <t xml:space="preserve">
Sales Order #: 2286796039
RTD Screening Code: DOD
Reason for Rejection: YG</t>
  </si>
  <si>
    <t>2YTG1761007704</t>
  </si>
  <si>
    <t>A FAN PROVIDES DEPUTIES WITH IMPROVED VENTILATION AND COOLING IN VEHICLES, OFFICES, OR TEMPORARY WORK AREAS. IT ENHANCES COMFORT, PREVENTS HEAT-RELATED STRESS, AND SUPPORTS A SAFE, PRODUCTIVE ENVIRONMENT DURING EXTENDED SHIFTS, EMERGENCIES, OR COMMUNITY EVENTS.</t>
  </si>
  <si>
    <t xml:space="preserve">
Sales Order #: 2286683275
RTD Screening Code: DOD
Reason for Rejection: YG</t>
  </si>
  <si>
    <t>2YTG1761007702</t>
  </si>
  <si>
    <t>TARPS PROVIDE A VERSATILE, DURABLE SOLUTION FOR PROTECTING EQUIPMENT, SECURING SCENES, AND CREATING TEMPORARY SHELTER DURING EMERGENCIES. THEY HELP SAFEGUARD EVIDENCE, COVER DAMAGED PROPERTY, AND SUPPORT FIELD OPERATIONS IN ADVERSE WEATHER, IMPROVING RESPONSE EFFECTIVENESS, RESOURCE PROTECTION, AND OVERALL OPERATIONAL READINESS.</t>
  </si>
  <si>
    <t xml:space="preserve">
Sales Order #: 2286796045
RTD Screening Code: DOD
Reason for Rejection: YG</t>
  </si>
  <si>
    <t>2YTG1761007701</t>
  </si>
  <si>
    <t>SPECIAL CLOTHING PROTECTS DEPUTIES FROM DIRT, CHEMICALS, AND WATER WHILE CLEANING DEPARTMENT VEHICLES. IT ENSURES SAFETY, HYGIENE, AND COMFORT, ALLOWING PERSONNEL TO PERFORM MAINTENANCE EFFICIENTLY WITHOUT RISK OF INJURY OR CONTAMINATION, MAINTAINING PROFESSIONALISM AND OPERATIONAL READINESS.</t>
  </si>
  <si>
    <t xml:space="preserve">
Sales Order #: 2286712854
RTD Screening Code: DOD
Reason for Rejection: YG</t>
  </si>
  <si>
    <t>2YTG1761007700</t>
  </si>
  <si>
    <t xml:space="preserve">
Sales Order #: 2286712865
RTD Screening Code: DOD
Reason for Rejection: YG</t>
  </si>
  <si>
    <t>2YTG1761007698</t>
  </si>
  <si>
    <t xml:space="preserve">
Sales Order #: 2286796044
RTD Screening Code: DOD
Reason for Rejection: YG</t>
  </si>
  <si>
    <t>2YTG1761007697</t>
  </si>
  <si>
    <t xml:space="preserve">
Sales Order #: 2286712843
RTD Screening Code: DOD
Reason for Rejection: YG</t>
  </si>
  <si>
    <t>2YTG1761007696</t>
  </si>
  <si>
    <t xml:space="preserve">
Sales Order #: 2286712846
RTD Screening Code: DOD
Reason for Rejection: YG</t>
  </si>
  <si>
    <t>2YTG1761007695</t>
  </si>
  <si>
    <t xml:space="preserve">
Sales Order #: 2286712864
RTD Screening Code: DOD
Reason for Rejection: YG</t>
  </si>
  <si>
    <t>2YTG1761007692</t>
  </si>
  <si>
    <t xml:space="preserve">
Sales Order #: 2286796088
RTD Screening Code: DOD
Reason for Rejection: YG</t>
  </si>
  <si>
    <t>2YTG1761007691</t>
  </si>
  <si>
    <t xml:space="preserve">
Sales Order #: 2286712845
RTD Screening Code: DOD
Reason for Rejection: YG</t>
  </si>
  <si>
    <t>2YTG1761007690</t>
  </si>
  <si>
    <t>THE POT WILL SUPPORT FOOD PREPARATION FOR FUNDRAISERS, COMMUNITY EVENTS, AND EMERGENCY DEPLOYMENTS. IT ENABLES EFFICIENT COOKING OF LARGE QUANTITIES, HELPING SUSTAIN PERSONNEL AND SERVE THE PUBLIC DURING EXTENDED OPERATIONS. THIS IMPROVES COMMUNITY ENGAGEMENT, OPERATIONAL READINESS, AND THE DEPARTMENTS ABILITY TO PROVIDE SUPPORT DURING CRITICAL INCIDENTS.</t>
  </si>
  <si>
    <t xml:space="preserve">
Sales Order #: 2286683269
RTD Screening Code: DOD
Reason for Rejection: YG</t>
  </si>
  <si>
    <t>POT,COOKING</t>
  </si>
  <si>
    <t>2YTG1761007687</t>
  </si>
  <si>
    <t>UNDERSHIRTS PROVIDE DEPUTIES WITH ESSENTIAL COMFORT, MOISTURE CONTROL, AND TEMPERATURE REGULATION DURING LONG SHIFTS. THEY HELP PREVENT CHAFING AND SKIN IRRITATION WHEN WEARING DUTY GEAR, IMPROVING HYGIENE, FOCUS, AND OVERALL PERFORMANCE WHILE SUPPORTING A PROFESSIONAL APPEARANCE AND READINESS IN ALL CONDITIONS.</t>
  </si>
  <si>
    <t xml:space="preserve">
Sales Order #: 2286712883
RTD Screening Code: DOD
Reason for Rejection: YG</t>
  </si>
  <si>
    <t>2YTG1761007686</t>
  </si>
  <si>
    <t>GAITERS WILL PROTECT DEPUTIES FROM WATER, MUD, SNOW, AND DEBRIS DURING FIELD OPERATIONS, ESPECIALLY IN ROUGH OR WET TERRAIN. THEY HELP KEEP FEET DRY, REDUCE INJURY RISK, AND IMPROVE COMFORT AND MOBILITY, ENHANCING OFFICER SAFETY AND EFFECTIVENESS DURING PATROLS, SEARCHES, AND EMERGENCY RESPONSE SITUATIONS.</t>
  </si>
  <si>
    <t xml:space="preserve">
Sales Order #: 2286683257
RTD Screening Code: DOD
Reason for Rejection: YG</t>
  </si>
  <si>
    <t>2YTG1761007685</t>
  </si>
  <si>
    <t>THE TRAILER WILL ENHANCE THE SHERIFFS DEPARTMENTS ABILITY TO RESPOND EFFECTIVELY TO EMERGENCIES, TRANSPORT EQUIPMENT, AND SUPPORT FIELD OPERATIONS. IT PROVIDES A MOBILE, SECURE SOLUTION FOR CARRYING ESSENTIAL GEAR, IMPROVING EFFICIENCY, READINESS, AND SERVICE DELIVERY TO THE COMMUNITY WHILE ENSURING RESOURCES ARE DEPLOYED QUICKLY AND SAFELY WHEN NEEDED.</t>
  </si>
  <si>
    <t xml:space="preserve">
Sales Order #: 2286683272
RTD Screening Code: DOD
Reason for Rejection: YG</t>
  </si>
  <si>
    <t>2YTG1761007681</t>
  </si>
  <si>
    <t xml:space="preserve">
Sales Order #: 2286796048
RTD Screening Code: DOD
Reason for Rejection: YG</t>
  </si>
  <si>
    <t>2YTG1761007679</t>
  </si>
  <si>
    <t xml:space="preserve">
Sales Order #: 2286796056
RTD Screening Code: DOD
Reason for Rejection: YG</t>
  </si>
  <si>
    <t>2YTG1761007678</t>
  </si>
  <si>
    <t>LOWER ALLEN TOWNSHIP POLICE REQUESTS THESE UNITS FOR USE BY OUR COMMAND STAFF AND DETECTIVES IN EMERGENCY, TACTICAL, AND INVESTIGATIVE OPERATIONS IN THE FIELD.</t>
  </si>
  <si>
    <t>2YTGZM61350942</t>
  </si>
  <si>
    <t>WILL USE IN CONJUNCTION WITH REQUESTED VEHICLES DURING 2026 FIREARMS TRAINING AS SIMULATED CURBING AND BARRIERS TEACHING OFFICERS COVER VS CONCEALMENT AND LATER CUT TO SIZE FOR SIMULATED CRIBBING DURING VEHICLE RESCUE COURSES FOR EMERGENCY RESPONDERS</t>
  </si>
  <si>
    <t xml:space="preserve">
Sales Order #: 2287418683
RTD Screening Code: DOD
Reason for Rejection: YD</t>
  </si>
  <si>
    <t>PIPE, PLASTIC</t>
  </si>
  <si>
    <t>DSPIPEPLA</t>
  </si>
  <si>
    <t>2YTCHA61078580</t>
  </si>
  <si>
    <t>NORTHERN LANCASTER CO REG PD (2YTCHA)</t>
  </si>
  <si>
    <t xml:space="preserve">
Sales Order #: 2288524702
RTD Screening Code: DOD
Reason for Rejection: Y9</t>
  </si>
  <si>
    <t>2YTKDD61280374</t>
  </si>
  <si>
    <t xml:space="preserve">
Sales Order #: 2288617682
RTD Screening Code: DOD
Reason for Rejection: Y9</t>
  </si>
  <si>
    <t>2YTKDD61280349</t>
  </si>
  <si>
    <t xml:space="preserve">
Sales Order #: 2288443106
RTD Screening Code: DOD
Reason for Rejection: Y9</t>
  </si>
  <si>
    <t>2YTKDD61280346</t>
  </si>
  <si>
    <t>REQUESTING THESE ITEMS TO FIT ONTO DEPARTMENT SNIPER RIFLES USED FOR BOTH PATROL AND SWAT OPERATIONS. I ACKNOWLEDGE CONDITION AND DELIVERY RESPONSIBILITIES.</t>
  </si>
  <si>
    <t xml:space="preserve">
Sales Order #: 2288706334
RTD Screening Code: DOD
Reason for Rejection: Y9</t>
  </si>
  <si>
    <t>2YTSZY61280429</t>
  </si>
  <si>
    <t>REQUESTING THIS VEHICLE TO UTILIZE IN WOODLAND AND OFF ROAD OPERATIONS. OUR JURISDICTION HAVE MULTIPLE PARKS AND LARGE TRACTS OF LAND THAT WE ARE UNABLE AT THIS TIME TO ACCESS DUE TO A LACK OF FUNDING FOR THIS TYPE OF VEHICLE. I ACKNOWLEDGE CONDITION AND PICK UP RESPONSIBILITIES.</t>
  </si>
  <si>
    <t xml:space="preserve">
Sales Order #: 2288617702
RTD Screening Code: DOD
Reason for Rejection: Y9</t>
  </si>
  <si>
    <t>2YTSZY61280007</t>
  </si>
  <si>
    <t xml:space="preserve">
Sales Order #: 2288637355
RTD Screening Code: DOD
Reason for Rejection: Y9</t>
  </si>
  <si>
    <t>2YTSZY61280005</t>
  </si>
  <si>
    <t xml:space="preserve">
Sales Order #: 2288563082
RTD Screening Code: DOD
Reason for Rejection: Y9</t>
  </si>
  <si>
    <t>2YTSZY61280002</t>
  </si>
  <si>
    <t>LOWER ALLEN POLICE REQUESTS THIS VEHICLE TO ASSIST IN EMERGENCY OPERATIONS ALONG OUR WATERWAYS AND EXTENSIVE PARK SYSTEMS IN LIGHT OF RECENT FLOODING AND KAYAKING ACCIDENTS RESULTING IN INJURY AND DEATH DURING WHICH ACCESS AND EXTRICATION WAS A MAJOR HURDLE.</t>
  </si>
  <si>
    <t xml:space="preserve">
Sales Order #: 2288706324
RTD Screening Code: DOD
Reason for Rejection: Y9</t>
  </si>
  <si>
    <t>2YTGZM61280350</t>
  </si>
  <si>
    <t>TO BE USED BY DANVILLE POLICE DEPARTMENT IN TACTICAL OR RURAL OPERATIONS TO MOVE MANPOWER AND EQUIPMENT ACROSS TERRAIN IN A RAPID AND SAFE MANNER.</t>
  </si>
  <si>
    <t xml:space="preserve">
Sales Order #: 2288617665
RTD Screening Code: DOD
Reason for Rejection: Y9</t>
  </si>
  <si>
    <t>2YTC4G61280330</t>
  </si>
  <si>
    <t xml:space="preserve">
Sales Order #: 2288615179
RTD Screening Code: DOD
Reason for Rejection: Y9</t>
  </si>
  <si>
    <t>2YTC4G61280328</t>
  </si>
  <si>
    <t>A SNOWBLOWER IS ESSENTIAL TO ENSURE SAFE AND TIMELY ACCESS TO SHERIFFS DEPARTMENT FACILITIES DURING WINTER STORMS. IT ALLOWS PERSONNEL TO CLEAR ENTRANCES, WALKWAYS, AND CRITICAL AREAS EFFICIENTLY, REDUCING SLIP HAZARDS AND MAINTAINING UNINTERRUPTED OPERATIONS FOR EMERGENCY RESPONSE AND PUBLIC SAFETY.</t>
  </si>
  <si>
    <t xml:space="preserve">
Sales Order #: 2287823759
RTD Screening Code: DOD
Reason for Rejection: YH</t>
  </si>
  <si>
    <t>2YTG1761149138</t>
  </si>
  <si>
    <t>THE SUV IS NECESSARY FOR SAFE, RELIABLE TRANSPORTATION ACROSS VARIED TERRAIN AND WEATHER CONDITIONS. IT PROVIDES ADEQUATE SPACE FOR PERSONNEL, TOOLS, AND EQUIPMENT, IMPROVING EFFICIENCY AND RESPONSE TIME. ITS DURABILITY AND ALL-WEATHER CAPABILITY ENSURE CONSISTENT OPERATIONS, ESPECIALLY IN CHALLENGING ENVIRONMENTS.</t>
  </si>
  <si>
    <t xml:space="preserve">
Sales Order #: 2287217449
RTD Screening Code: DOD
Reason for Rejection: YH</t>
  </si>
  <si>
    <t>2YTG1761078305</t>
  </si>
  <si>
    <t xml:space="preserve">
Sales Order #: 2286712848
RTD Screening Code: DOD
Reason for Rejection: YH</t>
  </si>
  <si>
    <t>2YTG1761007703</t>
  </si>
  <si>
    <t>REQUESTING THIS VEHICLE TO INTEGRATE INTO OUR TACTICAL MEDICAL FLEET FOR SWAT AND HIGH RISK OPERATIONS WITH BENEFITS WITH OUR MULTI JURISDICTIONAL TEAM. I ACKNOWLEDGE CONDITION AND RECOVERY OBLIGATIONS</t>
  </si>
  <si>
    <t xml:space="preserve">
Sales Order #: 2287785574
RTD Screening Code: DOD
Reason for Rejection: Y9</t>
  </si>
  <si>
    <t>2YTSZY61219369</t>
  </si>
  <si>
    <t>2YTSZY61280001</t>
  </si>
  <si>
    <t>LOWER BURRELL CITY POLICE IS PART OF WESTMORELAND SWAT WHICH IS A MULTI-JURISDICTIONAL SWAT TEAM THAT IS COMPRISED OF 16 JURISDICTIONS IN WESTMORELAND COUNTY, PENNSYLVANIA.  THESE AMMO CANS WOULD BE USED TO STORE .40MM MUNITIONS, NFDDS AND .556 AMMUNITION.</t>
  </si>
  <si>
    <t>This item has moved into the unapproved General Services Administration GSA cycle and cannot be approved to LESO customers.</t>
  </si>
  <si>
    <t>2YTGZ061149981</t>
  </si>
  <si>
    <t>REQUESTING THIS VEHICLE TO ASSIST IN FREQUENTLY ENCOUNTERED WOODLAND SEARCH AND RESCUE OPERATIONS DUE TO THE RURAL NATURE OF OUR PATROL AREA. I ACKNOWLEDGE CONDITION AND DELIVERY RESPONSIBILITIES.</t>
  </si>
  <si>
    <t xml:space="preserve">
Sales Order #: 2287761626
RTD Screening Code: DOD
Reason for Rejection: Y9</t>
  </si>
  <si>
    <t>2YTSZY61078307</t>
  </si>
  <si>
    <t>THE TRACKER IS ESSENTIAL FOR TRANSPORTING MATERIALS, CLEARING DEBRIS, AND ACCESSING DIFFICULT TERRAIN SAFELY AND EFFICIENTLY. IT REDUCES MANUAL LABOR, IMPROVES PRODUCTIVITY, AND ENSURES TIMELY COMPLETION OF MAINTENANCE AND OPERATIONAL TASKS YEAR-ROUND.</t>
  </si>
  <si>
    <t xml:space="preserve">
Sales Order #: 2287217437
RTD Screening Code: DOD
Reason for Rejection: Y9</t>
  </si>
  <si>
    <t>2YTG1761078302</t>
  </si>
  <si>
    <t>RESCUE HOOK CUTTERS PROVIDE DEPUTIES WITH A SAFE, RAPID METHOD TO FREE INDIVIDUALS FROM SEATBELTS, CLOTHING, OR RESTRAINTS DURING EMERGENCIES. THEIR GUARDED BLADE DESIGN REDUCES RISK OF INJURY TO VICTIMS AND OFFICERS, IMPROVING RESPONSE EFFICIENCY IN CRASHES, MEDICAL CALLS, AND TACTICAL SITUATIONS. ISSUING THEM ENHANCES LIFESAVING CAPABILITY AND OVERALL OPERATIONAL SAFETY.</t>
  </si>
  <si>
    <t xml:space="preserve">
Sales Order #: 2287640268
RTD Screening Code: DOD
Reason for Rejection: Y9</t>
  </si>
  <si>
    <t>2YTG1761148930</t>
  </si>
  <si>
    <t>A TOOL CABINET WILL PROVIDE SECURE, ORGANIZED STORAGE FOR ESSENTIAL EQUIPMENT, IMPROVING EFFICIENCY AND ACCOUNTABILITY. IT ENSURES QUICK ACCESS TO TOOLS DURING VEHICLE MAINTENANCE, EMERGENCY REPAIRS, AND FIELD OPERATIONS, REDUCING DOWNTIME AND ENHANCING THE DEPARTMENTS ABILITY TO RESPOND EFFECTIVELY AND MAINTAIN OPERATIONAL READINESS</t>
  </si>
  <si>
    <t xml:space="preserve">
Sales Order #: 2287217454
RTD Screening Code: DOD
Reason for Rejection: Y9</t>
  </si>
  <si>
    <t>CABINET, TOOL</t>
  </si>
  <si>
    <t>DSCABINE0</t>
  </si>
  <si>
    <t>2YTG1761078301</t>
  </si>
  <si>
    <t>A KITCHEN TRAILER ENABLES THE SHERIFFS DEPARTMENT TO PROVIDE MEALS DURING EXTENDED OPERATIONS, DISASTERS, AND COMMUNITY EVENTS. IT SUPPORTS PERSONNEL IN THE FIELD, SUSTAINS EMERGENCY RESPONSE EFFORTS, AND ENHANCES COORDINATION WITH PARTNER AGENCIES, ENSURING READINESS, RESILIENCE, AND EFFECTIVE SERVICE TO THE COMMUNITY.</t>
  </si>
  <si>
    <t xml:space="preserve">
Sales Order #: 2286298947
RTD Screening Code: DOD
Reason for Rejection: YH</t>
  </si>
  <si>
    <t>KITCHEN,FIELD,TRAILER MOUNTED</t>
  </si>
  <si>
    <t>2YTG1760936899</t>
  </si>
  <si>
    <t xml:space="preserve">
Sales Order #: 2285870172
RTD Screening Code: GSA
Reason for Rejection: YH</t>
  </si>
  <si>
    <t>2YTJA960866366</t>
  </si>
  <si>
    <t>THE ALLEGHENY VALLEY REGIONAL POLICE DEPARTMENT WILL USE THE ITEM ON THE POLICE BOAT.</t>
  </si>
  <si>
    <t xml:space="preserve">
Sales Order #: 2286796051
RTD Screening Code: GSA
Reason for Rejection: YG</t>
  </si>
  <si>
    <t>2YTRW361007675</t>
  </si>
  <si>
    <t>ALLEGHENY VALLEY REGIONAL PD (2YTRW3)</t>
  </si>
  <si>
    <t>ALLEGHENY VALLEY REGIONAL POLICE DEPARTMENT WILL USE THE ITEM ON THE DEPARTMENTS POLICE BOAT.</t>
  </si>
  <si>
    <t xml:space="preserve">
Sales Order #: 2286683263
RTD Screening Code: DOD
Reason for Rejection: YG</t>
  </si>
  <si>
    <t>2YTRW360937674</t>
  </si>
  <si>
    <t>TO BE USED BY DANVILLE POLICE DEPARTMENT TO HOUSE ITEMS, EVIDENCE AND OTHER MATERIALS THAT REQUIRE A COLD ENVIRONMENT TO PREVENT DAMAGE, DECAY OR DESTRUCTION.</t>
  </si>
  <si>
    <t xml:space="preserve">
Sales Order #: 2285180217
RTD Screening Code: GSA
Reason for Rejection: YH</t>
  </si>
  <si>
    <t>REFRIGERATOR,MATERIALS STORAGE</t>
  </si>
  <si>
    <t>2YTC4G60584674</t>
  </si>
  <si>
    <t>THE LAWN MOWER WILL SUPPORT MAINTENANCE OF GROUNDS USED FOR COMMUNITY EVENTS AND DEPARTMENT ACTIVITIES. WELL-KEPT AREAS PROVIDE A SAFE, ACCESSIBLE ENVIRONMENT FOR PUBLIC GATHERINGS, TRAINING, AND OUTREACH PROGRAMS. THIS ENHANCES COMMUNITY ENGAGEMENT, REFLECTS PROFESSIONALISM, AND ENSURES FACILITIES REMAIN PRESENTABLE AND OPERATIONAL YEAR-ROUND.</t>
  </si>
  <si>
    <t xml:space="preserve">
Sales Order #: 2286796086
RTD Screening Code: DOD
Reason for Rejection: Y9</t>
  </si>
  <si>
    <t>2YTG1761007689</t>
  </si>
  <si>
    <t>ALLEGHENY VALLEY REGIONAL POLICE DEPARTMENT WILL USE THE 4 WHEEL VEHICLE TO ACCESS AREA OF ARE JURISDICTION THAT ARE POLICE VEHICLES CANNOT GET TO.</t>
  </si>
  <si>
    <t xml:space="preserve">
Sales Order #: 2286712874
RTD Screening Code: DOD
Reason for Rejection: Y9</t>
  </si>
  <si>
    <t>2YTRW361007672</t>
  </si>
  <si>
    <t>THE ALLEGHNEY VALLEY REGIONAL POLICE DEPARTMENT  WILL USE THE LIGHT GENERATOR FOR TRAFFIC CONTROL FOR OFFICER SAFTY AND AT CRIME SCENE.</t>
  </si>
  <si>
    <t xml:space="preserve">
Sales Order #: 2286712873
RTD Screening Code: DOD
Reason for Rejection: Y9</t>
  </si>
  <si>
    <t>2YTRW361007668</t>
  </si>
  <si>
    <t>AMMUNITION CONTAINER USED BY PA STATE POLICE TACTICAL TEAM FOR STORAGE OF MISSION ESSENTIAL EQUIPMENT.</t>
  </si>
  <si>
    <t xml:space="preserve">
Sales Order #: 2284558931
Reason for Rejection: YG</t>
  </si>
  <si>
    <t>2YTJA960584587</t>
  </si>
  <si>
    <t xml:space="preserve">
Sales Order #: 2286796054
RTD Screening Code: DOD
Reason for Rejection: Y9</t>
  </si>
  <si>
    <t>2YTG1761007680</t>
  </si>
  <si>
    <t>A CLOTHES DRYER IS NECESSARY TO ENSURE UNIFORMS, TACTICAL GEAR, AND CLEANING MATERIALS ARE PROPERLY DRIED AND READY FOR USE. THIS SUPPORTS HYGIENE, PROLONGS EQUIPMENT LIFE, AND ENSURES DEPUTIES MAINTAIN A PROFESSIONAL APPEARANCE AND OPERATIONAL READINESS, ESPECIALLY DURING INCLEMENT WEATHER OR HIGH-DEMAND SITUATIONS.</t>
  </si>
  <si>
    <t xml:space="preserve">
Sales Order #: 2286596072
RTD Screening Code: DOD
Reason for Rejection: YH</t>
  </si>
  <si>
    <t>2YTG1760867374</t>
  </si>
  <si>
    <t>LOWER ALLEN TOWNSHIP POLICE REQUESTS THESE ITEMS FOR STORAGE AND QUICK DEPLOYMENT OF TACTICAL EQUIPMENT, ELECTRONICS, AND COMPUTERS FOR OFFICERS AND COMMAND STAFF ON SCENE OF INCIDENTS AND TRAININGS.</t>
  </si>
  <si>
    <t xml:space="preserve">
Sales Order #: 2287265680
RTD Screening Code: DOD
Reason for Rejection: Y9</t>
  </si>
  <si>
    <t>2YTGZM61078500</t>
  </si>
  <si>
    <t>NLCRPD WILL USE FOR 2026 FIREARMS TRAINING FOR POLICE OFFICERS BOTH MEMBERS OF THIS AGENCY AND OTHER OFFICERS IN THE AREA. WILL SHOOT FROM INSIDE VEHICLE AND INTO VEHICLE TO TRAIN OFFICERS ON SHOOTING FROM A SEATED POSITION AND  WHAT BALLISTICS CAN DO TO A VEHICLE TO PROMOTE OFFICER SAFETY. ONCE COMPLETED NLCRPD WILL ALLOW AREA FIRE DEPARTMENTS TO PRACTICE VEHICLE RESCUE TECHNIQUES TO PROMOTE UNDERSTANDING AMONGST ALL EMERGENCY RESPONDERS ON VEHICLE RESCUE TECHNIQUES.</t>
  </si>
  <si>
    <t>2YTCHA61078579</t>
  </si>
  <si>
    <t>2YTCHA61078578</t>
  </si>
  <si>
    <t>A SURVIVAL KNIFE PROVIDES DEPUTIES WITH A VERSATILE TOOL FOR EMERGENCY SITUATIONS, INCLUDING CUTTING SEATBELTS, BREAKING GLASS, AND PERFORMING BASIC FIELD TASKS DURING RESCUES OR SEARCHES. ISSUING STANDARDIZED KNIVES ENHANCES PREPAREDNESS, IMPROVES RESPONSE CAPABILITY, AND SUPPORTS OFFICER SAFETY IN UNPREDICTABLE CONDITIONS.</t>
  </si>
  <si>
    <t xml:space="preserve">
Sales Order #: 2286712855
RTD Screening Code: DOD
Reason for Rejection: Y9</t>
  </si>
  <si>
    <t>2YTG1761007761</t>
  </si>
  <si>
    <t>PSP WILL USE THESE TO CONDUCT HIGH RISK WARRANT SERVICES AND EXECUTIVE PROTECTION DETAILS FOR ELECTED FEDERAL OFFICIALS.</t>
  </si>
  <si>
    <t xml:space="preserve">
Sales Order #: 2286332865
RTD Screening Code: DOD
Reason for Rejection: Y9</t>
  </si>
  <si>
    <t>2YTJA960936951</t>
  </si>
  <si>
    <t>REQUESTING THESE ITEMS FOR USE WITH SWAT TACTICAL OPERATIONS IN OUR RURAL LOCATION TO SUPPLEMENT A MULTI-JURISDICTIONAL SEARCH, RESCUE, AND LAW ENFORCEMENT TASK FORCE. I ACKNOWLEDGE CONDITION AND SHIPPING RESPONSIBILITIES.</t>
  </si>
  <si>
    <t xml:space="preserve">
Sales Order #: 2286339728
RTD Screening Code: DOD
Reason for Rejection: Y9</t>
  </si>
  <si>
    <t>2YTSZY60936921</t>
  </si>
  <si>
    <t>REFLECTIVE SIGNS ENHANCE VISIBILITY AND SAFETY WHEN THE DEPARTMENT CLEANS VEHICLES OR CONDUCTS ROADSIDE OPERATIONS. THEY ALERT THE PUBLIC, REDUCE ACCIDENT RISK, AND ENSURE A SAFE ENVIRONMENT FOR DEPUTIES PERFORMING MAINTENANCE, TRAFFIC CONTROL, OR COMMUNITY SUPPORT ACTIVITIES.</t>
  </si>
  <si>
    <t xml:space="preserve">
Sales Order #: 2286712844
RTD Screening Code: DOD
Reason for Rejection: Y9</t>
  </si>
  <si>
    <t>SIGNS,REFLECTIVE</t>
  </si>
  <si>
    <t>2YTG1761007699</t>
  </si>
  <si>
    <t>A COMPASS PROVIDES A RELIABLE, NON-ELECTRONIC NAVIGATION TOOL FOR DEPUTIES OPERATING IN REMOTE AREAS OR DURING OUTAGES WHEN GPS MAY BE UNAVAILABLE. IT ENHANCES SITUATIONAL AWARENESS, SUPPORTS SEARCH AND RESCUE OPERATIONS, AND IMPROVES OFFICER SAFETY BY ENSURING ACCURATE DIRECTION-FINDING IN ALL CONDITIONS.</t>
  </si>
  <si>
    <t xml:space="preserve">
Sales Order #: 2286796058
RTD Screening Code: DOD
Reason for Rejection: Y9</t>
  </si>
  <si>
    <t>2YTG1761007684</t>
  </si>
  <si>
    <t>2YTR7061491969</t>
  </si>
  <si>
    <t>ITEMS TO BE UTILIZED FOR POWERING EQUIPMENT IN REMOTE AREAS WITHOUT ELECTRICAL ACCESS FOR LAW ENFORCEMENT AND SEARCH AND RESCUE OPERATIONS.</t>
  </si>
  <si>
    <t xml:space="preserve">
Sales Order #: 2289338549
RTD Screening Code: DOD
Reason for Rejection: Y9</t>
  </si>
  <si>
    <t>2YT0HN61350881</t>
  </si>
  <si>
    <t>BURNS POLICE DEPARTMENT REQUESTS A GROUND SENSOR AND AREA SURVEILLANCE SYSTEM TO ENHANCE SITUATIONAL AWARENESS AND IMPROVE MONITORING CAPABILITIES DURING CRITICAL INCIDENTS. THIS EQUIPMENT CAN SUPPORT PERIMETER SECURITY SEARCH AND RESCUE OPERATIONS AND DETECTION OF MOVEMENT IN REMOTE OR LOW VISIBILITY ENVIRONMENTS. FOR A RURAL JURISDICTION WITH LARGE GEOGRAPHIC COVERAGE AND LIMITED PERSONNEL IT PROVIDES A VALUABLE TOOL TO IMPROVE RESPONSE EFFECTIVENESS WHILE INCREASING OFFICER AND PUBLIC SAFE</t>
  </si>
  <si>
    <t xml:space="preserve">
Sales Order #: 2289337557
RTD Screening Code: DOD
Reason for Rejection: Y9</t>
  </si>
  <si>
    <t>2YTR7061350957</t>
  </si>
  <si>
    <t>THESE ITEMS WILL BE USED BY THE BENTON COUNTY SHERIFF'S OFFICE SWORN LAW ENFORCEMENT PERSONNEL TO STRENGTHEN OPERATIONAL CAPABILITIES IN DIMINISHED LIGHT ENVIRONMENTS.</t>
  </si>
  <si>
    <t>2YTQQY61219462</t>
  </si>
  <si>
    <t>BENTON CSO (2YTQQY)</t>
  </si>
  <si>
    <t>BURNS POLICE DEPARTMENT REQUESTS FLYERS KIT BAGS TO SUPPORT ORGANIZED STORAGE AND TRANSPORT OF ESSENTIAL EQUIPMENT, INCLUDING MEDICAL SUPPLIES, GEAR, AND RESPONSE MATERIALS. THESE DURABLE BAGS IMPROVE EFFICIENCY, PROTECT EQUIPMENT, AND ENSURE OFFICERS HAVE QUICK ACCESS TO CRITICAL ITEMS DURING PATROL, EMERGENCY RESPONSE, AND SEARCH AND RESCUE OPERATIONS IN OUR RURAL SERVICE AREA.</t>
  </si>
  <si>
    <t xml:space="preserve">
Sales Order #: 2287672094
RTD Screening Code: DOD
Reason for Rejection: Y9</t>
  </si>
  <si>
    <t>2YTR7061059002</t>
  </si>
  <si>
    <t>THESE ITEMS WOULD BE UTILIZED BY THE SWORN EMPLOYEES OF THE BENTON COUNTY SHERIFF'S OFFICE IN CONJUNCTION WITH NIGHT VISION DEVICES FOR ENHANCING OPERATIONAL READINESS IN PUBLIC SAFETY.  THESE ITEMS WOULD BE USED IN ACCORDANCE WITH ALL APPLICABLE LAWS.</t>
  </si>
  <si>
    <t xml:space="preserve">
Sales Order #: 2287672105
RTD Screening Code: DOD
Reason for Rejection: Y9</t>
  </si>
  <si>
    <t>2YTQQY61148953</t>
  </si>
  <si>
    <t>BURNS POLICE DEPARTMENT REQUESTS THE INTEGRATED SMALL ARMS ILLUMINATOR TO IMPROVE VISIBILITY AND TARGET IDENTIFICATION IN LOW LIGHT AND NIGHTTIME OPERATIONS. THIS EQUIPMENT ENHANCES OFFICER SAFETY, ACCURACY, AND SITUATIONAL AWARENESS DURING CRITICAL INCIDENTS. IN A RURAL AREA WITH LIMITED LIGHTING, IT PROVIDES ESSENTIAL CAPABILITY TO SAFELY RESPOND AND PROTECT THE COMMUNITY.</t>
  </si>
  <si>
    <t>2YTR7061008714</t>
  </si>
  <si>
    <t>BURNS POLICE DEPARTMENT REQUESTS THE LASER FIRING SIMULATOR SYSTEM TO IMPROVE OFFICER TRAINING, JUDGMENT, AND FIREARMS PROFICIENCY IN A SAFE, CONTROLLED ENVIRONMENT. THIS EQUIPMENT ALLOWS REALISTIC SCENARIO-BASED TRAINING THAT STRENGTHENS DECISION-MAKING, DE-ESCALATION, AND ACCURACY WHILE REDUCING LIVE-FIRE TRAINING COSTS. FOR A SMALL RURAL AGENCY, IT IS A VALUABLE TOOL TO MAINTAIN READINESS AND PUBLIC SAFETY.</t>
  </si>
  <si>
    <t>SIMULATOR SYSTEM,FIRING,LASER</t>
  </si>
  <si>
    <t>2YTR7061008709</t>
  </si>
  <si>
    <t>BURNS POLICE DEPARTMENT REQUESTS THE LA 5 PEQ ILLUMINATOR TO ENHANCE OFFICER VISIBILITY AND TARGET IDENTIFICATION IN LOW LIGHT CONDITIONS. THIS EQUIPMENT IMPROVES OPERATIONAL EFFECTIVENESS AND SAFETY DURING NIGHTTIME AND HIGH RISK INCIDENTS. FOR A RURAL AGENCY WITH LIMITED LIGHTING INFRASTRUCTURE IT PROVIDES CRITICAL CAPABILITY TO SAFELY RESOLVE SITUATIONS AND PROTECT BOTH OFFICERS AND THE PUBLIC</t>
  </si>
  <si>
    <t>2YTR7061008713</t>
  </si>
  <si>
    <t>BURNS POLICE DEPARTMENT REQUESTS THE PACKING ASSORTMENT TO SUPPORT PROPER STORAGE, TRANSPORT, AND PROTECTION OF EQUIPMENT AND SUPPLIES. THIS RESOURCE HELPS MAINTAIN ORGANIZATION, PREVENTS DAMAGE TO CRITICAL GEAR, AND ENSURES READINESS FOR DEPLOYMENT. FOR A RURAL AGENCY WITH LIMITED RESOURCES, MAINTAINING EQUIPMENT INTEGRITY IS ESSENTIAL TO EFFECTIVE AND EFFICIENT OPERATIONS.</t>
  </si>
  <si>
    <t>AT</t>
  </si>
  <si>
    <t>PACKING ASSORTMENT,</t>
  </si>
  <si>
    <t>2YTR7060998712</t>
  </si>
  <si>
    <t>THE BURNS POLICE DEPARTMENT REQUESTS A SECOND HMMWV TO ENHANCE RESPONSE CAPABILITY IN HARNEY COUNTYS VAST, RURAL, AND RUGGED TERRAIN. THIS VEHICLE WILL SUPPORT EMERGENCY RESPONSE IN SEVERE WEATHER, OFF-ROAD CONDITIONS, AND NATURAL DISASTERS, ENSURING OFFICER SAFETY AND RELIABLE ACCESS TO REMOTE AREAS WHERE STANDARD PATROL VEHICLES ARE INEFFECTIVE.</t>
  </si>
  <si>
    <t xml:space="preserve">
Sales Order #: 2286756682
RTD Screening Code: DOD
Reason for Rejection: Y9</t>
  </si>
  <si>
    <t>2YTR7061007836</t>
  </si>
  <si>
    <t>BURNS POLICE DEPARTMENT REQUESTS THE GRENADE DISCHARGER TO SUPPORT SAFE DEPLOYMENT OF LESS-LETHAL MUNITIONS DURING CRITICAL INCIDENTS. THIS TOOL ENHANCES OFFICER SAFETY AND PROVIDES ADDITIONAL OPTIONS FOR DE-ESCALATION IN SITUATIONS INVOLVING BARRICADED SUBJECTS OR CIVIL DISTURBANCES, REDUCING THE NEED FOR HIGHER LEVELS OF FORCE IN OUR RURAL JURISDICTION.</t>
  </si>
  <si>
    <t>DISCHARGER,GRENADE,</t>
  </si>
  <si>
    <t>2YTR7060938149</t>
  </si>
  <si>
    <t>2YTR7060938148</t>
  </si>
  <si>
    <t>BURNS POLICE DEPARTMENT SEEKS THE AF MEDIUM EOD ROBOT TO ENHANCE OFFICER AND PUBLIC SAFETY IN HIGH-RISK INCIDENTS, INCLUDING SUSPICIOUS PACKAGES, EXPLOSIVES, AND HAZARDOUS SITUATIONS. AS A RURAL, RESOURCE-LIMITED AGENCY, THIS EQUIPMENT WILL PROVIDE CRITICAL REMOTE-RESPONSE CAPABILITY, REDUCE RISK TO PERSONNEL, AND IMPROVE EMERGENCY RESPONSE ACROSS BURNS AND HARNEY COUNTY.</t>
  </si>
  <si>
    <t>AF MEDIUM ROBOT EOD</t>
  </si>
  <si>
    <t>2YTR7060938005</t>
  </si>
  <si>
    <t>USMS WILL USE THESE DURING LOW LIGHT OPERATIONS TO ENSURE OFFICER SAFETY</t>
  </si>
  <si>
    <t>2YTPYU61774080</t>
  </si>
  <si>
    <t>DOJ/USMS WESTERN DISTRICT OF OK (2YTPYU)</t>
  </si>
  <si>
    <t>OK</t>
  </si>
  <si>
    <t>USMS WILL USE THIS DURING HIGH RISK WARRANT OPERATIONS</t>
  </si>
  <si>
    <t>2YTPYU61704087</t>
  </si>
  <si>
    <t>2YTPYU61704071</t>
  </si>
  <si>
    <t>USMS WILL USE THESE FOR OFFICER AND PUBLIC SAFETY</t>
  </si>
  <si>
    <t>2YTPYU61774085</t>
  </si>
  <si>
    <t>USMS WILL USE THESE DURING INCLEMENT WEATHER</t>
  </si>
  <si>
    <t>2YTPYU61280520</t>
  </si>
  <si>
    <t>USMS WILL USE THESE DURING INCLEMENT  WEATHER</t>
  </si>
  <si>
    <t>2YTPYU61280518</t>
  </si>
  <si>
    <t>USMS WILL USE THESE DURING COLD WEATHER OPERATIONS</t>
  </si>
  <si>
    <t>2YTPYU61280517</t>
  </si>
  <si>
    <t>USMS WILL USE THESE FOR FIRST AID AND FOR OFFICER SAFETY</t>
  </si>
  <si>
    <t>2YTPYU61210516</t>
  </si>
  <si>
    <t>USMS WILL USE THIS FOR ANNOUNCEMENTS DURING OPERATIONS</t>
  </si>
  <si>
    <t>2YTPYU61280514</t>
  </si>
  <si>
    <t>USMS WILL UTILIZES THESE DURING INCLEMENT WEATHER</t>
  </si>
  <si>
    <t>2YTPYU61008016</t>
  </si>
  <si>
    <t>2YTPYU61008014</t>
  </si>
  <si>
    <t>2YTPYU61008013</t>
  </si>
  <si>
    <t>USMS WILL UTILIZES THESE FOR FIRST AID WHILE IN THE FIELD</t>
  </si>
  <si>
    <t>2YTPYU61008012</t>
  </si>
  <si>
    <t>USMS WILL USE THESE DURING LOW LIGHT OPERATIONS</t>
  </si>
  <si>
    <t>2YTPYU60938015</t>
  </si>
  <si>
    <t>USMS WILL USE THESE DURING INCLEMENT WEATHER AND RURAL OPERATIONS.</t>
  </si>
  <si>
    <t>2YTPYU60795984</t>
  </si>
  <si>
    <t>2YTPYU60795983</t>
  </si>
  <si>
    <t>USMS WILL USE THESE DURING INCLEMENT WEATHER AND RURAL OPERATIONS</t>
  </si>
  <si>
    <t>2YTPYU60795982</t>
  </si>
  <si>
    <t>2YTPYU60795980</t>
  </si>
  <si>
    <t>2YTPYU60795979</t>
  </si>
  <si>
    <t>USMS WILL UTILIZES THESE DURING RURAL OPERATION FOR SURVEILLANCE AND TO MAINTAIN OFFICER SAFETY.</t>
  </si>
  <si>
    <t>THERMAL IMAGING EQUIPMENT</t>
  </si>
  <si>
    <t>DSTHRMIMG</t>
  </si>
  <si>
    <t>2YTPYU60937967</t>
  </si>
  <si>
    <t>2YTPYU60937969</t>
  </si>
  <si>
    <t>2YTPYU60937968</t>
  </si>
  <si>
    <t>THE HEAVY-DUTY PICKUP TRUCK WILL SUPPORT DAILY OPERATIONS, TOWING, AND TRANSPORT OF EQUIPMENT FOR TRAINING AND EMERGENCY RESPONSE. ASSIST IN PULLING A MOBILE COMMAND TRAILER. IT ENHANCES OPERATIONAL CAPABILITY, EFFICIENCY, AND SAFETY WHILE SERVING A SMALL COMMUNITY WITH LIMITED RESOURCES.</t>
  </si>
  <si>
    <t xml:space="preserve">
Sales Order #: 2291746104
RTD Screening Code: DOD
Reason for Rejection: Y9</t>
  </si>
  <si>
    <t>2YTLN061844413</t>
  </si>
  <si>
    <t xml:space="preserve">
Sales Order #: 2291746102
RTD Screening Code: DOD
Reason for Rejection: Y9</t>
  </si>
  <si>
    <t>2YTLN061844411</t>
  </si>
  <si>
    <t xml:space="preserve">
Sales Order #: 2291746112
RTD Screening Code: DOD
Reason for Rejection: Y9</t>
  </si>
  <si>
    <t>2YTLN061844410</t>
  </si>
  <si>
    <t>THE HEAVY-DUTY PICKUP TRUCK WILL SUPPORT DAILY OPERATIONS, TOWING, AND TRANSPORT OF EQUIPMENT FOR TRAINING AND EMERGENCY RESPONSE. TO ASSIST WITH PULLING A NEW MOBILE COMMAND TRAILER.  IT ENHANCES OPERATIONAL CAPABILITY, EFFICIENCY, AND SAFETY WHILE SERVING A SMALL COMMUNITY WITH LIMITED RESOURCES.</t>
  </si>
  <si>
    <t xml:space="preserve">
Sales Order #: 2291746108
RTD Screening Code: DOD
Reason for Rejection: Y9</t>
  </si>
  <si>
    <t>2YTLN061844409</t>
  </si>
  <si>
    <t>THE SWANTON POLICE DEPARTMENT IS REQUESTING A FORK TRUCK THROUGH THE 1033 PROGRAM TO SUPPORT DAILY OPERATIONS, EQUIPMENT MOVEMENT, AND FACILITY RECOVERY ACTIVITIES. THE FORK TRUCK WILL BE USED TO SAFELY MOVE PALLETS, TRAINING MATERIALS, STORED PROPERTY, AND HEAVY EQUIPMENT. THIS RESOURCE WILL SUPPORT RANGE OPERATIONS, STORAGE MANAGEMENT, REBUILDING EFFORTS, AND IMPROVE OVERALL OPERATIONAL EFFICIENCY AND READINESS.</t>
  </si>
  <si>
    <t xml:space="preserve">
Sales Order #: 2291680875
RTD Screening Code: DOD
Reason for Rejection: YG</t>
  </si>
  <si>
    <t>2YTLN061773995</t>
  </si>
  <si>
    <t>THIS ITEM WILL BE USED BY THE POLICE DEPARTMENT FOR TRANSPORTING EQUIPMENT AND SUPPLIES IN CONJUNCTION WITH THE LESO PROGRAM AND OTHER ADMINISTRATIVE POLICE TASKS.</t>
  </si>
  <si>
    <t xml:space="preserve">
Sales Order #: 2291746115
RTD Screening Code: DOD
Reason for Rejection: Y9</t>
  </si>
  <si>
    <t>2YTEJX61844416</t>
  </si>
  <si>
    <t>THIS ITEM WILL BE USED AS A DETECTIVE, EVIDENCE TECHNICIAN, VEHICLE FOR HAULING SUPPLIES AND OVERSIZE EVIDENCE AND EQUIPMENT.</t>
  </si>
  <si>
    <t xml:space="preserve">
Sales Order #: 2291746097
RTD Screening Code: DOD
Reason for Rejection: Y9</t>
  </si>
  <si>
    <t>2YTEJX61844415</t>
  </si>
  <si>
    <t>THE MT. ORAB POLICE DEPARTMENT WOULD LIKE TO ACQUIRE THIS PICKUP TRUCK. WE WOULD UTILIZE THIS OPEN BED TRUCK FOR OUR OFF DUTY PROJECTS, PERFORMED BY OUR OFFICERS. WITH A OPEN BED, THIS WOULD ALLOW US TO NOT USE OUR PERSONAL TRUCKS BUT RATHER A DEPARTMENT TRUCK. WITH A 6 CYLINDER MOTOR, THIS COULD BE USED A TRANSPORT VEHICLE FOR TRAININGS AS WELL.</t>
  </si>
  <si>
    <t>JUSTIFICATION: The justification contains the words which does not indicate a police use</t>
  </si>
  <si>
    <t>2YTH5S61914781</t>
  </si>
  <si>
    <t>NEEDED FOR SWAT OPERATIONS AND LOCATING MISSING INDIVIDUALS. WE HAVE SEVERAL NURSING HOMES IN THE COUNTY AND HAVE HAD NUMEROUS CALLS OF MISSING ENDANGERED ADULTS.</t>
  </si>
  <si>
    <t>JUSTIFICATION: LEA did not identify the site was contacted to verify the condition of the property</t>
  </si>
  <si>
    <t>2YTB6661914891</t>
  </si>
  <si>
    <t>CHAMPAIGN CTY SHERIFF OFFICE (2YTB66)</t>
  </si>
  <si>
    <t>BREWSTER POLICE CAN USE THIS FOR NIGHT PATROL.</t>
  </si>
  <si>
    <t>SCOPE,NIGHT VISION,</t>
  </si>
  <si>
    <t>2YTPF061844658</t>
  </si>
  <si>
    <t>2YTPF061844657</t>
  </si>
  <si>
    <t>2YTPF061844656</t>
  </si>
  <si>
    <t>2YTPF061844655</t>
  </si>
  <si>
    <t>2YTPF061844654</t>
  </si>
  <si>
    <t>2YTPF061844653</t>
  </si>
  <si>
    <t>BREWSTER POLICE WILL USE THIS ITEM FOR NIGHT OPERATIONS</t>
  </si>
  <si>
    <t>VIEWER KIT,NIGHT VI</t>
  </si>
  <si>
    <t>2YTPF061844651</t>
  </si>
  <si>
    <t>2YTPF061844650</t>
  </si>
  <si>
    <t>2YTPF061844649</t>
  </si>
  <si>
    <t>BREWSTER POLICE WILL USE THIS ITEM FOR NIGHT OPERATIONS.</t>
  </si>
  <si>
    <t>2YTPF061844648</t>
  </si>
  <si>
    <t>BREWSTER POLICE WOULD USE THIS EQUIPMENT FOR NIGHT TIME OPERATIONS</t>
  </si>
  <si>
    <t>2YTPF061844646</t>
  </si>
  <si>
    <t>BREWSTER POLICE WOULD USE THIS ITEM FOR NIGHT PATROLS</t>
  </si>
  <si>
    <t>2YTPF061844645</t>
  </si>
  <si>
    <t>THE SWANTON POLICE DEPARTMENT IS REQUESTING AN ENCLOSED TRAILER THROUGH THE 1033 PROGRAM TO PROVIDE SECURE STORAGE OF DEPARTMENT PROPERTY, EQUIPMENT, RECORDS, AND OPERATIONAL SUPPLIES DURING THE REBUILDING OF THE POLICE DEPARTMENT FOLLOWING FIRE DAMAGE. THE TRAILER WILL SUPPORT CONTINUITY OF OPERATIONS BY PROTECTING ASSETS FROM WEATHER AND UNAUTHORIZED ACCESS WHILE MAINTAINING ACCESSIBILITY FOR DAILY DEPARTMENT FUNCTIONS AND EMERGENCY RESPONSE NEEDS.</t>
  </si>
  <si>
    <t xml:space="preserve">
Sales Order #: 2291528276
RTD Screening Code: DOD
Reason for Rejection: Y9</t>
  </si>
  <si>
    <t>2YTLN061773788</t>
  </si>
  <si>
    <t>THE FULTON COUNTY SHERIFFS OFFICE IS REQUESTING THIS TRAILER TO MOVE SPECIAL EQUIPMENT NEEDED FOR EMERGENCY SITUATIONS THROUGHOUT THE COUNTY. THIS WILL ALLOW ESSENTIAL EQUIPMENT TO GET TO EMERGENCY SCENES WHEN AND WHERE NEEDED.</t>
  </si>
  <si>
    <t xml:space="preserve">
Sales Order #: 2291528271
RTD Screening Code: DOD
Reason for Rejection: Y9</t>
  </si>
  <si>
    <t>2YTEED61773721</t>
  </si>
  <si>
    <t>THE REQUESTED TOOLS WILL SUPPORT DAILY OPERATIONS, MAINTENANCE, AND EMERGENCY RESPONSE ACTIVITIES. THESE ITEMS WILL IMPROVE EFFICIENCY, SAFETY, AND READINESS WHILE ALLOWING OUR DEPARTMENT TO MAINTAIN EQUIPMENT AND RESPOND EFFECTIVELY WITHIN A LIMITED BUDGET.</t>
  </si>
  <si>
    <t>2YTLN061844402</t>
  </si>
  <si>
    <t>FOR USE TO CREATE A MOBILE INCIDENT COMMAND CENTER FOR NATURAL DISASTER OR SEVERE OFF SITE WEATHER CONDITIONS. FOR USE OR DEPLOYMENT IN TACTICAL SITUATIONS WHERE INCIDENT COMMAND COMMUNICATIONS OR OFFICER TRANSPORT ARE NEEDED</t>
  </si>
  <si>
    <t xml:space="preserve">
Sales Order #: 2290317355
RTD Screening Code: DOD
Reason for Rejection: YG</t>
  </si>
  <si>
    <t>2YTCHC61492258</t>
  </si>
  <si>
    <t>CLAY TWP POLICE DEPT (OTTAWA CTY) (2YTCHC)</t>
  </si>
  <si>
    <t xml:space="preserve">
Sales Order #: 2291680893
RTD Screening Code: GSA
Reason for Rejection: Y9</t>
  </si>
  <si>
    <t>2YTLN061704034</t>
  </si>
  <si>
    <t xml:space="preserve">
Sales Order #: 2291680895
RTD Screening Code: GSA
Reason for Rejection: Y9</t>
  </si>
  <si>
    <t>2YTEJX61704094</t>
  </si>
  <si>
    <t xml:space="preserve">
Sales Order #: 2291680877
RTD Screening Code: GSA
Reason for Rejection: Y9</t>
  </si>
  <si>
    <t>2YTEJX61704092</t>
  </si>
  <si>
    <t>THE FULTON COUNTY SHERIFFS OFFICE IS REQUESTING THIS DIRT BIKE SO DEPUTIES CAN USE IT IN OUR RURAL COUNTY FOR SEARCH AND RESCUE OPERATIONS. THIS WILL ALLOW DEPUTIES TO TRAVEL INTO PLACES A PATROL CAR CANNOT.</t>
  </si>
  <si>
    <t xml:space="preserve">
Sales Order #: 2291680882
RTD Screening Code: GSA
Reason for Rejection: Y9</t>
  </si>
  <si>
    <t>2YTEED61704051</t>
  </si>
  <si>
    <t xml:space="preserve">
Sales Order #: 2291680890
RTD Screening Code: GSA
Reason for Rejection: Y9</t>
  </si>
  <si>
    <t>2YTEED61704050</t>
  </si>
  <si>
    <t>NEED NIGHT VISION FOR SWAT OPERATIONS</t>
  </si>
  <si>
    <t xml:space="preserve">
Sales Order #: 2291557604
Reason for Rejection: Y9</t>
  </si>
  <si>
    <t>2YTB6661703899</t>
  </si>
  <si>
    <t xml:space="preserve">
Sales Order #: 2291704940
Reason for Rejection: Y9</t>
  </si>
  <si>
    <t>2YTB6661703898</t>
  </si>
  <si>
    <t>BREWSTER POLICE COULD USE FOR HOSTAGE, BARRICADED SUBJECTS AND RAILROAD THREATS,</t>
  </si>
  <si>
    <t xml:space="preserve">
Sales Order #: 2290969153
Reason for Rejection: Y9</t>
  </si>
  <si>
    <t>2YTPF061702902</t>
  </si>
  <si>
    <t>NEED A THERMAL CAMERA FOR SWAT OPERATIONS</t>
  </si>
  <si>
    <t xml:space="preserve">
Sales Order #: 2291704942
RTD Screening Code: DOD
Reason for Rejection: Y9</t>
  </si>
  <si>
    <t>2YTB6661773900</t>
  </si>
  <si>
    <t xml:space="preserve">
Sales Order #: 2291528289
RTD Screening Code: DOD
Reason for Rejection: Y9</t>
  </si>
  <si>
    <t>2YTLN061773787</t>
  </si>
  <si>
    <t>BREWSTER POLICE WILL USE FOR TOOLS FOR CRUISER AND EQUIPMENT STORAGE</t>
  </si>
  <si>
    <t xml:space="preserve">
Sales Order #: 2290969138
RTD Screening Code: DOD
Reason for Rejection: YG</t>
  </si>
  <si>
    <t>2YTPF061562901</t>
  </si>
  <si>
    <t>THE SWANTON POLICE DEPARTMENT IS REQUESTING A TOOL KIT THROUGH THE 1033 PROGRAM TO SUPPORT DAILY OPERATIONS, VEHICLE MAINTENANCE, EQUIPMENT REPAIRS, AND FACILITY UPKEEP. THE TOOL KIT WILL BE USED FOR INSTALLATION, ADJUSTMENT, AND MAINTENANCE OF DEPARTMENT EQUIPMENT AND OPERATIONAL ASSETS, IMPROVING EFFICIENCY, REDUCING DOWNTIME, AND MAINTAINING OPERATIONAL READINESS.</t>
  </si>
  <si>
    <t>2YTLN061704031</t>
  </si>
  <si>
    <t>2YTLN061704029</t>
  </si>
  <si>
    <t>FOR USE BY FCSO DIVE RESCUE OFFICERS IN CONDUCTING SEARCH AND RESCUE OPERATIONS</t>
  </si>
  <si>
    <t xml:space="preserve">
Sales Order #: 2289637128
RTD Screening Code: DOD
Reason for Rejection: YG</t>
  </si>
  <si>
    <t>2YTDXH61421469</t>
  </si>
  <si>
    <t>THE SWANTON POLICE DEPARTMENT IS REQUESTING A TELEHANDLER THROUGH THE 1033 PROGRAM TO SUPPORT REBUILDING AND RECOVERY EFFORTS FOLLOWING FIRE DAMAGE TO THE POLICE DEPARTMENT FACILITY. THE TELEHANDLER WILL ASSIST WITH MOVING CONSTRUCTION MATERIALS, EQUIPMENT, PALLETS, AND SUPPLIES DURING RESTORATION ACTIVITIES. THIS EQUIPMENT WILL IMPROVE SAFETY, EFFICIENCY, AND OPERATIONAL READINESS WHILE SUPPORTING ONGOING FACILITY RECOVERY AND DEPARTMENT OPERATIONS.</t>
  </si>
  <si>
    <t xml:space="preserve">
Sales Order #: 2291528293
RTD Screening Code: DOD
Reason for Rejection: BQ</t>
  </si>
  <si>
    <t>2YTLN061773786</t>
  </si>
  <si>
    <t>THIS ITEM WILL BE USED BY OUR POLICE DEPARTMENT.  THIS ITEM WILL BE ISSUED TO OUR POLICE ACADEMY AND USED BY THE STAFF AND CADETS TO IMPROVE OVERALL FITNESS AND HEALTH.</t>
  </si>
  <si>
    <t xml:space="preserve">
Sales Order #: 2290937001
RTD Screening Code: DOD
Reason for Rejection: Y9</t>
  </si>
  <si>
    <t>2YTLV361633233</t>
  </si>
  <si>
    <t>WE WOULD USE THESE ITEMS ON OUR POLICE DEPARTMENT.   WE WOULD USE THESE ITEMS IN OUR POLICE DEPARTMENT WORKOUT AREAS.  OFFICERS WOULD USE THESE ITEMS TO IMPROVE OVERALL HEALTH AND FITNESS</t>
  </si>
  <si>
    <t xml:space="preserve">
Sales Order #: 2290969161
RTD Screening Code: DOD
Reason for Rejection: Y9</t>
  </si>
  <si>
    <t>2YTLV361633041</t>
  </si>
  <si>
    <t>THE SWANTON POLICE DEPARTMENT IS REQUESTING A FORKLIFT THROUGH THE 1033 PROGRAM TO SUPPORT DAILY OPERATIONS, EQUIPMENT HANDLING, AND LOGISTICS. THE FORKLIFT WILL BE USED TO MOVE PALLETS, TRAINING MATERIALS, STORED PROPERTY, AND HEAVY EQUIPMENT SAFELY AND EFFICIENTLY. THIS EQUIPMENT WILL SUPPORT RANGE OPERATIONS, FACILITY MAINTENANCE, STORAGE MANAGEMENT, AND EMERGENCY RESPONSE READINESS WHILE REDUCING MANUAL HANDLING RISKS.</t>
  </si>
  <si>
    <t xml:space="preserve">
Sales Order #: 2291305234
RTD Screening Code: DOD
Reason for Rejection: Y9</t>
  </si>
  <si>
    <t>2YTLN061703647</t>
  </si>
  <si>
    <t xml:space="preserve">
Sales Order #: 2291243650
RTD Screening Code: DOD
Reason for Rejection: Y9</t>
  </si>
  <si>
    <t>2YTLN061633308</t>
  </si>
  <si>
    <t xml:space="preserve">
Sales Order #: 2291243653
RTD Screening Code: DOD
Reason for Rejection: Y9</t>
  </si>
  <si>
    <t>2YTLN061633307</t>
  </si>
  <si>
    <t xml:space="preserve">
Sales Order #: 2291243662
RTD Screening Code: DOD
Reason for Rejection: Y9</t>
  </si>
  <si>
    <t>2YTLN061633306</t>
  </si>
  <si>
    <t>THE SWANTON POLICE DEPARTMENT IS REQUESTING A TOOL CHEST THROUGH THE 1033 PROGRAM TO SECURELY STORE AND ORGANIZE DEPARTMENT HAND TOOLS, POWER TOOLS, AND MAINTENANCE EQUIPMENT. THE TOOL CHEST WILL SUPPORT VEHICLE MAINTENANCE, EQUIPMENT REPAIRS, FACILITY UPKEEP, AND OPERATIONAL READINESS. PROPER STORAGE WILL IMPROVE ACCOUNTABILITY, ACCESSIBILITY, AND EFFICIENCY WHILE PROTECTING DEPARTMENT ASSETS FROM DAMAGE OR LOSS.</t>
  </si>
  <si>
    <t xml:space="preserve">
Sales Order #: 2290969151
RTD Screening Code: DOD
Reason for Rejection: Y9</t>
  </si>
  <si>
    <t>2YTLN061633258</t>
  </si>
  <si>
    <t>SWANTON POLICE DEPARTMENT IS REQUESTING AN ALL-TERRAIN VEHICLE ATV THROUGH THE 1033 PROGRAM TO SUPPORT DAILY OPERATIONS, SPECIAL EVENT COVERAGE, AND EMERGENCY RESPONSE. THE ATV WILL PROVIDE ACCESS TO PARKS, TRAILS, AND OTHER AREAS NOT READILY ACCESSIBLE BY STANDARD PATROL VEHICLES. IT WILL ASSIST WITH PATROL FUNCTIONS, SEARCH EFFORTS, CROWD MANAGEMENT, AND RAPID RESPONSE DURING COMMUNITY EVENTS, IMPROVING MOBILITY, OPERATIONAL EFFICIENCY, AND PUBLIC SAFETY.</t>
  </si>
  <si>
    <t xml:space="preserve">
Sales Order #: 2290969158
RTD Screening Code: DOD
Reason for Rejection: Y9</t>
  </si>
  <si>
    <t>2YTLN061633062</t>
  </si>
  <si>
    <t>THESE ITEMS WILL BE USED BY THE POLICE DEPARTMENT TO INCREASE OFFICER FITNESS AND SAFETY.</t>
  </si>
  <si>
    <t xml:space="preserve">
Sales Order #: 2290969160
RTD Screening Code: DOD
Reason for Rejection: Y9</t>
  </si>
  <si>
    <t>2YTEJX61633207</t>
  </si>
  <si>
    <t xml:space="preserve">
Sales Order #: 2290969148
RTD Screening Code: DOD
Reason for Rejection: Y9</t>
  </si>
  <si>
    <t>2YTEED61632932</t>
  </si>
  <si>
    <t>FOR USE BY FCSO OFFICERS AT THE FCSO TRAINING ACADEMY FOR STORING TOOLS AND EQUIPMENT</t>
  </si>
  <si>
    <t xml:space="preserve">
Sales Order #: 2290969162
RTD Screening Code: DOD
Reason for Rejection: Y9</t>
  </si>
  <si>
    <t>2YTDXH61633213</t>
  </si>
  <si>
    <t>FOR USE BY FCSO SWAT AND PATROL OFFICERS IN CONDUCTING PHYSICAL FITNESS TRAINING AND TESTING</t>
  </si>
  <si>
    <t xml:space="preserve">
Sales Order #: 2290937006
RTD Screening Code: DOD
Reason for Rejection: Y9</t>
  </si>
  <si>
    <t>2YTDXH61633210</t>
  </si>
  <si>
    <t xml:space="preserve">
Sales Order #: 2291243665
RTD Screening Code: DOD
Reason for Rejection: Y9</t>
  </si>
  <si>
    <t>2YTLN061633310</t>
  </si>
  <si>
    <t xml:space="preserve">
Sales Order #: 2290936994
RTD Screening Code: DOD
Reason for Rejection: Y9</t>
  </si>
  <si>
    <t>2YTEED61632934</t>
  </si>
  <si>
    <t>BREWSTER POLICE DEPARTMENT WOULD USE THIS FOR OFFICER WELLNESS PROGRAM.</t>
  </si>
  <si>
    <t xml:space="preserve">
Sales Order #: 2289973245
RTD Screening Code: DOD
Reason for Rejection: YG</t>
  </si>
  <si>
    <t>2YTPF061421670</t>
  </si>
  <si>
    <t xml:space="preserve">
Sales Order #: 2290969145
RTD Screening Code: DOD
Reason for Rejection: YG</t>
  </si>
  <si>
    <t>2YTLV361563166</t>
  </si>
  <si>
    <t>THE SWANTON POLICE DEPARTMENT IS REQUESTING A MOBILE GENERATOR THROUGH THE 1033 PROGRAM TO SUPPORT EMERGENCY RESPONSE AND CONTINUITY OF OPERATIONS DURING POWER OUTAGES AND INCIDENTS. THE GENERATOR WILL PROVIDE TEMPORARY POWER FOR CRITICAL EQUIPMENT, SCENE LIGHTING, COMMUNICATIONS, AND TEMPORARY FACILITIES. THIS EQUIPMENT WILL IMPROVE OPERATIONAL READINESS AND ENSURE UNINTERRUPTED PUBLIC SAFETY SERVICES.</t>
  </si>
  <si>
    <t xml:space="preserve">
Sales Order #: 2290937009
RTD Screening Code: DOD
Reason for Rejection: YG</t>
  </si>
  <si>
    <t>2YTLN061563260</t>
  </si>
  <si>
    <t>THE SWANTON POLICE DEPARTMENT IS REQUESTING LUGGAGE AND GEAR BAGS THROUGH THE 1033 PROGRAM TO SUPPORT ORGANIZATION, STORAGE, AND TRANSPORT OF POLICE EQUIPMENT, TRAINING SUPPLIES, AND EMERGENCY RESPONSE GEAR. THESE BAGS WILL IMPROVE READINESS BY ALLOWING PERSONNEL TO SAFELY STORE AND RAPIDLY DEPLOY ESSENTIAL EQUIPMENT DURING DAILY OPERATIONS, TRAINING, AND SPECIAL EVENTS.</t>
  </si>
  <si>
    <t>2YTLN061563311</t>
  </si>
  <si>
    <t>2YTLN061563313</t>
  </si>
  <si>
    <t>2YTLN061563312</t>
  </si>
  <si>
    <t>WE WOULD USE THIS ITEM ON OUR POLICE DEPARTMENT.  THIS ITEM WOULD BE USED BY MEMBERS OF THE SWAT TEAM DURING WOODLAND TRAINING AND MISSIONS.</t>
  </si>
  <si>
    <t xml:space="preserve">
Sales Order #: 2290936997
RTD Screening Code: DOD
Reason for Rejection: Y9</t>
  </si>
  <si>
    <t>2YTLV361633043</t>
  </si>
  <si>
    <t>MOBILE FIELD FORCE FOR THE CLARK COUNTY SHERIFF'S OFFICE. PROTECTIVE EQUIPMENT</t>
  </si>
  <si>
    <t xml:space="preserve">
Sales Order #: 2289637142
RTD Screening Code: DOD
Reason for Rejection: YG</t>
  </si>
  <si>
    <t>2YTCFQ61421476</t>
  </si>
  <si>
    <t>THE MT. ORAB POLICE DEPARTMENT WOULD LIKE TO ACQUIRE THIS FLATBED TRAILER. WE WOULD UTILIZE THIS FOR PICKUPS WITH OUR LESO PROGRAM, MOVING THINGS FROM OUR IMPOUND SHOP TO OUR RANGE THAT NEEDS A FLAT TRAILER, THE GENERATOR WOULD BE USED TO POWER OUR OUTDOOR SIM HOUSE. WE WOULD ALSO USE THE FUEL TANK TO TRANSFER FUEL TO OUR MACHINES AT OUR RANGE.</t>
  </si>
  <si>
    <t>2YTH5S61492913</t>
  </si>
  <si>
    <t>2YTH5S61492912</t>
  </si>
  <si>
    <t>WE WOULD USE THIS ITEM ON OUR POLICE DEPARTMENT.  THIS ITEM WOULD BE USED BY MEMBERS OF THE SWAT TEAM DURING WOODLAND TRAINING AND MISSIONS</t>
  </si>
  <si>
    <t>2YTLV361633044</t>
  </si>
  <si>
    <t>FBI CINCINNATI REQUESTS THE OPTIC TO SUPPORT MISSION CRITICAL OPERATIONS.  FBI CINCINNATI CONFIRMS AND ACCEPTS CONDITION OF THE GLASS.</t>
  </si>
  <si>
    <t>2YTMRG61492620</t>
  </si>
  <si>
    <t>DOJ/FBI CINCINNATI (2YTMRG)</t>
  </si>
  <si>
    <t>THE MT. ORAB POLICE DEPARTMENT WOULD LIKE TO ACQUIRE THIS FLATBED TRAILER. WE ARE IN NEED OF A ABOVE WHEEL FLATBED TRAILER WITH A REGULAR TRUCK HITCH, NOT PINTLE. THIS WOULD MEET OUR NEEDS PERFECTLY TO BE ABLE TO GET LOADS FROM THE 1033 PROGRAM, WHERE WE ARE CURRENTLY USING PERSONAL TRAILERS. THIS WOULD BE HEAVY ENOUGH TO HAUL EVERYTHING WE CURRENTLY HAVE BACK AND FORTH TO OUR OUTDOOR RANGE AS WELL.</t>
  </si>
  <si>
    <t xml:space="preserve">
Sales Order #: 2290000724
RTD Screening Code: DOD
Reason for Rejection: Y9</t>
  </si>
  <si>
    <t>2YTH5S61491871</t>
  </si>
  <si>
    <t>FOR POLICE USE AS BACKUP POWER FOR ESSENTIAL EQUIPMENT.</t>
  </si>
  <si>
    <t xml:space="preserve">
Sales Order #: 2289075207
RTD Screening Code: DOD
Reason for Rejection: YG</t>
  </si>
  <si>
    <t>2YTHZ861350865</t>
  </si>
  <si>
    <t>FOR POLICE USE IN MAINTAINING FACILITIES OWNED BY THE DEPARTMENT.</t>
  </si>
  <si>
    <t xml:space="preserve">
Sales Order #: 2288894879
RTD Screening Code: DOD
Reason for Rejection: YG</t>
  </si>
  <si>
    <t>TAMPER,VIBRATING TYPE,INTERNAL COMBUSTIO</t>
  </si>
  <si>
    <t>2YTHZ861350866</t>
  </si>
  <si>
    <t>FOR POLICE USE IN POWERING MISSION ESSENTIAL EQUIPMENT WHILE AWAY FROM A POWER GRID.</t>
  </si>
  <si>
    <t xml:space="preserve">
Sales Order #: 2288894890
RTD Screening Code: DOD
Reason for Rejection: YG</t>
  </si>
  <si>
    <t>2YTHZ861350864</t>
  </si>
  <si>
    <t>FBI CINCINNATI REQUESTS THE OPTIC TO SUPPORT MISSION CRITICAL OPERATION.. ACCEPTS AND CONFIRMS THE CONDITION OF THE OPTIC.</t>
  </si>
  <si>
    <t xml:space="preserve">
Sales Order #: 2290010736
RTD Screening Code: DOD
Reason for Rejection: Y9</t>
  </si>
  <si>
    <t>2YTMRG61421607</t>
  </si>
  <si>
    <t xml:space="preserve">
Sales Order #: 2289971305
RTD Screening Code: DOD
Reason for Rejection: Y9</t>
  </si>
  <si>
    <t>2YTMRG61421606</t>
  </si>
  <si>
    <t xml:space="preserve">
Sales Order #: 2289971309
RTD Screening Code: DOD
Reason for Rejection: Y9</t>
  </si>
  <si>
    <t>2YTMRG61421605</t>
  </si>
  <si>
    <t>FBI CINCINNATI REQUESTS THE EQUIPMENT TO MAINTAIN PHYSICAL FITNESS STANDARDS TO SUPPORT MISSION CRITICAL OPERATIONS.</t>
  </si>
  <si>
    <t xml:space="preserve">
Sales Order #: 2290010728
RTD Screening Code: DOD
Reason for Rejection: Y9</t>
  </si>
  <si>
    <t>2YTMRG61421603</t>
  </si>
  <si>
    <t xml:space="preserve">
Sales Order #: 2289841987
RTD Screening Code: DOD
Reason for Rejection: Y9</t>
  </si>
  <si>
    <t>2YTEED61491816</t>
  </si>
  <si>
    <t>THE MT ORAB POLICE DEPARTMENT WOULD LIKE TO ACQUIRE THIS 6 WHEELED UTV. WE WOULD UTILIZE THIS AT OUR OUTDOOR RANGE AS A WAY TO MORE EQUIPMENT AROUND, AS WELL AS GENERAL MAINTENANCE . THIS WOULD BE A GREAT ITEM FOR OUR LONG RANGE SECTION TO MOVE BACK AND FORTH.</t>
  </si>
  <si>
    <t xml:space="preserve">
Sales Order #: 2288894868
RTD Screening Code: DOD
Reason for Rejection: Y9</t>
  </si>
  <si>
    <t>2YTH5S61350847</t>
  </si>
  <si>
    <t>FOR POLICE USE IN TRANSPORTING MATERIALS WHILE AT THE DEPARTMENT OWNED FIREARMS RANGE.</t>
  </si>
  <si>
    <t xml:space="preserve">
Sales Order #: 2288894876
RTD Screening Code: DOD
Reason for Rejection: Y9</t>
  </si>
  <si>
    <t>2YTHZ861350868</t>
  </si>
  <si>
    <t>THIS ITEM WILL BE USED BY THE POLICE DEPARTMENT IN THE CONSTRUCTION OF OUR TRAINING RANGE AND OTHER REPAIRS FOR THE POLICE DEPARTMENTS FACTILIES</t>
  </si>
  <si>
    <t xml:space="preserve">
Sales Order #: 2289210590
RTD Screening Code: DOD
Reason for Rejection: Y9</t>
  </si>
  <si>
    <t>2YTEJX61350924</t>
  </si>
  <si>
    <t>THE FULTON COUNTY SHERIFFS OFFICE IS REQUESTING THIS AIR COMPRESSOR SO WE CAN USE IT TO MAINTAIN THE AIR PRESSURE IN THE TIRES OF ALL OF OUR EMERGENCY VEHICLES.</t>
  </si>
  <si>
    <t xml:space="preserve">
Sales Order #: 2289767433
RTD Screening Code: DOD
Reason for Rejection: Y9</t>
  </si>
  <si>
    <t>2YTEED61351572</t>
  </si>
  <si>
    <t>BREWSTER POLICE DEPARTMENT CAN USE THIS FOR SELF DEFENSE TRAINING.</t>
  </si>
  <si>
    <t>2YTPF061351699</t>
  </si>
  <si>
    <t>BREWSTER POLICE DEPARTMENT WOULD USE THIS FOR THE OFFICER WELLNESS PROGRAM.</t>
  </si>
  <si>
    <t>2YTPF061351674</t>
  </si>
  <si>
    <t>BREWSTER POLICE DEPARTMENT WOULD USE THIS IN THE OFFICER WELLNESS PROGRAM.</t>
  </si>
  <si>
    <t>2YTPF061351673</t>
  </si>
  <si>
    <t>2YTPF061351672</t>
  </si>
  <si>
    <t>FOR USE BY FCSO OFFICERS IN LIGHTING RANGE AND CRIME SCENE OPERATIONS</t>
  </si>
  <si>
    <t xml:space="preserve">
Sales Order #: 2286796066
RTD Screening Code: DOD
Reason for Rejection: YG</t>
  </si>
  <si>
    <t>2YTDXH61007805</t>
  </si>
  <si>
    <t xml:space="preserve">
Sales Order #: 2288956707
RTD Screening Code: GSA
Reason for Rejection: YG</t>
  </si>
  <si>
    <t>2YTLN061210630</t>
  </si>
  <si>
    <t>FBI CINCINNATI REQUESTS THE PACK TO TRANSPORT ITEMS IN SUPPORT OF MISSION CRITICAL OPERATIONS.</t>
  </si>
  <si>
    <t>2YTMRG61421601</t>
  </si>
  <si>
    <t>THIS ITEM WILL BE USED BY THE POLICE DEPARTMENT FOR THE MINIATOUS AND UPKEEP OF POLICE VEHICLES AND EQUIPMENT.</t>
  </si>
  <si>
    <t xml:space="preserve">
Sales Order #: 2288956708
RTD Screening Code: GSA
Reason for Rejection: YG</t>
  </si>
  <si>
    <t>2YTEJX61210606</t>
  </si>
  <si>
    <t>THE FULTON COUNTY SHERIFFS OFFICE IS REQUESTING THIS TRUCK SO IT CAN BE USED TO MOVE OUR OFFICE HEAVY EQUIPMENT INCLUDING OUR MRAP. THIS WILL ALLOW US TO MOVE EQUIPMENT OUTSIDE THE CAPABILITIES OF A STANDARD TRUCK.</t>
  </si>
  <si>
    <t xml:space="preserve">
Sales Order #: 2289075215
RTD Screening Code: DOD
Reason for Rejection: Y9</t>
  </si>
  <si>
    <t>2YTEED61350667</t>
  </si>
  <si>
    <t>THE SWANTON POLICE DEPARTMENT IS REQUESTING A COMMERCIAL VAN THROUGH THE 1033 PROGRAM TO SUPPORT TRANSPORT OF EQUIPMENT, PERSONNEL, AND SUPPLIES. THE VAN WILL BE USED FOR SPECIAL EVENTS, TRAINING, AND EMERGENCY RESPONSE, INCLUDING MOVING GEAR FOR OPERATIONS AND COMMUNITY FUNCTIONS. THIS RESOURCE WILL IMPROVE ORGANIZATION, MOBILITY, AND OVERALL OPERATIONAL EFFICIENCY.</t>
  </si>
  <si>
    <t xml:space="preserve">
Sales Order #: 2288647032
RTD Screening Code: DOD
Reason for Rejection: Y9</t>
  </si>
  <si>
    <t>2YTLN061280146</t>
  </si>
  <si>
    <t xml:space="preserve">
Sales Order #: 2288615176
RTD Screening Code: DOD
Reason for Rejection: Y9</t>
  </si>
  <si>
    <t>2YTLN061280144</t>
  </si>
  <si>
    <t>FOR POLICE USE IN DEFEATING FOLIAGE WHEN MOTORIST BECOME STUCK WHEN CAREENING OFF THE ROAD INTO DITCHES AND TREE LINES.</t>
  </si>
  <si>
    <t xml:space="preserve">
Sales Order #: 2288894887
RTD Screening Code: DOD
Reason for Rejection: Y9</t>
  </si>
  <si>
    <t>2YTHZ861280663</t>
  </si>
  <si>
    <t>FOR POLICE USE IN ON SCENE INVESTIGATION WHERE RESOURCES ARE REQUIRED TO BE MOVED FROM THE DEPARTMENT TO THE SCENE OF A CRITICAL INCIDENT.</t>
  </si>
  <si>
    <t xml:space="preserve">
Sales Order #: 2288524688
RTD Screening Code: DOD
Reason for Rejection: Y9</t>
  </si>
  <si>
    <t>2YTHZ861280186</t>
  </si>
  <si>
    <t>THIS ITEM WILL BE USED BY THE POLICE DEPARTMENT AS A MOBILE COMMAND CENTER. THIS WILL BE EMPLOYED DURING FAIRS AND MAJOR EVENTS.</t>
  </si>
  <si>
    <t xml:space="preserve">
Sales Order #: 2288415411
RTD Screening Code: DOD
Reason for Rejection: Y9</t>
  </si>
  <si>
    <t>2YTEJX61280357</t>
  </si>
  <si>
    <t>FOR USE BY INDIVIDUAL FAIRFIELD COUNTY SHERIFF DEPUTIES FOR USE  TO CLEAR BRUSH AND STICKS DURING EVIDENCE COLLECTION AND RESCUE MISSIONS.  AND TO HAVE A GAS SHUT OFF TOOL</t>
  </si>
  <si>
    <t xml:space="preserve">
Sales Order #: 2289100820
RTD Screening Code: DOD
Reason for Rejection: Y9</t>
  </si>
  <si>
    <t>2YTDXH61280651</t>
  </si>
  <si>
    <t>FOR USE BY FCSO DIVE RESCUE OFFICER FOR TRANSPORTING, DEPLOYING AND COMMANDING DIVER RESCUE OPERATIONS</t>
  </si>
  <si>
    <t xml:space="preserve">
Sales Order #: 2288682554
RTD Screening Code: DOD
Reason for Rejection: Y9</t>
  </si>
  <si>
    <t>2YTDXH61280406</t>
  </si>
  <si>
    <t>FOR POLICE USE IN POWERING MISSION ESSENTIAL EQUIPMENT IN REMOTE AREAS WHERE LOCAL POWER MAY NOT BE PRESENT.</t>
  </si>
  <si>
    <t xml:space="preserve">
Sales Order #: 2287640259
RTD Screening Code: DOD
Reason for Rejection: YG</t>
  </si>
  <si>
    <t>2YTHZ861148954</t>
  </si>
  <si>
    <t>FOR USE BY INDIVIDUAL FAIRFIELD COUNTY SHERIFF DEPUTIES FOR USE TO KEEP WARM DURING COLD WEATHER SWAT OPERATIONS AND FOR USE BY SNIPERS FOR GROUND MATS  IN WET WEATHER CONDITIONS</t>
  </si>
  <si>
    <t xml:space="preserve">
Sales Order #: 2289100826
RTD Screening Code: GSA
Reason for Rejection: Y9</t>
  </si>
  <si>
    <t>2YTDXH61210652</t>
  </si>
  <si>
    <t>FOR USE BY THE FAIRFIELD COUNTY SHERIFF OFFICE FOR USE AT THE SHERIFFS OFFICE TRAINING CENTER TO SET UP AREAS FOR MOCK HIGH LEVEL SENERIO TRAINING AREAS</t>
  </si>
  <si>
    <t>2YTDXH61210645</t>
  </si>
  <si>
    <t>THESE ITEMS WILL BE USED BY THE POLICE DEPARTMENTS TRAINING UNIT FOR INSERVICE TRAINING ACTIVIES IN ORDER TO INCREASE OFFICER SAFTEY.</t>
  </si>
  <si>
    <t>2YTEJX61350837</t>
  </si>
  <si>
    <t>THE MT. ORAB POLICE DEPARTMENT WOULD LIKE TO ACQUIRE THIS ASSISTED PULL UP MACHINE. WE WOULD UTILIZE THIS IN OUR OFFICER ONLY GYM, WHICH IS PART OF OUR OFFICER WELLNESS PROGRAM. WE CURRENTLY DO NOT HAVE ANY ASSISTED PULLUP OR DIP MACHINES.</t>
  </si>
  <si>
    <t xml:space="preserve">
Sales Order #: 2288924322
RTD Screening Code: DOD
Reason for Rejection: Y9</t>
  </si>
  <si>
    <t>2YTH5S61280526</t>
  </si>
  <si>
    <t>FOR USE BY THE FAIRFIELD COUNTY SHERIFFS OFFCIE FOR USE TO STORE INVENTORY RECORDS AND TRAINING RECORDS FOR SWAT AND SWAT MISSIONS</t>
  </si>
  <si>
    <t>CABINETS, LOCKERS, BINS, AND SHELVING</t>
  </si>
  <si>
    <t>DSCABINSH</t>
  </si>
  <si>
    <t>2YTDXH61210639</t>
  </si>
  <si>
    <t>THE MT. ORAB POLICE DEPARTMENT WOULD LIKE TO ACQUIRE THIS 6 WHEELED UTV. WE ARE IN NEED OF A UTV FOR OUR OUTDOOR RANGE. THIS WOULD ASSIST IN MAINTENANCE AND MOVING TARGETS. THIS COULD HELP MOVE GEAR FOR OUR LONG RANGE AREA AS WELL.</t>
  </si>
  <si>
    <t xml:space="preserve">
Sales Order #: 2288229875
RTD Screening Code: DOD
Reason for Rejection: Y9</t>
  </si>
  <si>
    <t>2YTH5S61219414</t>
  </si>
  <si>
    <t>THE FULTON COUNTY SHERIFFS OFFICE IS REQUESTING THIS ATV SO DEPUTIES CAN USE IT IN OUR RURAL COUNTY FOR SEARCH AND RESCUE OPERATIONS. THIS WILL ALLOW DEPUTIES TO TRAVEL INTO PLACES A PATROL CAR CANNOT.</t>
  </si>
  <si>
    <t xml:space="preserve">
Sales Order #: 2288443116
RTD Screening Code: DOD
Reason for Rejection: Y9</t>
  </si>
  <si>
    <t>2YTEED61280019</t>
  </si>
  <si>
    <t>FOR USE BY FCSO SWAT AND PATROL OFFICERS IN CONDUCTING RURAL SEARCH AND RESCUE OPERATIONS</t>
  </si>
  <si>
    <t xml:space="preserve">
Sales Order #: 2288682541
RTD Screening Code: DOD
Reason for Rejection: Y9</t>
  </si>
  <si>
    <t>2YTDXH61280409</t>
  </si>
  <si>
    <t xml:space="preserve">
Sales Order #: 2288674791
RTD Screening Code: DOD
Reason for Rejection: Y9</t>
  </si>
  <si>
    <t>2YTDXH61280408</t>
  </si>
  <si>
    <t xml:space="preserve">
Sales Order #: 2288674797
RTD Screening Code: DOD
Reason for Rejection: Y9</t>
  </si>
  <si>
    <t>2YTDXH61280407</t>
  </si>
  <si>
    <t>THE SWANTON POLICE DEPARTMENT IS REQUESTING AN ALL-TERRAIN VEHICLE ATV THROUGH THE 1033 PROGRAM TO ENHANCE PATROL CAPABILITIES AND EMERGENCY RESPONSE IN AREAS NOT EASILY ACCESSIBLE BY STANDARD PATROL VEHICLES. THE ATV WILL BE UTILIZED FOR PATROL AND ENFORCEMENT IN PARKS, TRAILS, AND OTHER OFF-ROAD OR RESTRICTED-ACCESS AREAS WITHIN THE VILLAGE OF SWANTON.
THIS EQUIPMENT WILL ALSO SUPPORT OPERATIONS DURING LARGE COMMUNITY EVENTS, SUCH AS FESTIVALS AND FIREWORKS.</t>
  </si>
  <si>
    <t xml:space="preserve">
Sales Order #: 2286712857
RTD Screening Code: DOD
Reason for Rejection: YG</t>
  </si>
  <si>
    <t>2YTLN061007625</t>
  </si>
  <si>
    <t>THE SWANTON POLICE DEPARTMENT IS REQUESTING A TELEHANDLER FORKLIFT THROUGH THE 1033 PROGRAM TO ASSIST WITH MOVING HEAVY EQUIPMENT, AND MATERIALS RELATED TO OPERATIONS, TRAINING, AND FACILITY NEEDS, INCLUDING THE POLICE DEPARTMENTS FIREARMS RANGE. THIS EQUIPMENT WILL SUPPORT PROPERTY HANDLING, RANGE MAINTENANCE, AND LOGISTICS DURING RECOVERY AND SPECIAL PROJECTS, IMPROVING EFFICIENCY, SAFETY, AND OVERALL OPERATIONAL READINESS.</t>
  </si>
  <si>
    <t xml:space="preserve">
Sales Order #: 2286788515
RTD Screening Code: DOD
Reason for Rejection: YG</t>
  </si>
  <si>
    <t>2YTLN060938007</t>
  </si>
  <si>
    <t>THIS TRAILER WILL BE USED BY THE POLICE DEPARTMENT FOR THE TRASNPORT OF POLICE EQUIPMENT AND VEHICLES IN ORDER TO IMPROVE MANY AREAR OF DEPARTMENT OPPERATIONS. SUCH AS TRASNPORTING OUR U.T.V. VEHICLES TO EMERGENCY SCENES.</t>
  </si>
  <si>
    <t xml:space="preserve">
Sales Order #: 2288229881
RTD Screening Code: DOD
Reason for Rejection: Y9</t>
  </si>
  <si>
    <t>2YTEJX61219417</t>
  </si>
  <si>
    <t>THE FULTON COUNTY SHERIFFS OFFICE IS REQUESTING THIS SUV SO IT CAN BE UTILIZED FOR PATROL OPERATIONS. THIS WILL PROVIDE A MUCH TRANSPORTATION FOR DEPUTIES AND BE UTILIZED DURING EMERGENCY OPERATIONS. THIS WILL FURTHER ALLOW MULTIPLE DEPUTIES TO RESPOND TO CALLS FOR SERVICE AND SERVE THE CITIZENS OF FULTON COUNTY.</t>
  </si>
  <si>
    <t xml:space="preserve">
Sales Order #: 2288244196
RTD Screening Code: DOD
Reason for Rejection: Y9</t>
  </si>
  <si>
    <t>2YTEED61219288</t>
  </si>
  <si>
    <t>FOR SUPPORT OF  UPCOMING SPECIALIZED LAW ENFORCEMENT PROJECT.</t>
  </si>
  <si>
    <t>GAMES, TOYS, WHEELED, GOODS</t>
  </si>
  <si>
    <t>DSGAME000</t>
  </si>
  <si>
    <t>2YTRVV61149698</t>
  </si>
  <si>
    <t>DOJ/ATF COLUMBUS (2YTRVV)</t>
  </si>
  <si>
    <t xml:space="preserve">
Sales Order #: 2287724200
RTD Screening Code: DOD
Reason for Rejection: Z2</t>
  </si>
  <si>
    <t>2YTLV361149072</t>
  </si>
  <si>
    <t xml:space="preserve">
Sales Order #: 2287805890
RTD Screening Code: DOD
Reason for Rejection: Z2</t>
  </si>
  <si>
    <t>2YTLV361149071</t>
  </si>
  <si>
    <t xml:space="preserve">
Sales Order #: 2287805886
RTD Screening Code: DOD
Reason for Rejection: Z2</t>
  </si>
  <si>
    <t>2YTLV361149066</t>
  </si>
  <si>
    <t>2YTEED61280023</t>
  </si>
  <si>
    <t xml:space="preserve">
Sales Order #: 2287724192
RTD Screening Code: DOD
Reason for Rejection: Z2</t>
  </si>
  <si>
    <t>2YTLV361149075</t>
  </si>
  <si>
    <t xml:space="preserve">
Sales Order #: 2287724182
RTD Screening Code: DOD
Reason for Rejection: Z2</t>
  </si>
  <si>
    <t>2YTLV361149073</t>
  </si>
  <si>
    <t xml:space="preserve">
Sales Order #: 2287805881
RTD Screening Code: DOD
Reason for Rejection: Z2</t>
  </si>
  <si>
    <t>2YTLV361149068</t>
  </si>
  <si>
    <t>FBI CINCINNATI REQUESTS THE OPTIC TO SUPPORT MISSION CRITICAL OPERATIONS... ACCEPTS AND CONFIRMS CONDITION OF THE OPTIC.</t>
  </si>
  <si>
    <t>2YTMRG61219750</t>
  </si>
  <si>
    <t>FOR PERFORMANCE OF OUR FEDERAL LE MISSION.</t>
  </si>
  <si>
    <t>2YTRVV61149629</t>
  </si>
  <si>
    <t>2YTRVV61149628</t>
  </si>
  <si>
    <t>THE FULTON COUNTY SHERIFFS OFFICE IS REQUESTING THIS MRAP, SO DEPUTIES CAN USE IT FOR EMERGENCY SITUATIONS, INCLUDING ARMED BARRICADED SUBJECTS, ACTIVE SHOOTER, AND NATURAL DISASTERS. THIS WILL PROVIDE A NEEDED RESOURCE TO OUR AREA AND IS SMALLER AND LIGHTER THAN OUR CURRENT ONE. THIS WILL ALLOW US TO GET TO PLACES CURRENTLY UNABLE TO BE ACCESSED AND ADDRESS A NEED IN OUR COUNTY. OUR DEMIL AND ARMORED VEHICLE PAPERWORK IS CURRENTLY ON FILE AND I HAVE SENT AN UPDATED ONE FOR APPROVAL.</t>
  </si>
  <si>
    <t>Rejected by EBP1178.  Comments: Spoke with DLA these are not operational MRAPs are controlled through DLA outside of RTD.</t>
  </si>
  <si>
    <t>MINE RESISTANT VEHI</t>
  </si>
  <si>
    <t>2YTEED61219286</t>
  </si>
  <si>
    <t>FOR POLICE USE IN STORING AND MOVING LARGER ESSENTIAL EQUIPMENT TO SCENES.</t>
  </si>
  <si>
    <t xml:space="preserve">
Sales Order #: 2287217465
RTD Screening Code: DOD
Reason for Rejection: Y9</t>
  </si>
  <si>
    <t>2YTHZ861078339</t>
  </si>
  <si>
    <t>FOR POLICE USE IN MOVING OF MISSION ESSENTIAL EQUIPMENT FROM VARIOUS LOCATIONS IN TRAINING AND DURING OPERATIONS.</t>
  </si>
  <si>
    <t xml:space="preserve">
Sales Order #: 2287217444
RTD Screening Code: DOD
Reason for Rejection: Y9</t>
  </si>
  <si>
    <t>2YTHZ861078338</t>
  </si>
  <si>
    <t>THE FULTON COUNTY SHERIFFS OFFICE IS REQUESTING THIS SNOW BLOWER SO WE CAN CLEAR OUR OFFICE PARKING LOT DURING THE WINTER. THIS WILL ALSO BE USED TO CLEAR THE DRIVE AND PARKING AREA WHERE ALL OF OUR EMERGENCY EQUIPMENT IS HELD ALLOWING IT TO BE USED DURING THE WINTER.</t>
  </si>
  <si>
    <t xml:space="preserve">
Sales Order #: 2287217430
RTD Screening Code: DOD
Reason for Rejection: Y9</t>
  </si>
  <si>
    <t>2YTEED61078212</t>
  </si>
  <si>
    <t>THE FULTON COUNTY SHERIFFS OFFICE IS REQUESTING THIS TRUCK SO WE CAN USE IT TO MOVE OUR HEAVY EQUIPMENT TO EMERGENCY SCENES</t>
  </si>
  <si>
    <t xml:space="preserve">
Sales Order #: 2287217453
RTD Screening Code: DOD
Reason for Rejection: Y9</t>
  </si>
  <si>
    <t>2YTEED61078205</t>
  </si>
  <si>
    <t>WE WOULD USE THESE ON OUR POLICE DEPARTMENT. WE WOULD USE THESE AT THE SHOOTING RANGE AND AT TRAINING. ISSUE TO OFFICERS FOR EYE PROTECTION DURING LIVE FIRE AND SHOOTING EXERCISES.</t>
  </si>
  <si>
    <t xml:space="preserve">
Sales Order #: 2285864862
RTD Screening Code: DOD
Reason for Rejection: YG</t>
  </si>
  <si>
    <t>2YTLV360866100</t>
  </si>
  <si>
    <t>WE WOULD USE THESE ITEMS ON OUR POLICE DEPARTMENT.  WE WOULD ISSUE THEM TO MEMBERS OF OUR SWAT SNIPER TEAM.  THEY WOULD USE THESE DURING TRAINING, BARRICADED SUSPECTS, AND EMERGENCY SITUATIONS.</t>
  </si>
  <si>
    <t>2YTLV361149062</t>
  </si>
  <si>
    <t>THE SWANTON POLICE DEPARTMENT IS REQUESTING A PICKUP TRUCK THROUGH THE 1033 PROGRAM TO SUPPORT DAILY OPERATIONS AND EMERGENCY RESPONSE. THE VEHICLE WILL BE USED TO TRANSPORT EQUIPMENT, TOW TRAILERS, AND ACCESS AREAS NOT SUITABLE FOR STANDARD PATROL VEHICLES. IT WILL ASSIST WITH SPECIAL EVENTS, SCENE MANAGEMENT, AND RECOVERY EFFORTS, IMPROVING MOBILITY, EFFICIENCY, AND OVERALL OPERATIONAL READINESS.</t>
  </si>
  <si>
    <t xml:space="preserve">
Sales Order #: 2287640278
RTD Screening Code: DOD
Reason for Rejection: BQ</t>
  </si>
  <si>
    <t>2YTLN061078947</t>
  </si>
  <si>
    <t>THE SWANTON POLICE DEPARTMENT IS REQUESTING A STORAGE CONTAINER THROUGH THE 1033 PROGRAM FOR USE AT THE DEPARTMENT SHOOTING RANGE. THE CONTAINER WILL SECURELY STORE TRAINING EQUIPMENT, TARGETS, AND SUPPLIES, IMPROVING ORGANIZATION, SAFETY, AND EFFICIENCY. THIS RESOURCE WILL SUPPORT ONGOING FIREARMS TRAINING AND ENSURE PROPER MAINTENANCE AND ACCESSIBILITY OF ESSENTIAL EQUIPMENT.</t>
  </si>
  <si>
    <t xml:space="preserve">
Sales Order #: 2286683267
RTD Screening Code: DOD
Reason for Rejection: YG</t>
  </si>
  <si>
    <t>2YTLN061007716</t>
  </si>
  <si>
    <t>THE SWANTON POLICE DEPARTMENT IS REQUESTING A TRAILER THROUGH THE 1033 PROGRAM TO SUPPORT THE TRANSPORT OF EQUIPMENT AND EMERGENCY RESPONSE GEAR. THE TRAILER WILL BE USED DURING SPECIAL EVENTS, INCIDENTS, AND OPERATIONS REQUIRING RAPID DEPLOYMENT. THIS RESOURCE WILL IMPROVE MOBILITY, EFFICIENCY, AND OVERALL OPERATIONAL READINESS WHILE ENHANCING SERVICE TO THE COMMUNITY.</t>
  </si>
  <si>
    <t xml:space="preserve">
Sales Order #: 2286683274
RTD Screening Code: DOD
Reason for Rejection: YG</t>
  </si>
  <si>
    <t>2YTLN061007629</t>
  </si>
  <si>
    <t>THE UTILITY VEHICLE WOULD BE USED BY OFFICERS DURING NATURAL DISASTER EVENTS, SUCH AS FLOODING TO TRANSPORT EQUIPMENT PUMPS, HOSES, GENERATORS, SIGNAGE TO AREAS WHERE NEEDED WITHIN THE VILLAGE OF SEVEN MILE. THE VEHICLE WOULD ALSO BE USED BY OFFICERS DURING LOCAL EVENTS WITHIN THE VILLAGE.</t>
  </si>
  <si>
    <t xml:space="preserve">
Sales Order #: 2285840393
RTD Screening Code: GSA
Reason for Rejection: YG</t>
  </si>
  <si>
    <t>2YTQ1160796284</t>
  </si>
  <si>
    <t>SEVEN MILE POLICE DEPARTMENT (2YTQ11)</t>
  </si>
  <si>
    <t>TO BE ISSUED TO THE EMPLOYEES AT THE AUGLAIZE COUNTY SHERIFF'S OFFICE TO BE CARRIED ON DUTY ON IN CRUISERS TO BE USED ONLY FOR OFFICIAL DUTIES.</t>
  </si>
  <si>
    <t>Property is in the GSA cycle</t>
  </si>
  <si>
    <t>2YTPFN61008795</t>
  </si>
  <si>
    <t>THE MT. ORAB POLICE DEPARTMENT WOULD LIKE TO ACQUIRE THIS TABLE SAW. WE DO MOST OF OUR OWN PROJECTS WHILE OFF DUTY, INCLUDING PROJECTS AT OUR RANGE AND SHOP. WE CURRENTLY HAVE TO USE OUR PERSONAL SAWS FOR WOOD PROJECTS AND THIS WOULD MAKE IT SO WE HAD A DEDICATED SAW FOR OUR DEPARTMENT.</t>
  </si>
  <si>
    <t xml:space="preserve">
Sales Order #: 2287217447
RTD Screening Code: DOD
Reason for Rejection: Y9</t>
  </si>
  <si>
    <t>2YTH5S61008291</t>
  </si>
  <si>
    <t>THE MT. ORAB POLICE DEPARTMENT WOULD LIKE TO ACQUIRE THIS GATOR UTV. WE WOULD UTILIZE THIS AT OUR OUT DOOR RANGE. THIS WOULD BE ABLE TO HAUL EQUIPMENT FOR MAINTENANCE LIKE WEED EATING, COLLECTING BRUSH, AND HAULING TARGETS, AS WELL AS JUST MOVING AROUND OUR LARGE RANGE. THESE THING ARE ALL PERFORMED BY OFF DUTY OFFICERS.</t>
  </si>
  <si>
    <t xml:space="preserve">
Sales Order #: 2286821628
RTD Screening Code: DOD
Reason for Rejection: Y9</t>
  </si>
  <si>
    <t>2YTH5S61007666</t>
  </si>
  <si>
    <t>FOR POLICE USE IN TRANSPORTING EQUIPMENT FROM THE DEPARTMENT TO CRUISERS.</t>
  </si>
  <si>
    <t>2YTHZ861018810</t>
  </si>
  <si>
    <t>FOR POLICE USE IN POWERING ESSENTIAL EQUIPMENT WHILE AWAY FROM ESTABLISHED POWER GRID.</t>
  </si>
  <si>
    <t>2YTHZ861018809</t>
  </si>
  <si>
    <t>THIS TRAILER WILL BE USED BY THE POLICE DEPARTMENT TO HAUL OUT ATV AND OTHER EQUIPMENT.</t>
  </si>
  <si>
    <t xml:space="preserve">
Sales Order #: 2286803340
RTD Screening Code: DOD
Reason for Rejection: Y9</t>
  </si>
  <si>
    <t>2YTEJX61007865</t>
  </si>
  <si>
    <t>THIS ATV WILL BE USED BY THE POLICE DEPARTMENT TO PATROL THE COUNTY FAIL GROUNDS AND DURING EMERGENCIES AND TRAINING ACTIVITIES TO TRANSPORT PEOPLE AND EQUIPMENT.</t>
  </si>
  <si>
    <t xml:space="preserve">
Sales Order #: 2286803384
RTD Screening Code: DOD
Reason for Rejection: Y9</t>
  </si>
  <si>
    <t>2YTEJX61007863</t>
  </si>
  <si>
    <t>THE FULTON COUNTY SHERIFFS OFFICE IS REQUESTING THESE LIGHTS SO WE CAN USE THEM DURING EMERGENCY OPERATIONS. THESE WILL PROVIDE PORTABLE LIGHTING ON EMERGENCY SCENES DURING THE NIGHT.</t>
  </si>
  <si>
    <t xml:space="preserve">
Sales Order #: 2286712866
RTD Screening Code: DOD
Reason for Rejection: Y9</t>
  </si>
  <si>
    <t>2YTEED61007533</t>
  </si>
  <si>
    <t>FOR USE BY FCSO OFFICERS AS STAGING AND COMMAND FOR DIVE RESCUE OPS</t>
  </si>
  <si>
    <t xml:space="preserve">
Sales Order #: 2286830720
RTD Screening Code: DOD
Reason for Rejection: Y9</t>
  </si>
  <si>
    <t>2YTDXH61007824</t>
  </si>
  <si>
    <t xml:space="preserve">
Sales Order #: 2286830732
RTD Screening Code: DOD
Reason for Rejection: Y9</t>
  </si>
  <si>
    <t>2YTDXH61007822</t>
  </si>
  <si>
    <t>REFLEX SIGHT FOR FBI FIREARMS PROGRAM AND FBI CLEVELAND TRAINING UNIT. ITEM WOULD BE USED FOR TRAINING, VARIOUS EXERCISES AND MISSIONS. TO BE ISSUED ONLY TO LAW ENFORCEMENT AND OFFICIAL PURPOSE ONLY.</t>
  </si>
  <si>
    <t xml:space="preserve">
Sales Order #: 2285599815
RTD Screening Code: DOD
Reason for Rejection: Y9</t>
  </si>
  <si>
    <t>2YTMRH60584601</t>
  </si>
  <si>
    <t>THE FIELD PACKS WOULD BE ISSUED TO EACH DEPUTY TO KEEP THERE COLD WEATHER OF EXTRA GEAR IN FOR THE TRUNK ON THERE CRUISER. THE PACKS WOULD BE ASSIGNED TO A DEPUTY AND WOULD ONLY BE USED FOR OFFICIAL DUTY USE.</t>
  </si>
  <si>
    <t>2YTPFN61008791</t>
  </si>
  <si>
    <t>THE TRAINING AIDS WOULD BE USED BY AUGLAIZE COUNTY SHERIFF'S OFFICE EMPLOYEES. THEY WOULD LEARN HOW TO TREAT WOUNDS THAT DEPUTIES MIGHT COME ACROSS. THE TRAINING AIDS WOULD BE USED ONLY FOR OFFICIAL DUTY PURPOSES AND WOULD BE HOUSED IN A SECURE LOCATION WHEN NOT IN USE.</t>
  </si>
  <si>
    <t>2YTPFN61008790</t>
  </si>
  <si>
    <t>THE DEPARTMENT UTILIZES CONDUCTED ENERGY WEAPONS AS A CRITICAL LESS-LETHAL OPTION. TO ENSURE CONTINUED OPERATIONAL READINESS, AN ADEQUATE SUPPLY OF COMPATIBLE CARTRIDGES IS REQUIRED FOR BOTH DEPLOYMENT AND REQUIRED TRAINING. OUR EXISTING INVENTORY IS LIMITED DUE TO REGULAR USE AND EXPIRATION, WE HAVE LESS THAN 20 REMAINING. ACQUIRING ADDITIONAL CARTRIDGES WILL SUPPORT SAFE, EFFECTIVE USE-OF-FORCE PRACTICES AND PROPER OFFICER TRAINING. WE ARE WILLING TO PAY SHIPPING IF NECESSARY.</t>
  </si>
  <si>
    <t>2YTA0761078666</t>
  </si>
  <si>
    <t>FOR POLICE USE IN TRAINING AND WOODLAND MISSIONS.</t>
  </si>
  <si>
    <t xml:space="preserve">
Sales Order #: 2287217474
RTD Screening Code: DOD
Reason for Rejection: Y9</t>
  </si>
  <si>
    <t>2YTHZ861008343</t>
  </si>
  <si>
    <t>THIS DRONE SYSTEM WILL BE USED BY THE POLICE DEPARTMENT FOR RESCUE , SEARCH AND CRIME SCENE OPPERATIONS IN ADDITION TO OTHER POLICE RELATED EVENTS AS NEEDED.</t>
  </si>
  <si>
    <t>2YTEJX61078393</t>
  </si>
  <si>
    <t>2YTEJX61078391</t>
  </si>
  <si>
    <t>2YTEJX61078389</t>
  </si>
  <si>
    <t>FOR USE BY FCSO OFFICERS AS A RESPONSE TRAILER FOR THE DIVE RESCUE UNIT AT THE FAIRFIELD COUNTY SHERIFF'S OFFICE</t>
  </si>
  <si>
    <t xml:space="preserve">
Sales Order #: 2286335454
RTD Screening Code: DOD
Reason for Rejection: Y9</t>
  </si>
  <si>
    <t>2YTDXH60937088</t>
  </si>
  <si>
    <t>THIS TRUCK WILL BE USED BY THE POLICE DEPARTMENT TO TRANSPORT EQUIPMENT, TRAILERS AND GEAR IN SUPPORT OF POLICE OPERATIONS.</t>
  </si>
  <si>
    <t xml:space="preserve">
Sales Order #: 2286803360
RTD Screening Code: DOD
Reason for Rejection: Y9</t>
  </si>
  <si>
    <t>2YTEJX61007872</t>
  </si>
  <si>
    <t>THE FULTON COUNTY SHERIFFS OFFICE IS REQUESTING THIS TRUCK SO WE CAN PULL OUR TRAILERS CONTAINING EMERGENCY EQUIPMENT TO EMERGENCY SCENES.</t>
  </si>
  <si>
    <t xml:space="preserve">
Sales Order #: 2286712852
RTD Screening Code: DOD
Reason for Rejection: Y9</t>
  </si>
  <si>
    <t>2YTEED61007775</t>
  </si>
  <si>
    <t>WE ARE AN AGENCY OF 32 OFFICERS.  SHIELDS WOULD BE ISSUED TO OUR PATROL LEVEL OFFICERS WOULD PROVIDE A NEEDED LEVEL OF PROTECTION OUR CITY COULD NOT OTHERWISE AFFORD TO PURCHASE.  SHIELDS WILL ENHANCE OFFICER SAFETY DURING HIGH-RISK INCIDENTS, INCLUDING ACTIVE SHOOTER EVENTS, WARRANT SERVICE, AND BARRICADED SUSPECTS. THESE SHIELDS PROVIDE IMMEDIATE PROTECTION, IMPROVING SURVIVABILITY FOR OFFICERS AND CIVILIANS WHILE ENABLING EFFECTIVE RESPONSE,RESCUE,AND THREAT CONTAINMENT IN CRITICAL SITUATIONS</t>
  </si>
  <si>
    <t>CANCELLED: Property is located in Hawaii and the LEA would have to pay for shipping of these items. Cancelled per State Coordinators request.</t>
  </si>
  <si>
    <t>2YTA0761288021</t>
  </si>
  <si>
    <t>THIS ITEM WILL BE USED BY THE POLICE DEPARTMENT TO HAUL GEAR AND PEOPLE DURING EMERGENCIES, FAIRS AND FESTIVALS</t>
  </si>
  <si>
    <t xml:space="preserve">
Sales Order #: 2286803341
RTD Screening Code: DOD
Reason for Rejection: Y9</t>
  </si>
  <si>
    <t>2YTEJX61007868</t>
  </si>
  <si>
    <t>FULTON COUNTY SHERIFFS OFFICE IS REQUESTING THIS ATV SO DEPUTIES CAN PROVIDE SEARCH AND RESCUE OPERATIONS OFF ROAD. THIS WILL PROVIDE DEPUTIES WITH THE ABILITY TO SEARCH LOCATIONS NOT ACCESSIBLE BY CAR</t>
  </si>
  <si>
    <t xml:space="preserve">
Sales Order #: 2286712877
RTD Screening Code: DOD
Reason for Rejection: Y9</t>
  </si>
  <si>
    <t>2YTEED61007776</t>
  </si>
  <si>
    <t>FOR USE BY FCSO SWAT AND PATROL OFFICERS IN RURAL SEARCH AND RESCUE</t>
  </si>
  <si>
    <t xml:space="preserve">
Sales Order #: 2286712872
RTD Screening Code: DOD
Reason for Rejection: Y9</t>
  </si>
  <si>
    <t>2YTDXH61007799</t>
  </si>
  <si>
    <t>THE ONEIDA CITY POLICE DEPARTMENT, NY, REQUESTS THIS VEHICLE TO SUPPLEMENT A DIMINISHED FLEET OF PATROL AND UNMARKED INVESTIGATIVE VEHICLES THAT HAVE NOT BEEN REPLACED DUE TO BUDGET CONSTRAINTS. THE VEHICLE WILL BE USED DAILY FOR CRIMINAL INVESTIGATIONS, SURVEILLANCE OPERATIONS, TRANSPORTATION OF PERSONNEL, EQUIPMENT, AND EVIDENCE, AS WELL AS SPECIAL EVENTS, EMERGENCY RESPONSE, AND MUTUAL AID OPERATIONS. THE VEHICLE WILL ENHANCE PUBLIC SAFETY AND OPERATIONAL READINESS WHILE REDUCING COSTS TO TAX</t>
  </si>
  <si>
    <t xml:space="preserve">
Sales Order #: 2292091339
RTD Screening Code: DOD
Reason for Rejection: Y9</t>
  </si>
  <si>
    <t>2YTPBP61844451</t>
  </si>
  <si>
    <t>ONEIDA CITY POLICE DEPARTMENT (2YTPBP)</t>
  </si>
  <si>
    <t xml:space="preserve">
Sales Order #: 2292091345
RTD Screening Code: DOD
Reason for Rejection: Y9</t>
  </si>
  <si>
    <t>2YTPBP61844447</t>
  </si>
  <si>
    <t xml:space="preserve">
Sales Order #: 2292091342
RTD Screening Code: DOD
Reason for Rejection: Y9</t>
  </si>
  <si>
    <t>2YTPBP61844446</t>
  </si>
  <si>
    <t>ONEIDA CITY POLICE DEPARTMENT, NY, WILL USE THIS TRAILER FOR TRANSPORTATION OF LARGE PIECES OF EQUIPMENT TO COMMUNITY EVENTS AND SPECIAL INCIDENTS.  IT WILL ALSO SERVE IN CONJUNCTION WITH SCENE AND INCIDENT OPERATIONS AS A COMMAND POST AND OR STAGING AREAS DURING A CRITICAL INCIDENT.  IT WILL BE VERY USEFUL IN HAVING EQUIPMENT MORE READILY AVAILABLE FOR QUICK RESPONSES TO SCENES AND EVENTS.</t>
  </si>
  <si>
    <t xml:space="preserve">
Sales Order #: 2291712933
RTD Screening Code: DOD
Reason for Rejection: Y9</t>
  </si>
  <si>
    <t>2YTPBP61773893</t>
  </si>
  <si>
    <t>ONEIDA CITY POLICE DEPARTMENT, NY, WILL BE UTILIZED DAILY AND SUPPLEMENT THE DIMINISHED FLEET OF PATROL CARS AND OPD INVESTIGATOR UNMARKED VEHICLES THAT HAVE NOT BEEN REPLACED DUE TO BUDGETARY CONSTRAINTS. INVESTIGATIVE UNIT MAY USE THIS VEHICLE FOR DRUG BUYS WITH INFORMANTS.  IT WILL ALSO BE USED FOR SPECIAL EVENTS, TRANSPORTATION OF EQUIPMENT, EVIDENCE, AND GENERAL DUTIES.</t>
  </si>
  <si>
    <t xml:space="preserve">
Sales Order #: 2291410910
RTD Screening Code: DOD
Reason for Rejection: Y9</t>
  </si>
  <si>
    <t>2YTPBP61773876</t>
  </si>
  <si>
    <t>MEMBERS OF THE YONKERS POLICE DEPARTMENT WILL USE THIS DRILL PRESS TO REPAIR AND BUILD DEPARTMENT EQUIPMENT AND VEHICLES</t>
  </si>
  <si>
    <t xml:space="preserve">
Sales Order #: 2292091340
RTD Screening Code: DOD
Reason for Rejection: Y9</t>
  </si>
  <si>
    <t>DRILLING MACHINE,UP</t>
  </si>
  <si>
    <t>2YTNZL61774429</t>
  </si>
  <si>
    <t>MEMBERS OF THE YONKERS POLICE DEPARTMENT WILL USE THIS BOBCAT MACHINE TO HELP CLEAN AND MAINTAIN OUR TRAINING CENTER, THIS MACHINE WILL HELP CLEAR SNOW, MOVE AND LEVEL GRAVEL AROUND THE TRAINING YARD. IT WILL ALSO HELP MOVE EQUIPMENT AND SUPPLIES</t>
  </si>
  <si>
    <t xml:space="preserve">
Sales Order #: 2290935838
RTD Screening Code: DOD
Reason for Rejection: YG</t>
  </si>
  <si>
    <t>2YTNZL61633276</t>
  </si>
  <si>
    <t>ONEIDA CITY POLICE DEPARTMENT, NY,  WILL USE THIS TRAILER FOR TRANSPORTATION OF LARGE PIECES OF EQUIPMENT TO COMMUNITY EVENTS AND SPECIAL INCIDENTS.  IT WILL ALSO SERVE IN CONJUNCTION WITH SCENE AND INCIDENT OPERATIONS AS A COMMAND POST AND OR STAGING AREAS DURING A CRITICAL INCIDENT.  IT WILL BE VERY USEFUL IN HAVING EQUIPMENT MORE READILY AVAILABLE FOR QUICK RESPONSES TO SCENES AND EVENTS.</t>
  </si>
  <si>
    <t xml:space="preserve">
Sales Order #: 2291712932
RTD Screening Code: DOD
Reason for Rejection: Y9</t>
  </si>
  <si>
    <t>2YTPBP61773894</t>
  </si>
  <si>
    <t>ONEIDA CITY POLICE DEPARTMENT, NY, WILL UTILIZE THIS TRAILER  FOR THE PURPOSE OF TRANSPORTING LARGE PIECES OF EVIDENCE AND DEPARTMENT DURING POLICE OPERATIONS AND TRAININGS.  IT WILL BE USED FOR SPECIAL EVENTS, TRANSPORTATION OF EQUIPMENT, EVIDENCE, AND GENERAL DUTIES.</t>
  </si>
  <si>
    <t xml:space="preserve">
Sales Order #: 2291712520
RTD Screening Code: DOD
Reason for Rejection: BQ</t>
  </si>
  <si>
    <t>TRAILER,LOW BED</t>
  </si>
  <si>
    <t>2YTPBP61773883</t>
  </si>
  <si>
    <t>THE CITY OF RYE POLICE DEPT. REQUESTS THIS DTID FOR USE IN TRAFFIC CONTROL DURING POWER OUTAGES.</t>
  </si>
  <si>
    <t xml:space="preserve">
Sales Order #: 2290540960
RTD Screening Code: GSA
Reason for Rejection: YD</t>
  </si>
  <si>
    <t>FLOODLIGHT ASSEMBLY</t>
  </si>
  <si>
    <t>2YTPBQ61492800</t>
  </si>
  <si>
    <t>RYE POLICE DEPT (2YTPBQ)</t>
  </si>
  <si>
    <t>2YTPBP61703559</t>
  </si>
  <si>
    <t>MEMBERS OF THE YONKERS POLICE WILL ATTACH THIS SNOW PLOW TO A DEPARTMENT VEHICLE AND USE IT TO CLEAR SNOW OUT POLICE DEPARTMENT PROPERTY AND DRIVEWAYS</t>
  </si>
  <si>
    <t xml:space="preserve">
Sales Order #: 2286288935
RTD Screening Code: DOD
Reason for Rejection: YG</t>
  </si>
  <si>
    <t>SNOWPLOW PKG</t>
  </si>
  <si>
    <t>2YTNZL60936996</t>
  </si>
  <si>
    <t>MEMBERS OF THE YONKERS POLICE DEPARTMENT WILL USE THIS TIE DOWN TO SECURE EQUIPMENT AND VEHICLES TO TRAILERS WHILE TRANSPORTING THEM</t>
  </si>
  <si>
    <t xml:space="preserve">
Sales Order #: 2290667213
RTD Screening Code: DOD
Reason for Rejection: Y9</t>
  </si>
  <si>
    <t>2YTNZL61632986</t>
  </si>
  <si>
    <t>THIS VEHICLE IS ESSENTIAL TO OUR CRIMINAL INVESTIGATIVE UNIT AND WILL BE UTILIZED DAILY TO SUPPLEMENT THE DIMINISHED FLEET OF INVESTIGATOR VEHICLES.   THIS VEHICLE WOULD BE ASSIGNED TO OUR EVIDENCE CUSTODIAN FOR THE TRANSPORTATION OF CRIME SCENE PROCESSING EQUIPMENT AND EVIDENCE.  IT MAY ALSO BE USED FOR SURVEILLANCE PURPOSES.</t>
  </si>
  <si>
    <t>2YTPBP61562889</t>
  </si>
  <si>
    <t>WILL BE UTILIZED TO SUPPLEMENT THE DIMINISHED FLEET OF INVESTIGATOR UNMARKED UNDERCOVER VEHICLES THAT HAVE NOT BEEN REPLACED DUE TO BUDGETARY CONSTRAINTS.  THE INVESTIGATIVE UNIT MAY USE THIS VEHICLE FOR DRUG BUYS WITH INFORMANTS.  IT WILL ALSO BE USED FOR SPECIAL EVENTS DETAILS FOR TRANSPORTATION OF EQUIPMENT AND PERSONNEL.</t>
  </si>
  <si>
    <t>Moved out of cycle into GSA cycle</t>
  </si>
  <si>
    <t>2YTPBP61492888</t>
  </si>
  <si>
    <t>THE CITY OF RYE POLICE DEPT. REQUESTS THIS DTID FOR USE IN INSTALLATION OF LICENSE PLATE READERS AND TRAFFIC CAMERAS.</t>
  </si>
  <si>
    <t>2YTPBQ61482802</t>
  </si>
  <si>
    <t>2YTPBQ61482801</t>
  </si>
  <si>
    <t>MEMBERS OF THE YONKERS POLICE DEPARTMENT WILL SUE THIS BUCKET AND ATTACH IT A BOBCAT SKID STEERER  TO HELP CLEAN UP DEBRIS FROM MAJOR ACCIDENTS, OVERTURNED TRACTOR TRAILERS, DUMP TRUCKS AND TO HELP DURING FLOODED CONDITIONS</t>
  </si>
  <si>
    <t xml:space="preserve">
Sales Order #: 2289973236
RTD Screening Code: DOD
Reason for Rejection: Y9</t>
  </si>
  <si>
    <t>BUCKET,CLAMSHELL</t>
  </si>
  <si>
    <t>2YTNZL61491854</t>
  </si>
  <si>
    <t>ECSO MAINTAINS A POLICE AVIATION DIVISION FOR PATROL AND RESCUE OPERATIONS. WE CURRENTLY HAVE 3 AIR SHIPS.  THESE JACKETS WILL BE USED DURING COLD WEATHER OPERATIONS</t>
  </si>
  <si>
    <t xml:space="preserve">
Sales Order #: 2289884620
RTD Screening Code: DOD
Reason for Rejection: Y9</t>
  </si>
  <si>
    <t>2YTDTZ61421679</t>
  </si>
  <si>
    <t xml:space="preserve">
Sales Order #: 2289864085
RTD Screening Code: DOD
Reason for Rejection: Y9</t>
  </si>
  <si>
    <t>2YTDTZ61421678</t>
  </si>
  <si>
    <t>ECSO MAINTAINS A POLICE AVIATION DIVISION FOR PATROL AND RESCUE OPERATIONS. WE CURRENTLY HAVE 3 AIR SHIPS.  THESE JACKETS WILL BE USED DURING COLD WEATHER OPERATIONS.</t>
  </si>
  <si>
    <t xml:space="preserve">
Sales Order #: 2289884622
RTD Screening Code: DOD
Reason for Rejection: Y9</t>
  </si>
  <si>
    <t>2YTDTZ61421677</t>
  </si>
  <si>
    <t>180 SWORN POLICE AGENCY. THIS KIT WOULD BE ADDED TO OUR USE OF FORCE SIMULATOR TO MAKE REPAIRS TO EQUIPMENT AND WEAPONS TO ENSURE TRAINING IS NOT INTERRUPTED.</t>
  </si>
  <si>
    <t xml:space="preserve">
Sales Order #: 2289210565
RTD Screening Code: DOD
Reason for Rejection: Y9</t>
  </si>
  <si>
    <t>2YTDTZ61351120</t>
  </si>
  <si>
    <t>MEMBERS OF THE YONKERS POLICE DEPARTMENT WILL USE THESE TRAINING AIDS TO HELP OFFICERS TRAIN IN STRESSFUL SITUATIONS TO HELP THEM DURING REAL LIFE SITUATIONS</t>
  </si>
  <si>
    <t xml:space="preserve">
Sales Order #: 2289724266
RTD Screening Code: DOD
Reason for Rejection: Y9</t>
  </si>
  <si>
    <t>2YTNZL61351618</t>
  </si>
  <si>
    <t>MEMBERS OF THE YONKERS POLICE DEPARTMENT'S SWAT TEAM WILL USE THIS ILLUMINATOR TO IMPROVE THE TEAMS LOW LIGHT AND NO LIGHT CAPABILITY. THIS WILL IMPROVE OFFICER SAFETY AND SAFETY TO THE PUBLIC</t>
  </si>
  <si>
    <t>2YTNZL61421364</t>
  </si>
  <si>
    <t>2YTNZL61421247</t>
  </si>
  <si>
    <t>MEMBERS OF THE YONKERS POLICE DEPARTMENT WILL USE THIS ATV TO TRANSPORT OFFICERS AND EQUIPMENT AT LARGE EVENTS WHERE A NORMAL VEHICLE WONT FIT</t>
  </si>
  <si>
    <t xml:space="preserve">
Sales Order #: 2288637357
RTD Screening Code: DOD
Reason for Rejection: Y9</t>
  </si>
  <si>
    <t>2YTNZL61280157</t>
  </si>
  <si>
    <t>MEMBERS OF THE YONKERS POLICE DEPARTMENT WILL USE THIS ATV TO TRANSPORT OFFICERS AND EQUIPMENT DURING LARGE EVENTS WHERE A NORMAL POLICE VEHICLE WON'T FIT</t>
  </si>
  <si>
    <t xml:space="preserve">
Sales Order #: 2288706332
RTD Screening Code: DOD
Reason for Rejection: Y9</t>
  </si>
  <si>
    <t>2YTNZL61280156</t>
  </si>
  <si>
    <t>MEMBERS OF THE YONKERS POLICE DEPARTMENT WILL USE THIS UTV DURING PARADES AND STREET FESTIVALS TO MOVE OFFICERS AND EQUIPMENT AROUND WHERE A FULL SIZE VEHICLE WON'T FIT</t>
  </si>
  <si>
    <t xml:space="preserve">
Sales Order #: 2287217438
RTD Screening Code: DOD
Reason for Rejection: Y9</t>
  </si>
  <si>
    <t>2YTNZL61078289</t>
  </si>
  <si>
    <t>MEMBERS OF THE YONKERS POLICE DEPARTMENT WILL USE THESE RESCUE HOOKS DURING EMERGENCIES SITUATIONS TO CUT SEATBELTS AND BREAK GLASS</t>
  </si>
  <si>
    <t xml:space="preserve">
Sales Order #: 2287672099
RTD Screening Code: DOD
Reason for Rejection: Y9</t>
  </si>
  <si>
    <t>HOOK KNIFE,RESCUE</t>
  </si>
  <si>
    <t>2YTNZL61148986</t>
  </si>
  <si>
    <t xml:space="preserve">
Sales Order #: 2287672088
RTD Screening Code: DOD
Reason for Rejection: Y9</t>
  </si>
  <si>
    <t>2YTNZL61148985</t>
  </si>
  <si>
    <t>MEMBERS OF THE YONKERS POLICE DEPARTMENT WILL USE THESE TOOL BOXES TO STORE TOOLS AND EQUIPMENT IN. THIS WILL HELP SPEED UP REPAIRS ON DEPARTMENT VEHICLES AND EQUIPMENT</t>
  </si>
  <si>
    <t xml:space="preserve">
Sales Order #: 2287350473
RTD Screening Code: DOD
Reason for Rejection: Y9</t>
  </si>
  <si>
    <t>2YTNZL61078571</t>
  </si>
  <si>
    <t>MEMBERS OF THE YONKERS POLICE DEPARTMENT WILL USE THIS FAN AT OUR TRAINING CENTER TO CIRCULATE AIR AND TO HELP KEEP MEMBERS WARM IN THE WINTER AND COOL IN THE SUMMER</t>
  </si>
  <si>
    <t xml:space="preserve">
Sales Order #: 2287350478
RTD Screening Code: DOD
Reason for Rejection: Y9</t>
  </si>
  <si>
    <t>2YTNZL61078569</t>
  </si>
  <si>
    <t>MEMBERS OF THE YONKERS POLICE DEPARTMENT WILL USE THIS INFRARED CAMERA TO SEARCH FOR MISSING PEOPLE IN THE WOODED AREAS AS WELL AS TO CHECK TO SEE IF A SUSPECTED IED IS GIVING OFF ANY THERMAL READINGS</t>
  </si>
  <si>
    <t xml:space="preserve">
Sales Order #: 2287217445
RTD Screening Code: DOD
Reason for Rejection: Y9</t>
  </si>
  <si>
    <t>2YTNZL61008115</t>
  </si>
  <si>
    <t>MEMBERS OF THE YONKERS POLICE DEPARTMENT WILL USE THIS FAN AT OUR TRAINING CENTER TO CIRCULATE AIR IN THE TRAINING BUILDING</t>
  </si>
  <si>
    <t xml:space="preserve">
Sales Order #: 2286796055
RTD Screening Code: DOD
Reason for Rejection: Y9</t>
  </si>
  <si>
    <t>2YTNZL61007567</t>
  </si>
  <si>
    <t>REQUESTED FOR AMMUNITION AND EQUIPMENT STORAGE FOR SPECIAL RESPONSE TEAM OPERATIONS</t>
  </si>
  <si>
    <t>2YTMN860725221</t>
  </si>
  <si>
    <t>DOJ/DEA NEW YORK (2YTMN8)</t>
  </si>
  <si>
    <t>REQUIRED FOR STORAGE OF SMALL ARMS BEFORE AND AFTER SPECIAL RESPONSE TEAM OPERATIONS</t>
  </si>
  <si>
    <t>2YTMN860725217</t>
  </si>
  <si>
    <t>MEMBERS OF THE YONKERS POLICE DEPARTMENT WILL USE THIS CAMERA TO TAKE PICTURES OF EMERGENCY SCENES AND EVIDENCE</t>
  </si>
  <si>
    <t xml:space="preserve">
Sales Order #: 2286671974
RTD Screening Code: DOD
Reason for Rejection: Y9</t>
  </si>
  <si>
    <t>2YTNZL61008054</t>
  </si>
  <si>
    <t>MEMBERS OF THE YONKERS POLICE DEPARTMENT WILL USE THIS TOOL TO REPAIR DEPARTMENT EQUIPMENT AND VEHICLES</t>
  </si>
  <si>
    <t>2YTNZL61008568</t>
  </si>
  <si>
    <t>MEMBERS OF YONKERS POLICE DEPARTMENT WILL USE THIS DRILL TO REPAIR TOOLS AND EQUIPMENT</t>
  </si>
  <si>
    <t xml:space="preserve">
Sales Order #: 2287217462
RTD Screening Code: DOD
Reason for Rejection: BQ</t>
  </si>
  <si>
    <t>2YTNZL61078329</t>
  </si>
  <si>
    <t xml:space="preserve">
Sales Order #: 2287217442
RTD Screening Code: DOD
Reason for Rejection: BQ</t>
  </si>
  <si>
    <t>DRILL, POWER</t>
  </si>
  <si>
    <t>DSDRILL02</t>
  </si>
  <si>
    <t>2YTNZL61078328</t>
  </si>
  <si>
    <t xml:space="preserve">
Sales Order #: 2287217464
RTD Screening Code: DOD
Reason for Rejection: BQ</t>
  </si>
  <si>
    <t>2YTNZL61078327</t>
  </si>
  <si>
    <t xml:space="preserve">
Sales Order #: 2287217470
RTD Screening Code: DOD
Reason for Rejection: BQ</t>
  </si>
  <si>
    <t>2YTNZL61078326</t>
  </si>
  <si>
    <t xml:space="preserve">
Sales Order #: 2287217431
RTD Screening Code: DOD
Reason for Rejection: BQ</t>
  </si>
  <si>
    <t>2YTNZL61078325</t>
  </si>
  <si>
    <t xml:space="preserve">
Sales Order #: 2287217471
RTD Screening Code: DOD
Reason for Rejection: BQ</t>
  </si>
  <si>
    <t>2YTNZL61078324</t>
  </si>
  <si>
    <t>MEMBERS OF YONKERS POLICE DEPARTMENT WILL USE THIS SANDER TO REPAIR TOOLS AND EQUIPMENT</t>
  </si>
  <si>
    <t xml:space="preserve">
Sales Order #: 2287217428
RTD Screening Code: DOD
Reason for Rejection: BQ</t>
  </si>
  <si>
    <t>SANDER, POWER</t>
  </si>
  <si>
    <t>DSSANDER0</t>
  </si>
  <si>
    <t>2YTNZL61078322</t>
  </si>
  <si>
    <t>MEMBERS OF THE YONKERS POLICE DEPARTMENT WILL USE AT OUR TRAINING CENTER TO HELP COOL AND HEAT THE TRAINING SCENARIO BUILDING</t>
  </si>
  <si>
    <t xml:space="preserve">
Sales Order #: 2287217469
RTD Screening Code: DOD
Reason for Rejection: BQ</t>
  </si>
  <si>
    <t>2YTNZL61078318</t>
  </si>
  <si>
    <t xml:space="preserve">
Sales Order #: 2286616567
RTD Screening Code: DOD
Reason for Rejection: BQ</t>
  </si>
  <si>
    <t>2YTNZL61008323</t>
  </si>
  <si>
    <t>THE RIVERHEAD POLICE DEPARTMENT WILL USE THIS VEHICLE AS A TACTICAL RESPONSE VEHICLE</t>
  </si>
  <si>
    <t>2YTKAT61078484</t>
  </si>
  <si>
    <t>RIVERHEAD POLICE DEPT (2YTKAT)</t>
  </si>
  <si>
    <t>MEMBERS OF THE YONKERS POLICE DEPARTMENT WILL USE THE GENERATOR TO POWER LIGHTS, WATER PUMP AND TOOLS DURING POWER OUTAGES</t>
  </si>
  <si>
    <t xml:space="preserve">
Sales Order #: 2286814561
RTD Screening Code: DOD
Reason for Rejection: Y9</t>
  </si>
  <si>
    <t>2YTNZL61007939</t>
  </si>
  <si>
    <t>2YTNZL61008056</t>
  </si>
  <si>
    <t>MEMBERS OF THE YONKERS POLICE DEPARTMENT WILL PUT THESE TRASH CANS THROUGH OUT DEPARTMENT BUILDING TO HELP KEEP THEM CLEAN</t>
  </si>
  <si>
    <t>TRASH CAN</t>
  </si>
  <si>
    <t>DSTRASHCA</t>
  </si>
  <si>
    <t>2YTNZL61008052</t>
  </si>
  <si>
    <t>MEMBERS OF THE YONKERS POLICE DEPARTMENT WILL USE THESE CASES TO STORE EQUIPMENT IN. THE CASES WILL PROTECT THE EQUIPMENT FROM DAMAGE DUE TO WEATHER AND DENTS WHILE BEING TRANSPORTED</t>
  </si>
  <si>
    <t>2YTNZL61008051</t>
  </si>
  <si>
    <t>THIS EQUIPMENT WILL BE UTILIZED FOR LAW ENFORCEMENT USE ONLY. LEA WILL ISSUE THE ASSAULT PACK TO LEOS TO KEEP ON THEIR BODY OR WITH THEIR EQUIPMENT WITHIN THEIR PATROL VEHICLE.</t>
  </si>
  <si>
    <t xml:space="preserve">
Sales Order #: 2289188630
RTD Screening Code: DOD
Reason for Rejection: YG</t>
  </si>
  <si>
    <t>2YTECD61351004</t>
  </si>
  <si>
    <t>THIS VEHICLE WILL BE USED BY LAW ENFORCEMENT PERSONNEL FOR TRANSPORT OF OFFICERS AND INVESTIGATIONS TO ACHIEVE A LAW ENFORCEMENT OBJECTIVE. IT WILL ALSO BE USED FOR THE TOWING AND TRANSPORTATION OF LAW ENFORCEMENT EQUIPMENT BY LAW ENFORCEMENT OFFICERS.</t>
  </si>
  <si>
    <t>Rejected by EDP0815.  Comments: In addition to obtaining authorization from their civilian governing to obtain this item type, the LEA must also have prior authorization from DLA to obtain this item type via a DLA approved controlled vehicle request form. LEA should contact the NJ 1033 Program LESO to get the form if interested in obtaining this type of item..</t>
  </si>
  <si>
    <t>2YTM5V61844642</t>
  </si>
  <si>
    <t>WALL TOWNSHIP POLICE DEPT (2YTM5V)</t>
  </si>
  <si>
    <t>TRAILER TO BE USED BY UPPER SADDLE RIVER POLICE OFFICERS FOR THE DEPLOYMENT AND STORAGE OF EMERGENCY RESPONSE EQUIPMENT.</t>
  </si>
  <si>
    <t xml:space="preserve">
Sales Order #: 2291528282
RTD Screening Code: DOD
Reason for Rejection: Y9</t>
  </si>
  <si>
    <t>2YTMAP61773763</t>
  </si>
  <si>
    <t>FOR USE BY THIS LEA ONLY FOR OUR CRIME SCENE INVESTIGATION UNIT.</t>
  </si>
  <si>
    <t xml:space="preserve">
Sales Order #: 2291994737
RTD Screening Code: DOD
Reason for Rejection: Y9</t>
  </si>
  <si>
    <t>2YTJFH61774219</t>
  </si>
  <si>
    <t>PATERSON POLICE DEPT (2YTJFH)</t>
  </si>
  <si>
    <t>FOR USE BY THIS LEA ONLY FOR USE BY OUR CRIME SCENE INVESTIGATION UNIT.</t>
  </si>
  <si>
    <t>Rejected by EDP0815.  Comments: DLA is not issuing this item type to LEA's unless the condition code and DEMIL Code are Both A. The DEMIL Code for this item is A and the Condition Code is B.</t>
  </si>
  <si>
    <t>2YTJFH61774552</t>
  </si>
  <si>
    <t>REQUESTED BY FBI NEWARK FOR REPAIR AND MAINTENANCE OF SWAT EQUIPMENT AND VEHICLES.</t>
  </si>
  <si>
    <t>2YTRW561774253</t>
  </si>
  <si>
    <t xml:space="preserve">
Sales Order #: 2288372401
RTD Screening Code: DOD
Reason for Rejection: YH</t>
  </si>
  <si>
    <t>2YTK2061280124</t>
  </si>
  <si>
    <t>FOR USE BY THIS LEA ONLY. THIS LEA WILL USE THIS ITEM TO SECURE LEA EQUIPMENT WHILE IN TRANSIT TO CRIME SCENES BEING INVESTIGATED BY THIS AGENCY.</t>
  </si>
  <si>
    <t xml:space="preserve">
Sales Order #: 2291717467
RTD Screening Code: DOD
Reason for Rejection: Y9</t>
  </si>
  <si>
    <t>2YTJ2J61773887</t>
  </si>
  <si>
    <t>RAMSEY POLICE DEPT (2YTJ2J)</t>
  </si>
  <si>
    <t>THIS ITEM WILL BE USED FOR LEA ONLY. THIS ITEM WILL BE USED TO CONSTRUCT AND MAINTAIN SHEDS WITHIN OUR IMPOUND LOT AND STORAGE SHEDS.</t>
  </si>
  <si>
    <t xml:space="preserve">
Sales Order #: 2291717471
RTD Screening Code: DOD
Reason for Rejection: Y9</t>
  </si>
  <si>
    <t>2YTECD61703952</t>
  </si>
  <si>
    <t>FOR USE BY THIS LEA ONLY. THE ROSELLE POLICE DEPARTMENT REQUESTS ONE HIGH WATER VEHICLE M1078A1 OPEN BACK TO SUPPORT RESPONSE AND RESCUE OPERATIONS IN AREAS OF ROSELLE AFFECTED BY SMALL STREAM AND URBAN FLOODING. VEHICLE WILL ALLOWED TRAINED POLICE OFFICERS TO DEPLOY AND RECOVER RESIDENTS AFFECTED BY FLOODING. EQUIPMENT WILL BE INITIALLY AND SAFELY OPERATED AND MAINTAINED BY POLICE PERSONNEL WITH PRIOR MILITARY EQUIPMENT KNOWLEDGE.</t>
  </si>
  <si>
    <t>Rejected by EDP0815.  Comments: Insufficient justification..</t>
  </si>
  <si>
    <t>2YTKFS61774136</t>
  </si>
  <si>
    <t>FOR USE BY THIS LEA ONLY. THE M1079A SHELTER VAN WILL BE USED BY POLICE OFFICERS WITH PRIOR MILITARY EQUIPMENT EXPERIENCE TO SAFELY OPERATE AS A MOBILE COMMAND POST SUPPORTING POLICE INVESTIGATIVE INCIDENTS AND PLANNED POLICE SUPPORTED EVENTS WITHIN THE BOROUGH OF ROSELLE. THE VEHICLE WILL DEPLOY ON SCENE AS A MOBILE COMMAND AND CONTROL NODE THAT PROVIDES CRITICAL SHELTER AND PROTECTION FOR LAW ENFORCEMENT PERSONNEL.</t>
  </si>
  <si>
    <t>2YTKFS61774125</t>
  </si>
  <si>
    <t>FOR USE BY THIS LEA ONLY. THIS LEA WILL USE THIS ITEM IN DAILY LAW ENFORCEMENT OPERATIONS TO MONITOR PUBLIC EVENTS AND GATHERINGS  PATROLLED BY THIS LEA. THIS LEA ATTENDS PUBLIC EVENTS REGULARLY TO MAINTAIN PUBLIC SAFETY. THIS LEA WILL BE AT PUBLIC EVENTS IN AN OFFICIAL CAPACITY AND THIS TOWER WILL BE USED BY OFFICERS TO HELP WATCH LARGE, CROWDED EVENTS.</t>
  </si>
  <si>
    <t>Rejected by EDP0815.  Comments: The NJ 1033 Program LESO is no longer approving items that bear a DTID that begins with the number and letters 2YT. This coding indicates that the item is a turn-in from another PD. Turn-ins are typically inoperable, irreparable, and become a burden on the receiving LEA, as well as our office when the item must be returned per DLA policy for items that cannot be used or be made to be usable without cannibalization of the item..</t>
  </si>
  <si>
    <t>TOWER,OBSERVATION</t>
  </si>
  <si>
    <t>2YTJ2J61703873</t>
  </si>
  <si>
    <t>TO BE USED BY THIS LEA ONLY. TO BE PLACED ON THE DEPARTMENT ISSUED RIFLES USED BY THE LEOS OF THIS LEA TO INCREASE TARGET AQCUSITION ACCURRACY WHEN THE RIFLE IS DEPLOYED DURING AN INCIDENT OR FIREARMS TRAINING.</t>
  </si>
  <si>
    <t>2YTD4861913834</t>
  </si>
  <si>
    <t>FLORHAM PARK POLICE DEPT (2YTD48)</t>
  </si>
  <si>
    <t>FOR USE BY THIS LEA ONLY FOR OUR SWAT TEAM'S RIFLES.</t>
  </si>
  <si>
    <t>2YTJFH61633705</t>
  </si>
  <si>
    <t>TRAILER TO BE USED BY UPPER SADDLE RIVER POLICE OFFICERS FOR THE STORAGE AND DEPLOYMENT OF EMERGENCY RESPONSE EQUIPMENT USED IN LAW ENFORCEMENT OPERATIONS AND CRITICAL INCIDENTS</t>
  </si>
  <si>
    <t xml:space="preserve">
Sales Order #: 2291023705
RTD Screening Code: DOD
Reason for Rejection: Y9</t>
  </si>
  <si>
    <t>2YTMAP61703448</t>
  </si>
  <si>
    <t>THIS ITEM WILL BE USED FOR LEO ONLY. THIS PRINTER IWLL BE USED BY LEOS TO PRINT REPORTS, FORMS, DOCUMENTS FOR REPORTS AND THE PUBLIC. LEA IS AWARE DEVICE IS OUT STATE.</t>
  </si>
  <si>
    <t xml:space="preserve">
Sales Order #: 2291023717
RTD Screening Code: DOD
Reason for Rejection: Y9</t>
  </si>
  <si>
    <t>2YTECD61633508</t>
  </si>
  <si>
    <t>FOR USE BY THIS LEA ONLY FOR SHADE WHILE OUR OFFICERS ARE TRAINING.</t>
  </si>
  <si>
    <t xml:space="preserve">
Sales Order #: 2291305247
RTD Screening Code: DOD
Reason for Rejection: Y9</t>
  </si>
  <si>
    <t>2YTJFH61633640</t>
  </si>
  <si>
    <t>FOR USE BY THIS LEA ONLY.  FOR USE BY THIS LEAS LEOS TO DEPLOY DURING MASS GATHERINGS AND OTHER OUTDOOR EVENTS FOR SITUATION AWARENESS PURPOSES.</t>
  </si>
  <si>
    <t>2YTNJX61703684</t>
  </si>
  <si>
    <t>WEST WINDSOR POLICE DEPT (2YTNJX)</t>
  </si>
  <si>
    <t xml:space="preserve">
Sales Order #: 2289369045
RTD Screening Code: DOD
Reason for Rejection: YD</t>
  </si>
  <si>
    <t>2YTK2061421270</t>
  </si>
  <si>
    <t>FOR USE BY THIS LEA ONLY FOR REPAIRING LEA EQUIPMENT.</t>
  </si>
  <si>
    <t>2YTJFH60583639</t>
  </si>
  <si>
    <t>2YTEY460583643</t>
  </si>
  <si>
    <t>FOR USE BY THIS LEA ONLY FOR OBSERVATION DURING OUR PARADES AND FESTIVALS.</t>
  </si>
  <si>
    <t>2YTJFH61703642</t>
  </si>
  <si>
    <t>THIS WILL BE USED FOR LEOS ONLY. THIS LEA WILL USE IT FOR A DISPATCH BOARD WITHIN THE PATROL ROOM TO MONITOR CAMERAS AND CALLS FOR SERVICE.</t>
  </si>
  <si>
    <t xml:space="preserve">
Sales Order #: 2290479080
RTD Screening Code: DOD
Reason for Rejection: Y9</t>
  </si>
  <si>
    <t>MONITOR, TELEVISION</t>
  </si>
  <si>
    <t>DSMONIT01</t>
  </si>
  <si>
    <t>2YTECD61562720</t>
  </si>
  <si>
    <t>FOR USE BY THIS LEA ONLY FOR USE WITH OUR WINCHES ON THE RESCUE VEHICLE.</t>
  </si>
  <si>
    <t xml:space="preserve">
Sales Order #: 2290947652
RTD Screening Code: DOD
Reason for Rejection: BQ</t>
  </si>
  <si>
    <t>SHACKLE</t>
  </si>
  <si>
    <t>2YTJFH61563117</t>
  </si>
  <si>
    <t>FOR USE BY THIS LEA ONLY, FOR STORAGE OF LEA EQUIPMENT.</t>
  </si>
  <si>
    <t>2YTJFH61552525</t>
  </si>
  <si>
    <t>FOR USE BY THIS LEA ONLY FOR HEAT WHILE OUR OFFICERS TRAIN DURING THE WINTER.</t>
  </si>
  <si>
    <t>Item is currently in GSA Cycle</t>
  </si>
  <si>
    <t>2YTJFH61551200</t>
  </si>
  <si>
    <t>FOR USE BY THIS LEA ONLY. TO BE USED BY THE LEOS OF THIS AGENCY. THESE RESCUE CUTTERS WILL BE UTILIZED DURING LAW ENFORCEMENT RESCUE OPERATIONS, FORCIBLE ENTRY, AND CRITICAL INCIDENT RESPONSE.</t>
  </si>
  <si>
    <t xml:space="preserve">
Sales Order #: 2290046435
RTD Screening Code: DOD
Reason for Rejection: Y9</t>
  </si>
  <si>
    <t>2YTEY461491990</t>
  </si>
  <si>
    <t xml:space="preserve">
Sales Order #: 2290494761
RTD Screening Code: DOD
Reason for Rejection: Y9</t>
  </si>
  <si>
    <t>2YTECD61562717</t>
  </si>
  <si>
    <t>FOR USE BY THIS LEA ONLY. THIS LEA WILL USE THIS ITEM DURING FIREARMS QUALIFICATIONS TO SECURE TARGETS DOWN RANGE.</t>
  </si>
  <si>
    <t xml:space="preserve">
Sales Order #: 2288956705
RTD Screening Code: GSA
Reason for Rejection: YH</t>
  </si>
  <si>
    <t>2YTJ2J61280460</t>
  </si>
  <si>
    <t>TV FLAT SCREEN</t>
  </si>
  <si>
    <t>DSTVFLTSC</t>
  </si>
  <si>
    <t>2YTECD61562715</t>
  </si>
  <si>
    <t>2YTECD61562713</t>
  </si>
  <si>
    <t>2YTECD61562712</t>
  </si>
  <si>
    <t>TO BE USED BY POLICE OFFICERS OF THE WALLINGTON POLICE DEPARTMENT TO INSTALL AND MAINTAIN POLICE SURVEILLANCE CAMERAS, FIBER OPTICS, AND ANTENNAS.</t>
  </si>
  <si>
    <t xml:space="preserve">
Sales Order #: 2289428636
RTD Screening Code: RTD2
Reason for Rejection: YH</t>
  </si>
  <si>
    <t>2YTM5661281181</t>
  </si>
  <si>
    <t>WALLINGTON POLICE DEPT (2YTM56)</t>
  </si>
  <si>
    <t>THIS ITEM IS BEING REQUESTED FOR LAW ENFORCEMENT USE ONLY. POLICE OFFICERS WILL USE THIS TRAILER TO STORE AND TRANSPORT POLICE DEPARTMENT CRIME SCENE EQUIPMENT.</t>
  </si>
  <si>
    <t xml:space="preserve">
Sales Order #: 2289369046
RTD Screening Code: DOD
Reason for Rejection: Y9</t>
  </si>
  <si>
    <t>2YTPXC61421276</t>
  </si>
  <si>
    <t>EATONTOWN POLICE DEPT (2YTPXC)</t>
  </si>
  <si>
    <t xml:space="preserve">
Sales Order #: 2290010720
RTD Screening Code: DOD
Reason for Rejection: Y9</t>
  </si>
  <si>
    <t>2YTRW561421465</t>
  </si>
  <si>
    <t xml:space="preserve">
Sales Order #: 2289842004
RTD Screening Code: DOD
Reason for Rejection: Y9</t>
  </si>
  <si>
    <t>2YTEY461491845</t>
  </si>
  <si>
    <t>FOR USE BY THIS LAW ENFORCEMENT AGENCY ONLY.  THIS VEHICLE WILL BE USED SOLELY BY EAST BRUNSWICK POLICE OFFICERS.  THE VEHICLE WILL BE UTILIZED DURING LARGE OUTDOOR EVENTS IN OUR PARKS AND OPEN SPACE PROPERTY WHICH HOSTS EVENTS LIKE JULY 4TH CELEBRATIONS AND THE COUNTY FAIR.  THE VEHICLE WILL ALSO BE USED FOR EMERGENCY RESPONSES IN NJ STATE GAME LANDS WITHIN THE TOWNSHIP.  THESE AREAS ARE NOT ACCESSIBLE BY PATROL VEHICLES.</t>
  </si>
  <si>
    <t xml:space="preserve">
Sales Order #: 2289529280
RTD Screening Code: DOD
Reason for Rejection: Y9</t>
  </si>
  <si>
    <t>2YTDJC61421337</t>
  </si>
  <si>
    <t>EAST BRUNSWICK POLICE DEPT (2YTDJC)</t>
  </si>
  <si>
    <t xml:space="preserve">
Sales Order #: 2289529282
RTD Screening Code: DOD
Reason for Rejection: Y9</t>
  </si>
  <si>
    <t>2YTDJC61421336</t>
  </si>
  <si>
    <t>FOR USE BY THIS LAW ENFORCEMENT AGENCY. ORANGE POLICE DEPARTMENT ONLY. THE VEHICLE WILL BE ASSIGNED TO THE SPECIAL RESPONSE TEAM TO SUPPORT OPERATORS DURING CRITICAL INCIDENT RESPONSE AND TACTICAL OPERATIONS. IT WILL ENHANCE IMMEDIATE RESPONSE CAPABILITIES, PROVIDE SECURE STORAGE FOR ESSENTIAL EQUIPMENT, SERVE AS A SUPPORT ASSET DURING INCIDENTS INVOLVING BARRICADED SUBJECTS OR ACTIVE THREATS, AND ASSIST WITH ACCESS CONTROL DURING BOTH ROUTINE ACTIVITIES AND EMERGENCY SITUATIONS.</t>
  </si>
  <si>
    <t xml:space="preserve">
Sales Order #: 2286242349
RTD Screening Code: DOD
Reason for Rejection: YG</t>
  </si>
  <si>
    <t>2YT15D60936901</t>
  </si>
  <si>
    <t xml:space="preserve">
Sales Order #: 2289958411
RTD Screening Code: DOD
Reason for Rejection: Y9</t>
  </si>
  <si>
    <t>2YTEY461491848</t>
  </si>
  <si>
    <t>THIS ITEM WILL BE USED FOR LEA USE ONLY. THIS COMPUTER MONITOR WILL BE ISSUED TO DETECTIVES FOR THEIR DAILY USE OF COMPUTERS WHILE MULTI TAKSING INVESTIGATIONS.</t>
  </si>
  <si>
    <t>2YTECD61491987</t>
  </si>
  <si>
    <t>FOR USE BY THIS LEA ONLY. TO BE USED BY THE LEOS OF THIS AGENCY. THIS COMPUTER CASE WITH ACCESSORIES WILL BE UTILIZED TO SUPPORT LAW ENFORCEMENT OPERATIONS, EQUIPMENT STORAGE, AND TRANSPORT OF MISSION-ESSENTIAL TECHNOLOGY.</t>
  </si>
  <si>
    <t>2YTEY461492074</t>
  </si>
  <si>
    <t>FOR USE BY THIS LEA ONLY. TO BE USED BY THE LEOS OF THIS AGENCY. THESE SPEED RADAR WARNING TRAILERS WILL BE UTILIZED TO SUPPORT TRAFFIC ENFORCEMENT, SPEED MONITORING, AND PUBLIC SAFETY INITIATIVES DURING LAW ENFORCEMENT OPERATIONS AND COMMUNITY ENGAGEMENT.</t>
  </si>
  <si>
    <t xml:space="preserve">
Sales Order #: 2289086344
RTD Screening Code: DOD
Reason for Rejection: Y9</t>
  </si>
  <si>
    <t>2YTEY461350733</t>
  </si>
  <si>
    <t>FOR USE BY THIS LEA ONLY. THIS LEA WILL USE THIS ITEM TO MAINTAIN DEPARTMENT EQUIPMENT AND WEAPONS WHICH ARE USED IN DAILY LE TASKS.</t>
  </si>
  <si>
    <t xml:space="preserve">
Sales Order #: 2288702219
RTD Screening Code: DOD
Reason for Rejection: YG</t>
  </si>
  <si>
    <t>WRENCH,ADJUSTABLE</t>
  </si>
  <si>
    <t>2YTJ2J61280194</t>
  </si>
  <si>
    <t>FOR USE BY THIS LEA ONLY. TO BE USED WITH THIS AGENCIES DRY SUITE WHICH ARE USED FOR SWIFT WATERRESCUE DURING TIMES OF EMERGENCY.</t>
  </si>
  <si>
    <t xml:space="preserve">
Sales Order #: 2288244190
RTD Screening Code: DOD
Reason for Rejection: YG</t>
  </si>
  <si>
    <t>KIT,DRYSUIT NECK RI</t>
  </si>
  <si>
    <t>2YTJ2J61219677</t>
  </si>
  <si>
    <t>TO BE USED BY THE LEOS OF THIS LEA ONLY. WILL BE USED TO SIMULATE ACTIVE-THREAT AND FORCE-ON-FORCE TRAINING, INCLUDING POLICE CALLS FOR SERVICE. I AM SATISFIED THAT THESE ARE IN USABLE CONDITION AND CAN BE MADE USABLE BY OUR PD PERSONNEL.</t>
  </si>
  <si>
    <t xml:space="preserve">
Sales Order #: 2289724265
RTD Screening Code: DOD
Reason for Rejection: Y9</t>
  </si>
  <si>
    <t>2YTDJ661351592</t>
  </si>
  <si>
    <t>EAST GREENWICH TOWNSHIP POLICE (2YTDJ6)</t>
  </si>
  <si>
    <t>FOR USE BY THIS LEA ONLY. TO BE USED BY THE LEOS OF THIS AGENCY. THIS LAPTOP WILL BE UTILIZED TO SUPPORT LAW ENFORCEMENT OPERATIONS, REPORT WRITING, DATA ACCESS, AND INCIDENT MANAGEMENT. I REACHED OUT TO THE BASE AND CONFIRMED THE ITEM IS NEW IN THE BOX.</t>
  </si>
  <si>
    <t>Rejected by EAZ0039.  Comments: Item is listed as condition H and is an electronic component capable of storing memory, therefore it cannot be approved per DoW regulation regardless of photos or base confirmation of condition..</t>
  </si>
  <si>
    <t>2YTEY461421664</t>
  </si>
  <si>
    <t>THIS EQUIPMENT WILL BE UTILIZED FOR LAW ENFORCEMENT USE ONLY. LEA WILL USE IT TO VIEW CASE WORK AND MEETINGS.</t>
  </si>
  <si>
    <t xml:space="preserve">
Sales Order #: 2288457386
RTD Screening Code: DOD
Reason for Rejection: YH</t>
  </si>
  <si>
    <t>2YTECD61219904</t>
  </si>
  <si>
    <t>TO BE UTILIZED BY LEOS OF THIS LEA FOR THE TRANSPORTATION OF MATERIALS NOT SUITABLE OR PRACTICAL IN NORMAL PATROL VEHICLES</t>
  </si>
  <si>
    <t xml:space="preserve">
Sales Order #: 2287695597
RTD Screening Code: DOD
Reason for Rejection: YD</t>
  </si>
  <si>
    <t>2YT1WQ61148965</t>
  </si>
  <si>
    <t>2YTK2061421272</t>
  </si>
  <si>
    <t>FOR THIS LEA ONLY. THE NORTH BERGEN POLICE DEPARTMENT WOULD LIKE TO REQUEST THIS VEHICLE AS MOBILE COMMAND TRUCK. THIS WILL ALLOW US TO HAVE VITAL ASSETS ON SCENE. THANK YOU FOR YOUR CONSIDERATION.</t>
  </si>
  <si>
    <t xml:space="preserve">
Sales Order #: 2288443114
RTD Screening Code: DOD
Reason for Rejection: Y9</t>
  </si>
  <si>
    <t>2YT1NW61280150</t>
  </si>
  <si>
    <t>THIS EQUIPMENT WILL BE UTILIZED FOR LAW ENFORCEMENT USE ONLY. LEA WILL UTILIZE THIS TOOL KIT TO DO REGULAR MAINTENANCE ON LEO ISSUED WEAPONS.</t>
  </si>
  <si>
    <t xml:space="preserve">
Sales Order #: 2289338546
RTD Screening Code: DOD
Reason for Rejection: Y9</t>
  </si>
  <si>
    <t>2YTECD61281082</t>
  </si>
  <si>
    <t>TO BE UTILIZED BY POLICE OFFICERS OF THE WALLINGTON POLICE DEPARTMENT TO OBTAIN DIGITAL SIGNATURES FOR POLICE SOFTWARE APPLICATIONS.</t>
  </si>
  <si>
    <t xml:space="preserve">
Sales Order #: 2289457135
RTD Screening Code: DOD
Reason for Rejection: BQ</t>
  </si>
  <si>
    <t>2YTM5661351183</t>
  </si>
  <si>
    <t>THIS LAW ENFORCEMENT AGENCY WILL USE THE COMPUTER WORK STATIONS FOR THE DETECTIVE BUREAU SO DETECTIVES CAN UTILIZE ANALYTICAL SOFTWARE TO REVIEW CELL PHONE EXTRACTIONS, MOTOR VEHICLE EXTRACTIONS AND VIDEO REDACTIONS ALONG WITH OTHER TASKS IN AN EFFICIENT MANNER.</t>
  </si>
  <si>
    <t>COMPUTER TOWER</t>
  </si>
  <si>
    <t>DSTOWER01</t>
  </si>
  <si>
    <t>2YTECD61351022</t>
  </si>
  <si>
    <t>TO BE UTILIZED BY POLICE OFFICERS OF THE WALLINGTON POLICE DEPARTMENT TO PROVIDE REMOTE COMPUTERIZED ACCESS TO LAW ENFORCEMENT SOFTWARE APPLICATIONS.</t>
  </si>
  <si>
    <t>Rejected by EDP0815.  Comments: DLA is not issuing this item type to LEAs unless the DEMIL code and the condition code are both A. The DEMIL code of this item is A and the condition code is H..</t>
  </si>
  <si>
    <t>2YTM5661281182</t>
  </si>
  <si>
    <t>THIS EQUIPMENT WILL BE UTILIZED FOR LEO US ONLY. LEA WILL USE THE CAMERA FOR LEOS FOR CRIME SCENE PROCESSING, EVIDENCE, COLLECTION, AND PUBLIC EVENTS.</t>
  </si>
  <si>
    <t>2YTECD61351001</t>
  </si>
  <si>
    <t>2YTECD61351000</t>
  </si>
  <si>
    <t>THIS ITEM IS BEING REQUESTED FOR LAW ENFORCEMENT USE ONLY. POLICE OFFICERS WILL USE THESE COMPUTER MONITORS WHEN TYPING POLICE DEPARTMENT REPORTS.</t>
  </si>
  <si>
    <t xml:space="preserve">
Sales Order #: 2289086343
RTD Screening Code: DOD
Reason for Rejection: Y9</t>
  </si>
  <si>
    <t>2YTPXC61350790</t>
  </si>
  <si>
    <t>TO BE UTILIZED BY LEOS OF THIS LEA FOR THE PRESENTATION OF TRAINING MATERIALS</t>
  </si>
  <si>
    <t xml:space="preserve">
Sales Order #: 2287751291
RTD Screening Code: GSA
Reason for Rejection: YD</t>
  </si>
  <si>
    <t>2YT1WQ61078964</t>
  </si>
  <si>
    <t>FOR USE BY THIS LEA ONLY. THIS LEA WILL USE THIS ITEM TO PROVIDE FIRST AID TO OFFICERS AND CIVILIANS DURING MEDICAL EMERGENCIES.</t>
  </si>
  <si>
    <t xml:space="preserve">
Sales Order #: 2288563113
RTD Screening Code: DOD
Reason for Rejection: Y9</t>
  </si>
  <si>
    <t>2YTJ2J61280193</t>
  </si>
  <si>
    <t>THIS ITEM WILL BE USED EXCLUSIVELY BY LEOS FROM THIS LEA. THIS VEHICLE WILL BE UTILIZED BY OFFICERS TO RESPOND ON THE BEACH FOR MEDICAL EMERGENCIES, DISTURBANCES, MISSING PERSONS, AND CALLS FOR SERVICE.</t>
  </si>
  <si>
    <t xml:space="preserve">
Sales Order #: 2288443105
RTD Screening Code: DOD
Reason for Rejection: Y9</t>
  </si>
  <si>
    <t>2YTK2061280139</t>
  </si>
  <si>
    <t xml:space="preserve">
Sales Order #: 2288706326
RTD Screening Code: DOD
Reason for Rejection: Y9</t>
  </si>
  <si>
    <t>2YTK2061280138</t>
  </si>
  <si>
    <t>FOR USE BY THIS LEA ONLY. THIS LEA WILL USE THIS ITEM IN DAILY LAW ENFORCEMENT OPERATIONS BY LEA OFFICERS TO TRANSPORT LEA GEAR AND PERSONNEL DURING SPECIAL EVENTS, CRIME SCENES, AND OTHER EMERGENCY SCENES THIS LEA MUST RESPOND TO REGULARLY.</t>
  </si>
  <si>
    <t xml:space="preserve">
Sales Order #: 2288706320
RTD Screening Code: DOD
Reason for Rejection: Y9</t>
  </si>
  <si>
    <t>2YTJ2J61280198</t>
  </si>
  <si>
    <t xml:space="preserve">
Sales Order #: 2288443101
RTD Screening Code: DOD
Reason for Rejection: Y9</t>
  </si>
  <si>
    <t>2YTJ2J61280195</t>
  </si>
  <si>
    <t>FOR USE BY THIS LEA ONLY. TO BE USED BY THE LEOS OF THIS AGENCY. THIS TOOL BOX WILL BE UTILIZED TO STORE AND ORGANIZE TOOLS USED FOR LAW ENFORCEMENT OPERATIONS, EQUIPMENT MAINTENANCE, AND TRAINING.</t>
  </si>
  <si>
    <t>2YTEY461210511</t>
  </si>
  <si>
    <t>FOR USE BY THIS LEA ONLY. TO BE USED BY THE LEOS OF THIS AGENCY. THIS EQUIPMENT WILL BE UTILIZED TO SUPPORT COMMUNITY ENGAGEMENT EVENTS, PUBLIC SAFETY OUTREACH, AND LAW ENFORCEMENT INTERACTION WITH THE COMMUNITY.</t>
  </si>
  <si>
    <t>PRINTER, 3D</t>
  </si>
  <si>
    <t>DSPRINT3D</t>
  </si>
  <si>
    <t>2YTEY461210653</t>
  </si>
  <si>
    <t>FOR USE BY THIS AGENCY, ORANGE POLICE DEPARTMENT ONLY. THE SERVICE TRUCK WILL BE USED BY THE TRAFFIC UNIT AND IT BUREAU FOR SCHEDULED MAINTENANCE OF DEPARTMENT CAMERAS AND LICENSE PLATE READERS MOUNTED ON STREET POLES. THE BOOM PROVIDES SAFE AND EFFICIENT ACCESS TO ELEVATED EQUIPMENT DURING ROUTINE MAINTENANCE AND URGENT REPAIRS. THE VEHICLE WILL ALSO SUPPORT TRAFFIC UNIT OPERATIONS INCLUDING STREET CLOSURES, TRAFFIC CONTROL, AND EMERGENCY RESPONSE.</t>
  </si>
  <si>
    <t xml:space="preserve">
Sales Order #: 2285333698
RTD Screening Code: GSA
Reason for Rejection: YG</t>
  </si>
  <si>
    <t>2YT15D60795584</t>
  </si>
  <si>
    <t>THIS ITEM IS BEING REQUESTED FOR LAW ENFORCEMENT USE ONLY. POLICE OFFICERS WILL USE THIS CONTAINER TO SAFELY SECURE AND STORE IMPOUNDED MOTORCYCLES AND BICYCLES FOR POLICE DEPARTMENT INVESTIGATIONS.</t>
  </si>
  <si>
    <t xml:space="preserve">
Sales Order #: 2288563090
RTD Screening Code: DOD
Reason for Rejection: Y9</t>
  </si>
  <si>
    <t>2YTPXC61280047</t>
  </si>
  <si>
    <t>THIS ITEM IS BEING REQUESTED FOR LAW ENFORCEMENT USE ONLY. POLICE OFFICERS WILL USE THIS CONTAINER TO SECURE AND STORE POLICE DEPARTMENT FIREARMS RANGE SUPPLIES.</t>
  </si>
  <si>
    <t xml:space="preserve">
Sales Order #: 2288702230
RTD Screening Code: DOD
Reason for Rejection: Y9</t>
  </si>
  <si>
    <t>2YTPXC61280049</t>
  </si>
  <si>
    <t>THIS ITEM IS BEING REQUESTED FOR LAW ENFORCEMENT USE ONLY. POLICE OFFICERS WILL USE THIS CONTAINER TO SECURE AND STORE POLICE DEPARTMENT TRAFFIC SAFETY EQUIPMENT.</t>
  </si>
  <si>
    <t xml:space="preserve">
Sales Order #: 2288563105
RTD Screening Code: DOD
Reason for Rejection: Y9</t>
  </si>
  <si>
    <t>2YTPXC61280048</t>
  </si>
  <si>
    <t>THIS ITEM IS BEING REQUESTED FOR LAW ENFORCEMENT USE ONLY. POLICE OFFICERS WILL USE THIS CONTAINER TO SAFELY SECURE AND STORE LARGE PIECES OF EVIDENCE FOR POLICE DEPARTMENT INVESTIGATIONS.</t>
  </si>
  <si>
    <t xml:space="preserve">
Sales Order #: 2288563107
RTD Screening Code: DOD
Reason for Rejection: Y9</t>
  </si>
  <si>
    <t>2YTPXC61280046</t>
  </si>
  <si>
    <t>THIS IS FOR THE NJ TRANSIT POLICE DEPARTMENT USE ONLY. THIS ITEM WILL BE USED FOR THE TRANSFER OF POLICE MATERIALS BETWEEN OUR SEVEN DISTRICTS AND FOR SPECIAL EVENTS WHEN THEY NEED BARRICADES.</t>
  </si>
  <si>
    <t xml:space="preserve">
Sales Order #: 2288152840
RTD Screening Code: DOD
Reason for Rejection: Y9</t>
  </si>
  <si>
    <t>2YTQB561219517</t>
  </si>
  <si>
    <t>TRANSIT POLICE (2YTQB5)</t>
  </si>
  <si>
    <t>THIS VEHICLE WILL BE USED EXCLUSIVELY BY LEOS FROM THIS LEA. THIS VEHICLE WILL BE USED IN A DUAL PURPOSE ROLE ASSISTING LEOS FROM THIS LEA TO TOW THE DEPARTMENTS RANGE TRAILER TO OUR OFFSITE RANGE, AND ALSO BE UTILIZED DURING COVERT ASSIGNMENTS.</t>
  </si>
  <si>
    <t xml:space="preserve">
Sales Order #: 2288159237
RTD Screening Code: DOD
Reason for Rejection: Y9</t>
  </si>
  <si>
    <t>2YTK2061219342</t>
  </si>
  <si>
    <t>THIS VEHICLE WILL BE UTILIZED BY POLICE OFFICERS OF THE WALLINGTON POLICE DEPARTMENT FOR THE INSTALLATION AND MAINTENANCE OF RADIO TRANSMISSION EQUIPMENT, SECURITY CAMERAS, FIBER OPTIC WIRE, AND FIELD SURVEILLANCE SYSTEMS.</t>
  </si>
  <si>
    <t xml:space="preserve">
Sales Order #: 2286459451
RTD Screening Code: DOD
Reason for Rejection: YH</t>
  </si>
  <si>
    <t>2YTM5660937340</t>
  </si>
  <si>
    <t>ALL TERRAIN VEHICLE TO BE USED BY UPPER SADDLE RIVER POLICE OFFICERS FOR EMERGENCY RESPONSE DURING AND AFTER SEVERE WEATHER EVENTS AND CRITICAL INCIDENTS WHICH REQUIRE OFF ROAD VEHICLE USAGE.</t>
  </si>
  <si>
    <t>Rejected by EDP0815.  Comments: Item approved for another LEA at the State level..</t>
  </si>
  <si>
    <t>2YTMAP61280174</t>
  </si>
  <si>
    <t>2YTK2061280140</t>
  </si>
  <si>
    <t>2YTK2061280137</t>
  </si>
  <si>
    <t>2YTJ2J61280197</t>
  </si>
  <si>
    <t>2YTJ2J61280196</t>
  </si>
  <si>
    <t>REQUESTED BY FBI NEWARK SWAT TO ENHANCE OFFICERS' ABILITY TO CARRY MISSION ESSENTIAL EQUIPMENT DURING TRAINING AND ENFORCEMENT OPERATIONS.</t>
  </si>
  <si>
    <t>2YTRW561079115</t>
  </si>
  <si>
    <t>REQUESTED BY FBI NEWARK SWAT TO ENHANCE OFFICER COMFORT DURING FOUL WEATHER TRAINING AND ENFORCEMENT OPERATIONS.</t>
  </si>
  <si>
    <t>2YTRW561079114</t>
  </si>
  <si>
    <t>2YTRW561079112</t>
  </si>
  <si>
    <t>REQUESTED BY FBI NEWARK SWAT TO CARRY ITEMS TO ENHANCE OFFICER SAFETY DURING ENFORCEMENT OPERATIONS AND TRAINING.</t>
  </si>
  <si>
    <t>2YTRW561057957</t>
  </si>
  <si>
    <t>FOR USE BY THIS LEA ONLY. TO BE USED BY THE LEOS OF THIS AGENCY. THIS PORTABLE LIGHT WILL BE UTILIZED DURING LAW ENFORCEMENT OPERATIONS, NIGHTTIME INCIDENT RESPONSE, AND SCENE MANAGEMENT TO ENSURE VISIBILITY AND OFFICER SAFETY.</t>
  </si>
  <si>
    <t>2YTEY461219976</t>
  </si>
  <si>
    <t>FOR THE SALEM COUNTY SHERIFF'S OFFICE LAW ENFORCEMENT USE ONLY. PRINTERS ARE REQUIRED FOR VARIOUS LAW ENFORCEMENT DUTIES SUCH AS PRINTING WARRANTS, REPORTS, AND MORE.</t>
  </si>
  <si>
    <t>2YTP8561219869</t>
  </si>
  <si>
    <t>SALEM COUNTY SHERIFF'S OFFICE (2YTP85)</t>
  </si>
  <si>
    <t>THIS EQUIPMENT WILL BE UTILIZED FOR LAW ENFORCEMENT USE ONLY. LEOS OF THIS LEA WILL USE THE PRINTER DAILY TO PRINT REPORTS, FORMS AND PAPERWORK FOR CASES.</t>
  </si>
  <si>
    <t xml:space="preserve">
Sales Order #: 2288393782
RTD Screening Code: DOD
Reason for Rejection: Y9</t>
  </si>
  <si>
    <t>2YTECD61219863</t>
  </si>
  <si>
    <t>2YTEY461219975</t>
  </si>
  <si>
    <t>2YTEY461219973</t>
  </si>
  <si>
    <t>2YTEY461219972</t>
  </si>
  <si>
    <t>FOR USE BY THIS LEA ONLY. TO BE USED BY THE LEOS OF THIS AGENCY. THIS CELL PHONE WILL BE UTILIZED FOR COMMUNICATION, DATA ACCESS, AND COORDINATION DURING LAW ENFORCEMENT OPERATIONS, PATROL DUTIES, AND EMERGENCY RESPONSE.</t>
  </si>
  <si>
    <t>2YTEY461219933</t>
  </si>
  <si>
    <t>FOR USE BY THIS LEA ONLY. THIS LEA WILL USE THIS ITEM IN DAILY LAW ENFORCEMENT OPERATIONS TO PHOTOGRAPH AND VIDEO RECORD CRIME SCENES AND MOTOR VEHICLE CRASHES THIS LEA IS RESPONSIBLE FOR INVESTIGATING AND DOCUMENTING.</t>
  </si>
  <si>
    <t xml:space="preserve">
Sales Order #: 2288244192
RTD Screening Code: DOD
Reason for Rejection: Y9</t>
  </si>
  <si>
    <t>2YTJ2J61219681</t>
  </si>
  <si>
    <t>2YTEY461219936</t>
  </si>
  <si>
    <t xml:space="preserve">
Sales Order #: 2288159226
RTD Screening Code: DOD
Reason for Rejection: Y9</t>
  </si>
  <si>
    <t>2YTK2061219343</t>
  </si>
  <si>
    <t>TO BE UTILIZED BY LEOS OF THIS LEA IN RESPONSE TO EMERGENCIES IN AREAS THAT WOULD NOT BE ACCESSIBLE TO NORMAL PATROL VEHICLES</t>
  </si>
  <si>
    <t xml:space="preserve">
Sales Order #: 2287229020
RTD Screening Code: DOD
Reason for Rejection: Y9</t>
  </si>
  <si>
    <t>2YT1WQ61078353</t>
  </si>
  <si>
    <t>TO BE UTILIZED BY LEOS OF THIS LEA FOR SURVEILLANCE IN SITUATIONS WHERE A MARKED PATROL CAR WOULD NOT BE APPROPRIATE.</t>
  </si>
  <si>
    <t xml:space="preserve">
Sales Order #: 2287229028
RTD Screening Code: DOD
Reason for Rejection: Y9</t>
  </si>
  <si>
    <t>2YT1WQ61078352</t>
  </si>
  <si>
    <t xml:space="preserve">
Sales Order #: 2286712869
RTD Screening Code: DOD
Reason for Rejection: YH</t>
  </si>
  <si>
    <t>2YT15D60937283</t>
  </si>
  <si>
    <t>REQUESTED BY FBI SWAT PROGRAM TO ENHANCE OFFICER SAFETY DURING LOW LIGHT TRAINING AND LAW ENFORCEMENT OPERATIONS.</t>
  </si>
  <si>
    <t>2YTRW561079225</t>
  </si>
  <si>
    <t>FOR USE BY THIS LEA ONLY. THIS ITEM WILL BE USED BY OFFICERS DURING CALLS FOR SERVICE WHERE HAZMAT CONTAMINATION IS SUSPECTED. THIS LEA PATROLS A MAJOR STATE HIGHWAY WHERE HAZMAT IS TRANSPORTED.</t>
  </si>
  <si>
    <t xml:space="preserve">
Sales Order #: 2287724187
RTD Screening Code: DOD
Reason for Rejection: Y9</t>
  </si>
  <si>
    <t>FACEPIECE,BREATHING</t>
  </si>
  <si>
    <t>2YTJ2J61078574</t>
  </si>
  <si>
    <t>TO BE UTILIZED BY LEOS OF THIS LEA IN THE MAINTENANCE OF PATROL VEHICLES</t>
  </si>
  <si>
    <t xml:space="preserve">
Sales Order #: 2287751290
RTD Screening Code: DOD
Reason for Rejection: Y9</t>
  </si>
  <si>
    <t>2YT1WQ61078966</t>
  </si>
  <si>
    <t>TO BE UTILIZED BY LEOS OF THIS LEA IN THE MAINTENANCE AND REPAIR OF DEPARTMENTALLY ISSUED FIREARMS</t>
  </si>
  <si>
    <t xml:space="preserve">
Sales Order #: 2286335304
RTD Screening Code: DOD
Reason for Rejection: Y9</t>
  </si>
  <si>
    <t>2YT1WQ61078356</t>
  </si>
  <si>
    <t>THE LEOS OF THIS LEA WILL UTILIZE THIS VEHICLE TO ASSIST WITH POLICE PATROL OPERATIONS AND COMMUNITY POLICING EVENTS. THE VEHICLE WOULD BE UTILIZED TO ALLOW POLICE PERSONNEL TO SET UP A MOBILE COMMAND POST DURING POLICE EMERGENCY OPERATIONS OR COMMUNITY POLICING EVENTS TO ALLOW POLICE TO MONITOR THE SAFETY OF THE AREA OF OPERATIONS.</t>
  </si>
  <si>
    <t>2YTGSY61069226</t>
  </si>
  <si>
    <t>TO BE USED BY LEOS OF THIS LEA FOR THE SAFE HANDLING OF SHOTGUN AMMUNITION</t>
  </si>
  <si>
    <t xml:space="preserve">
Sales Order #: 2285840415
RTD Screening Code: DOD
Reason for Rejection: YF</t>
  </si>
  <si>
    <t>2YT1WQ60866671</t>
  </si>
  <si>
    <t>FOR USE BY THIS LEA ONLY. THIS LEA WILL USE THIS VEHICLE ON THE LEA CONTROLLED FIREARMS RANGE TO TRANSPORT EQUIPMENT.</t>
  </si>
  <si>
    <t>2YT1L561149088</t>
  </si>
  <si>
    <t>STATE POLICE TRENTON (2YT1L5)</t>
  </si>
  <si>
    <t>TRACTOR TO BE USED BY UPPER SADDLE RIVER POLICE OFFICERS TO MOVE AND DEPLOY EMERGENCY RESPONSE EQUIPMENT VIA TRAILERS FOLLOWING INCLEMENT WEATHER EVENTS AND OTHER LAW ENFORCEMENT EMERGENCY RELATED ACTIVITIES.</t>
  </si>
  <si>
    <t xml:space="preserve">
Sales Order #: 2286756681
RTD Screening Code: DOD
Reason for Rejection: Y9</t>
  </si>
  <si>
    <t>2YTMAP61007858</t>
  </si>
  <si>
    <t>TRAILER TO BE USED BY UPPER SADDLE RIVER POLICE OFFICERS FOR THE STORAGE AND DEPLOYMENT OF EMERGENCY RESPONSE EQUIPMENT</t>
  </si>
  <si>
    <t xml:space="preserve">
Sales Order #: 2286756674
RTD Screening Code: DOD
Reason for Rejection: Y9</t>
  </si>
  <si>
    <t>2YTMAP61007849</t>
  </si>
  <si>
    <t>PICKUP TO BE USED BY UPPER SADDLE RIVER POLICE OFFICERS FOR THE DEPLOYMENT OF EMERGENCY RESPONSE EQUIPMENT AND TO AID WITH REMOVAL OF TREES FOLLOWING SEVERE WEATHER EVENTS</t>
  </si>
  <si>
    <t xml:space="preserve">
Sales Order #: 2286796052
RTD Screening Code: DOD
Reason for Rejection: Y9</t>
  </si>
  <si>
    <t>2YTMAP61007733</t>
  </si>
  <si>
    <t>TO BE UTILIZED BY LEOS OF THIS LEA IN THE PRESENTATION OF TRAINING MATERIALS</t>
  </si>
  <si>
    <t xml:space="preserve">
Sales Order #: 2287229026
RTD Screening Code: DOD
Reason for Rejection: Y9</t>
  </si>
  <si>
    <t>2YT1WQ61078354</t>
  </si>
  <si>
    <t xml:space="preserve">
Sales Order #: 2286803373
RTD Screening Code: DOD
Reason for Rejection: Y9</t>
  </si>
  <si>
    <t>2YTEY461007888</t>
  </si>
  <si>
    <t>FOR USE BY THIS AGENCY, ORANGE POLICE ONLY. THIS VEHICLE WILL SUPPORT OPERATORS IN TIERED TEAM DEPLOYMENTS DURING EMERGENCY RESPONSES TO CRITICAL INCIDENTS, ACTIVE THREAT AND PUBLIC EVENTS. OPERATED BY THE SPECIAL RESPONSE TEAM, IT WILL SERVE AS A RESCUE AND EVACUATION UNIT, ENHANCING SAFETY, FACILITATING PERSONNEL DEPLOYMENT, AND IF NEEDED SUPPORTING RAPID EVACUATION EFFORTS. ITS FREQUENT MONTHLY DEPLOYMENTS BOTH LOCALLY AND THROUGH AID, WILL UNDERSCORE ITS VITAL ROLE IN HIGHRISK OPERATIONS.</t>
  </si>
  <si>
    <t xml:space="preserve">
Sales Order #: 2287123709
RTD Screening Code: DOD
Reason for Rejection: Y9</t>
  </si>
  <si>
    <t>2YT15D61078232</t>
  </si>
  <si>
    <t>FOR USE BY THIS LEA ONLY. FOR USE BY THE OFFICERS OF THIS LEA TO CONDUCT UNDERCOVER SURVEILLANCE DURING CARGO THEFT INVESTIGATIONS.</t>
  </si>
  <si>
    <t>2YT1L561008602</t>
  </si>
  <si>
    <t>TO BE USED BY LEOS OF THIS LEA IN THE INSPECTION OF VEHICLES</t>
  </si>
  <si>
    <t xml:space="preserve">
Sales Order #: 2285840397
RTD Screening Code: DOD
Reason for Rejection: YD</t>
  </si>
  <si>
    <t>2YT1WQ60796672</t>
  </si>
  <si>
    <t>THIS EQUIPMENT WILL BE UTILIZED FOR LAW ENFORCEMENT USE ONLY. LEOS AT THIS LEA WILL UTILIZE THE PICK UP MOTOR VEHICLE FOR ROAD CLOSURES, RESPOND TO EMERGENCIES, PLACE CONES AND ROAD CLOUSRE EQUIPMENT AND ASSIST DURING ROAD CONSTRUCTION.</t>
  </si>
  <si>
    <t xml:space="preserve">
Sales Order #: 2285333705
RTD Screening Code: GSA
Reason for Rejection: YD</t>
  </si>
  <si>
    <t>2YTECD60795637</t>
  </si>
  <si>
    <t>FOR THIS LEA ONLY. THE NORTH BERGEN POLICE DEPARTMENT WOULD LIKE TO REQUEST THIS VEHICLE FOR OUR PATROL FLEET. THIS WILL ALLOW US TO DEPLOY AN ADDITIONAL PATROL VEHICLE TO INCREASE COMMUNITY AND OFFICER SAFETY. THANK YOU FOR YOUR CONSIDERATION.</t>
  </si>
  <si>
    <t xml:space="preserve">
Sales Order #: 2285072201
RTD Screening Code: DOD
Reason for Rejection: YG</t>
  </si>
  <si>
    <t>2YT1NW60725419</t>
  </si>
  <si>
    <t xml:space="preserve">
Sales Order #: 2285072210
RTD Screening Code: DOD
Reason for Rejection: YG</t>
  </si>
  <si>
    <t>2YT1NW60725418</t>
  </si>
  <si>
    <t>THIS EQUIPMENT WILL BE UTILIZED FOR LAW ENFORCEMENT USE ONLY. LEOS AT THIS LEA WILL UTILIZE THE MOTOR VEHICLE FOR ROAD CLOSURES, RESPOND TO EMERGENCIES, AND ASSIST DURING ROAD CONSTRUCTION.</t>
  </si>
  <si>
    <t xml:space="preserve">
Sales Order #: 2285114056
RTD Screening Code: GSA
Reason for Rejection: YD</t>
  </si>
  <si>
    <t>2YTECD60795568</t>
  </si>
  <si>
    <t>Rejected by EDP0815.  Comments: Item awarded to another LEA at the State level.   .</t>
  </si>
  <si>
    <t>2YT15D61078230</t>
  </si>
  <si>
    <t xml:space="preserve">
Sales Order #: 2286298943
RTD Screening Code: DOD
Reason for Rejection: Y9</t>
  </si>
  <si>
    <t>2YT15D60936902</t>
  </si>
  <si>
    <t>FOR USE BY THIS LEA ONLY. TO BE USED BY THE LEOS OF THIS AGENCY. THIS TRAILER WILL BE UTILIZED TO TRANSPORT UTVS IN SUPPORT OF LAW ENFORCEMENT OPERATIONS, TRAINING, AND CRITICAL INCIDENT RESPONSE.</t>
  </si>
  <si>
    <t xml:space="preserve">
Sales Order #: 2286425685
RTD Screening Code: DOD
Reason for Rejection: Y9</t>
  </si>
  <si>
    <t>2YTEY460937226</t>
  </si>
  <si>
    <t>TRUCK TO BE USED BY UPPER SADDLE RIVER POLICE OFFICERS FOR THE DEPLOYMENT OF EMERGENCY RESPONSE EQUIPMENT AND RESPONSE TO LAW ENFORCEMENT INCIDENTS TO INCLUDE SEVERE WEATHER EVENTS</t>
  </si>
  <si>
    <t xml:space="preserve">
Sales Order #: 2286756673
RTD Screening Code: DOD
Reason for Rejection: Y9</t>
  </si>
  <si>
    <t>2YTMAP61007850</t>
  </si>
  <si>
    <t>VEHICLE TO BE USED BY UPPER SADDLE RIVER POLICE OFFICERS FOR EMERGENCY RESPONSE DURING INCLEMENT WEATHER WHEN ROADWAYS ARE NOT ACCESSIBLE TO TRADITIONAL PATROL UNITS.   THESE UNITS HAVE ALSO BEEN USED TO DEPLOY EMERGENCY EQUIPMENT</t>
  </si>
  <si>
    <t xml:space="preserve">
Sales Order #: 2286756685
RTD Screening Code: DOD
Reason for Rejection: Y9</t>
  </si>
  <si>
    <t>2YTMAP61007852</t>
  </si>
  <si>
    <t>PICK UP TO BE USED FOR THE STORAGE AND DEPLOYMENT OF EMERGENCY EQUIPMENT USED DURING SEVERE WEATHER EVENTS AND OTHER LAW ENFORCEMENT RELATED RESPONSE ACTIVITIES</t>
  </si>
  <si>
    <t xml:space="preserve">
Sales Order #: 2286712842
RTD Screening Code: DOD
Reason for Rejection: BQ</t>
  </si>
  <si>
    <t>2YTMAP61007734</t>
  </si>
  <si>
    <t>THE NEBRASKA STATE PATROLS BOMB SQUAD WILL USE TO ASSIST THEIR STATEWIDE RESPONSE TO SAFELY SECURE TRANSPORT AND DETONATE SUSPECTED EXPLOSIVE OR CHEMICAL BIOLOGICAL DEVICES IT WILL MITIGATES BLAST EFFECTS FLYING DEBRIS AND HAZARDOUS GASES, PROTECTING NEARBY PEOPLE PROPERTY AND THE ENVIRONMENT</t>
  </si>
  <si>
    <t xml:space="preserve">
Sales Order #: 2290570320
RTD Screening Code: DOD
Reason for Rejection: Y9</t>
  </si>
  <si>
    <t>2YT1DY61492803</t>
  </si>
  <si>
    <t>THE NEBRASKA STATE PATROL WILL TRAIN AND USE THESE KITS IN FORWARD DEPLOYED ARMORED VEHICLES STAGED ACROSS THE STATE TO ASSIST WITH DOWNED OFFICERS AND CIVILIANS THESE WILL BE USED DURING ACTIVE SHOOTER RESPONSE AND SWAT ACTIVATIONS PROVIDING A TRIED AND TRUE MEDICAL PACK AS WELL</t>
  </si>
  <si>
    <t>2YT1DY61421576</t>
  </si>
  <si>
    <t>2YT1DY61421575</t>
  </si>
  <si>
    <t>2YT1DY61421574</t>
  </si>
  <si>
    <t>THE NEBRASKA STATE PATROL IS EXPANDING ITS AERIAL CAPABILITIES TO ENHANCE LAW ENFORCEMENT OPERATIONS FOCUSING ON FIXED WING DRONES FOR IMPROVED INTELLIGENCE SURVEILLANCE AND RECONNAISSANCE ISR MISSIONS AND MAPPING</t>
  </si>
  <si>
    <t>2YT1DY61351571</t>
  </si>
  <si>
    <t>2YT1DY61351570</t>
  </si>
  <si>
    <t>2YT1DY61421573</t>
  </si>
  <si>
    <t>FOR FORWARD DEPLOYED ARMORED VEHICLES</t>
  </si>
  <si>
    <t>2YT1DY61421295</t>
  </si>
  <si>
    <t>2YT1DY61421294</t>
  </si>
  <si>
    <t>2YT1DY61421293</t>
  </si>
  <si>
    <t>2YT1DY61421292</t>
  </si>
  <si>
    <t>TO HAVE A FIXED WING DRONE CAPABILITY.</t>
  </si>
  <si>
    <t>2YT1DY61351298</t>
  </si>
  <si>
    <t>2YT1DY61351297</t>
  </si>
  <si>
    <t>2YT1DY61351296</t>
  </si>
  <si>
    <t>THIS VEHICLE COULD BE UTILIZED AS A COMMAND VEHICLE IN INSTANCES OF SRT OPERATIONS, SEARCH AND RESCUE OR EVENT SECURITY.  THE WORK BENCH AND SEATS WOULD ALLOW FOR MULTIPLE USES THROUGHOUT OUR AGENCY AND ALLOW FOR BETTER OPERATIONAL CAPACITY WHICH WOULD ALSO HELP OUR NEIGHBORING COUNTIES.</t>
  </si>
  <si>
    <t xml:space="preserve">
Sales Order #: 2286656105
RTD Screening Code: DOD
Reason for Rejection: Y9</t>
  </si>
  <si>
    <t>2YTFKS61007725</t>
  </si>
  <si>
    <t xml:space="preserve">
Sales Order #: 2290802641
RTD Screening Code: DOD
Reason for Rejection: YG</t>
  </si>
  <si>
    <t>BAG,DIVER</t>
  </si>
  <si>
    <t>2YTPUC61562594</t>
  </si>
  <si>
    <t>REQUESTING AGENCY HAS CONFIRMED WITH THE DLA DS LOCATION REGARDING THE LISTED ITEM CONDITION AND IS SATISFIED THAT THE ITEM REQUESTED IS OF OPERATIONAL AND OR SERVICEABLE CONDITION. LIGHTS WILL BE UTILIZED FOR VARIOUS PUBLIC SAFETY FUNCTIONS BY AGENCY PERSONNEL WHICH WILL ENHANCE EFFECTIVENESS, INCREASE OFFICER SAFETY AND SITUATIONAL AWARENESS BY PROVIDING ADEQUATE ILLUMINATION FOR PURPOSES OF CRIME SUPPRESSION, EVIDENCE COLLECTION, SEARCH AND RESCUE, SCENE SECURITY AND OTHER TASKS.</t>
  </si>
  <si>
    <t xml:space="preserve">
Sales Order #: 2289724249
RTD Screening Code: DOD
Reason for Rejection: YG</t>
  </si>
  <si>
    <t>2YTPUC61421444</t>
  </si>
  <si>
    <t>REQUESTING AGENCY HAS CONFIRMED WITH THE DLA DS LOCATION REGARDING THE LISTED ITEM CONDITION AND IS SATISFIED THAT THE ITEM REQUESTED IS OF OPERATIONAL AND OR SERVICEABLE CONDITION. DETECTORS WILL BE USED BY AGENCY PERSONNEL DURING VARIOUS PUBLIC SAFETY EVENTS FOR ATMOSPHERIC MONITORING TO DETECT HAZARDOUS SUBSTANCES WHICH COULD BE CASUALTY INDUCING. THE UNITS WILL ALLOW PROPER SAFETY MEASURES TO BE IMPLEMENTED TO MITIGATE THE RISKS IN THE WORKING ENVIRONMENT.</t>
  </si>
  <si>
    <t xml:space="preserve">
Sales Order #: 2291186417
RTD Screening Code: GSA
Reason for Rejection: YH</t>
  </si>
  <si>
    <t>DETECTOR,GAS</t>
  </si>
  <si>
    <t>2YTPUC61703619</t>
  </si>
  <si>
    <t>AGENCY HAS CONFIRMED WITH THE DLA LOCATION REGARDING THE LISTED ITEM CONDITION AND IS SATISFIED THAT THE ITEM REQUESTED IS OF OPERATIONAL CONDITION. VEHICLE WILL BE USED DURING PUBLIC SAFETY EVENTS SUCH AS HIGH RISK INCIDENTS WHILE PROVIDING BALLISTIC PROTECTION TO PERSONNEL. THE VEHICLE WILL BE USED BY OUR AGENCY TO PROVIDE CRUCIAL EQUIPMENT AND PERSONNEL TRANSPORTATION AS WELL AS BALLISTIC PROTECTION. THE VEHICLE WILL BE A VALUED ASSET TO OUR TEAM AND CITIZENS OF THE REGION.</t>
  </si>
  <si>
    <t>No approved TVP. TVS CBC.</t>
  </si>
  <si>
    <t>2YTPUC61844342</t>
  </si>
  <si>
    <t>2YTPUC61844339</t>
  </si>
  <si>
    <t xml:space="preserve">
Sales Order #: 2291312729
Reason for Rejection: Y9</t>
  </si>
  <si>
    <t>2YTPUC61703618</t>
  </si>
  <si>
    <t xml:space="preserve">
Sales Order #: 2290329640
RTD Screening Code: DOD
Reason for Rejection: YH</t>
  </si>
  <si>
    <t>2YTPUC61492169</t>
  </si>
  <si>
    <t>REQUESTING AGENCY HAS CONFIRMED WITH THE DLA LOCATION REGARDING THE LISTED ITEM CONDITION AND IS SATISFIED THAT THE ITEM REQUESTED IS OF OPERATIONAL AND OR SERVICEABLE CONDITION. THESE PARTS WILL BE USED BY AGENCY PERSONNEL DURING HIGH RISK SITUATIONS WHERE USE OF FORCE MAY BE NEEDED. THESE PARTS WILL ENHANCE CAPABILITIES BY PROVIDING QUALITY EQUIPMENT THAT WILL MITIGATE SAFETY RISKS AND ASSIST IN KEEPING THE PUBLIC SAFE DURING INCIDENTS SUCH AS ACTIVE THREATS AND COUNTER TERRORISM OPERATIONS.</t>
  </si>
  <si>
    <t xml:space="preserve">
Sales Order #: 2290802642
RTD Screening Code: DOD
Reason for Rejection: Y9</t>
  </si>
  <si>
    <t>2YTPUC61562665</t>
  </si>
  <si>
    <t xml:space="preserve">REQUESTING AGENCY HAS CONFIRMED WITH THE DLA DS LOCATION REGARDING THE LISTED ITEM CONDITION AND IS SATISFIED THAT THE ITEM REQUESTED IS OF OPERATIONAL AND OR SERVICEABLE CONDITION. THESE WEAPON PARTS WILL BE USED BY AGENCY PERSONNEL DURING HIGH RISK PUBLIC SAFETY INCIDENTS AND TRAININGS AND WILL SUSTAIN VITAL EQUIPMENT WHICH PROVIDES JOB PERTINENT CAPABILITIES TO THOSE ENTRUSTED WITH KEEPING THE COMMUNITY SAFE AND FREE OF HARM IN SUCH EVENTS AS COUNTER TERRORISM AND ACTIVE THREAT RESPONSE. 
</t>
  </si>
  <si>
    <t xml:space="preserve">
Sales Order #: 2288815414
Reason for Rejection: YH</t>
  </si>
  <si>
    <t>BOLT ASSEMBLY,RIFLE</t>
  </si>
  <si>
    <t>2YTPUC61280389</t>
  </si>
  <si>
    <t xml:space="preserve">
Sales Order #: 2288815417
RTD Screening Code: DOD
Reason for Rejection: YH</t>
  </si>
  <si>
    <t>RECEIVER,CARTRIDGE</t>
  </si>
  <si>
    <t>2YTPUC61280376</t>
  </si>
  <si>
    <t>2YTPUC61492903</t>
  </si>
  <si>
    <t>REQUESTING AGENCY HAS CONFIRMED WITH THE DLA DS LOCATION REGARDING THE LISTED ITEM CONDITION AND IS SATISFIED THAT THE ITEM REQUESTED IS OF OPERATIONAL AND OR SERVICEABLE CONDITION. HEADSETS WILL BE USED FOR ENHANCED COMMUNICATION DURING HIGH RISK PUBLIC SAFETY MISSIONS BY PROVIDING CRUCIAL TWO WAY RADIO COMMUNICATION FOR INFORMATION SHARING AND MISSION PLANNING TO INCREASE EFFECTIVENESS AND A SUCCESSFUL OUTCOME.</t>
  </si>
  <si>
    <t xml:space="preserve">
Sales Order #: 2290329634
RTD Screening Code: DOD
Reason for Rejection: Y9</t>
  </si>
  <si>
    <t>2YTPUC61492109</t>
  </si>
  <si>
    <t xml:space="preserve">
Sales Order #: 2290329638
RTD Screening Code: DOD
Reason for Rejection: Y9</t>
  </si>
  <si>
    <t>2YTPUC61492191</t>
  </si>
  <si>
    <t xml:space="preserve">REQUESTING AGENCY HAS CONFIRMED WITH THE DLA DS LOCATION REGARDING THE LISTED ITEM CONDITION AND IS SATISFIED THAT THE ITEM REQUESTED IS OF OPERATIONAL AND OR SERVICEABLE CONDITION. 
VESTS WILL BE USED BY AGENCY PERSONNEL DURING HIGH RISK LAW ENFORCEMENT INCIDENTS AND PROVIDE FOR A MODULAR LIGHTWEIGHT ARMOR AND EQUIPMENT CARRIAGE PLATFORM, WHICH WILL ENHANCE EFFECTIVENESS BY CREATING A SCALABLE SYSTEM TO PROTECT THE WEARER AND CARRY VITAL EQUIPMENT IN SUPPORT OF PUBLIC SAFETY.
</t>
  </si>
  <si>
    <t>2YTPUC61562558</t>
  </si>
  <si>
    <t xml:space="preserve">
Sales Order #: 2288815415
Reason for Rejection: YH</t>
  </si>
  <si>
    <t>BARREL AND GAS BLOC</t>
  </si>
  <si>
    <t>2YTPUC61280378</t>
  </si>
  <si>
    <t>REQUESTING AGENCY HAS CONFIRMED WITH THE DLA DS LOCATION REGARDING THE LISTED ITEM CONDITION AND IS SATISFIED THAT THE ITEM REQUESTED IS OF OPERATIONAL AND OR SERVICEABLE CONDITION. ROBOT WILL BE USED IN PUBLIC SAFETY INCIDENTS FOR REMOTE AREA CLEARANCE IN HAZARDOUS SITUATIONS. THIS DEVICE WILL INCREASE SAFETY OF AGENCY PERSONNEL BY GATHERING INFORMATION OF AN AREA BEFORE SUBJECTING PERSONNEL TO POTENTIAL DANGER WHEN ENTERING THAT SPACE.</t>
  </si>
  <si>
    <t>2YTPUC61422246</t>
  </si>
  <si>
    <t>2YTPUC61422245</t>
  </si>
  <si>
    <t>2YTPUC61422244</t>
  </si>
  <si>
    <t xml:space="preserve">
Sales Order #: 2288924334
RTD Screening Code: DOD
Reason for Rejection: YH</t>
  </si>
  <si>
    <t>2YTPUC61280390</t>
  </si>
  <si>
    <t xml:space="preserve">
Sales Order #: 2288359213
RTD Screening Code: RTD2
Reason for Rejection: Z2</t>
  </si>
  <si>
    <t>2YTPUC61139892</t>
  </si>
  <si>
    <t>2YTPUC61421440</t>
  </si>
  <si>
    <t>THE REQUESTED RESOURCE WILL BE UTILIZED BY THE PENDER COUNTY SHERIFF'S OFFICE TO USE ON WORKING ON OUR EQUIPMENT AND KEEP IT MAINTAINED AND MISSION READY.</t>
  </si>
  <si>
    <t xml:space="preserve">
Sales Order #: 2291239901
RTD Screening Code: RTD2
Reason for Rejection: YH</t>
  </si>
  <si>
    <t>SOCKET,SOCKET WRENC</t>
  </si>
  <si>
    <t>2YTJH561633692</t>
  </si>
  <si>
    <t>HOPE MILLS PD NEEDS THIS EQUIPMENT FOR SEARCH AND RESCUE OPERATIONS. THIS EQUIPMENT WILL ALLOW OFFICERS TO SUCCESSFULLY NAVIGATE TERRAIN IN WOODED, OFF ROAD ENVIRONMENTS.</t>
  </si>
  <si>
    <t xml:space="preserve">
Sales Order #: 2292129819
RTD Screening Code: DOD
Reason for Rejection: Y9</t>
  </si>
  <si>
    <t>2YTPHJ61844448</t>
  </si>
  <si>
    <t>THE HALIFAX COUNTY SHERIFF'S OFFICE WILL UTILIZE THESE PREFABRICATED PORTABLE BUILDINGS TO SUPPORT EMERGENCY RESPONSE OPERATIONS, MOBILE COMMAND CAPABILITIES, EVIDENCE AND EQUIPMENT STORAGE, TRAINING FUNCTIONS, AND TEMPORARY WORKSPACE NEEDS DURING DISASTERS, SPECIAL OPERATIONS, AND FACILITY EXPANSION PROJECTS.</t>
  </si>
  <si>
    <t xml:space="preserve">
Sales Order #: 2291239890
Reason for Rejection: YF</t>
  </si>
  <si>
    <t>PREFABRICATED AND PORTABLE BUILDINGS</t>
  </si>
  <si>
    <t>DSBUILDIN</t>
  </si>
  <si>
    <t>2YTEZS61633688</t>
  </si>
  <si>
    <t>THE SCOTLAND NECK POLICE DEPT WOULD UTILIZE A REMOTELY OPERATED ROBOTIC SYSTEM TO SAFELY MANAGE HIGHRISK INCIDENTS WHILE MINIMIZING DANGER TO OFFICERS CITIZENS, AND SUSPECTS A REMOTE ROBOT EQUIPPED WITH CAMERAS LIGHTING AND COMMUNICATION CAPABILITIES ALLOWS LAW ENFORCEMENT PERSONNEL TO ASSESS HAZARDOUS SITUATIONS FROM A SAFE DISTANCE BEFORE DIRECT CONTACT IS MADE THIS SYSTEM WOULD BE VALUABLE DURING BARRICADED SUBJECT INCIDENTS SUSPICIOUS PACKAGE INVESTIGATIONS HOSTAGE SITUATIONS ACTIVE CRIME SC</t>
  </si>
  <si>
    <t xml:space="preserve">
Sales Order #: 2289879868
RTD Screening Code: DOD
Reason for Rejection: Y9</t>
  </si>
  <si>
    <t>2YTKUM61771839</t>
  </si>
  <si>
    <t>PCSO CONTACTED THE SITE AND EXCEPTS THE CONDITION THEY ARE IN. PCSO CAN USE THESE ITEMS FOR COUNTER TERRORISM AND COUNTER NARCOTIC OPERATIONS FOR BOTH DAY TIME AND NIGHT TIME OPERATIONS.</t>
  </si>
  <si>
    <t xml:space="preserve">
Sales Order #: 2291873288
RTD Screening Code: DOD
Reason for Rejection: Y9</t>
  </si>
  <si>
    <t>2YTJKM61774133</t>
  </si>
  <si>
    <t>HOPE MILLS PD NEED THIS EQUIPMENT FOR SEARCH AND RESCUE OPERATIONS. THIS EQUIPMENT WILL ALLOW US TO OPERATE IN LOW LIGHT CONDITIONS.</t>
  </si>
  <si>
    <t xml:space="preserve">
Sales Order #: 2291827677
RTD Screening Code: DOD
Reason for Rejection: Y9</t>
  </si>
  <si>
    <t>2YTPHJ61774251</t>
  </si>
  <si>
    <t>HOPE MILLS PD NEEDS THIS EQUIPMENT FOR SEARCH AND RESCUE, AND DISASTER RELATED EMERGENCY RESPONSE AND PREPAREDNESS, AND COUNTER DRUG OPERATIONS. DLA SITE WAS CONTACTED AND ADVISED THAT THIS EQUIPMENT WILL BE ACCEPTED IN ITS CURRENT CONDITION.</t>
  </si>
  <si>
    <t xml:space="preserve">
Sales Order #: 2291909029
RTD Screening Code: DOD
Reason for Rejection: Y9</t>
  </si>
  <si>
    <t>2YTPHJ61774149</t>
  </si>
  <si>
    <t>HOPE MILLS PD NEEDS THIS EQUIPMENT FOR SEARCH AND RESCUE OPERATIONS. THIS WOULD ALLOW FOR TACTICAL AND SEARCH IN RESCUE OPERATIONS IN DIFFICULT TERRAIN CONSIDERING THAT OUR REGION OFTEN FALLS VICTIM TO HURRICANES. IT WOULD ALLOW US TO REACH RESIDENTS TRAPPED IN THEIR HOMES.</t>
  </si>
  <si>
    <t>LIGHT ARMORED VEHICLE</t>
  </si>
  <si>
    <t>2YTPHJ61844545</t>
  </si>
  <si>
    <t xml:space="preserve">
THE NORTHAMPTON COUNTY SHERIFF'S OFFICE, A LAW ENFORCEMENT AGENCY, REQUEST'S THIS EQUIPMENT BE ISSUED TO OUR AGENCY.  WE WILL ISSUE THIS EQUIPMENT TO OUR NARCOTICS DIVISION FOR SURVEILLANCE PURPOSES.  ADDITIONALLY, WE CAN USE THIS EQUIPMENT IN SEARCH AND RESCUE OPERATIONS.</t>
  </si>
  <si>
    <t xml:space="preserve">
Sales Order #: 2288956702
RTD Screening Code: DOD
Reason for Rejection: YH</t>
  </si>
  <si>
    <t>2YT1QG61350758</t>
  </si>
  <si>
    <t>HOPE MILLS PD NEEDS THIS EQUIPMENT FOR SEARCH AND RESCUE OPERATIONS. THIS EQUIPMENT WILL ALLOW OPERATIONS TO BE SUCCESSFUL IN LOWLIGHT CONDITIONS.</t>
  </si>
  <si>
    <t>Rejected by EED0396.  Comments: Needs the optic note in justification.</t>
  </si>
  <si>
    <t>2YTPHJ61844436</t>
  </si>
  <si>
    <t>THE WILKESBORO POLICE DEPARTMENT REQUESTS THESE ITEMS TO BE USED IN COUNTER DRUG OPERATIONS BY SWORN OFFICERS. THE ITEMS WILL BE USED DURING DRUG SEARCH WARRANT OPERATIONS. WE HAVE CONTACTED THE SITE AND ACCEPT THE ITEMS IN CURRENT CONDITION.</t>
  </si>
  <si>
    <t xml:space="preserve">
Sales Order #: 2291668089
RTD Screening Code: DOD
Reason for Rejection: Y9</t>
  </si>
  <si>
    <t>2YTNPG61773966</t>
  </si>
  <si>
    <t>THE HALIFAX COUNTY SHERIFF'S OFFICE WILL UTILIZE THESE UNITS IN SEARCH AND RESCUE OPERATIONS THROUGHOUT THE COUNTY OF HALIFAX COUNTY</t>
  </si>
  <si>
    <t xml:space="preserve">
Sales Order #: 2290172306
RTD Screening Code: DOD
Reason for Rejection: YG</t>
  </si>
  <si>
    <t>2YTEZS61562475</t>
  </si>
  <si>
    <t>HOPE MILLS PD NEEDS THIS EQUIPMENT FOR SEARCH AND RESCUE OPERATIONS. THIS EQUIPMENT WILL ASSIST WITH ALLOWING OFFICERS TO OPERATE IN LOW LIGHT CONDITIONS.</t>
  </si>
  <si>
    <t>CANCELLED: Currently you have requested 50 of these and the property is still pending. If you are awarded this property you would be near your 1 for 1 per officer according to what we have on file for the number of officers your agency has.</t>
  </si>
  <si>
    <t>2YTPHJ61774273</t>
  </si>
  <si>
    <t>THE WILKESBORO POLICE DEPARTMENT REQUEST THESE ITEMS TO BE USED DURING COUNTER DRUG OPERATIONS BY SWORN OFFICERS. WE HAVE CONTACTED THE SITE AND ACCEPT THEM IN CURRENT CONDITION.</t>
  </si>
  <si>
    <t>2YTNPG61704181</t>
  </si>
  <si>
    <t>HOPE MILLS PD NEEDS THIS EQUIPMENT FOR CERTAIN AND RESCUE OPERATIONS TO BE ABLE TO NAVIGATE  THE RURAL TERRAIN ON THE AREA.</t>
  </si>
  <si>
    <t>2YTPHJ61704163</t>
  </si>
  <si>
    <t>2YTPHJ61704162</t>
  </si>
  <si>
    <t>2YTPHJ61704161</t>
  </si>
  <si>
    <t>2YTPHJ61704160</t>
  </si>
  <si>
    <t>2YTPHJ61704154</t>
  </si>
  <si>
    <t>2YTPHJ61704153</t>
  </si>
  <si>
    <t>2YTPHJ61704152</t>
  </si>
  <si>
    <t>HOPE MILLS PD NEEDS THIS EQUIPMENT FOR SEARCH AND RESCUE OPERATIONS. THIS EQUIPMENT WILL ALLOW OFFICERS TO OPERATE IN LOW LIGHT CONDITIONS .</t>
  </si>
  <si>
    <t>Rejected by EED0396.</t>
  </si>
  <si>
    <t>2YTPHJ61774275</t>
  </si>
  <si>
    <t>2YTPHJ61774274</t>
  </si>
  <si>
    <t>REQUESTED RESOURCE WILL BE UTILIZED BY THE PENDER COUNTY SHERIFF'S OFFICE FOR SRT DEPLOYMENT, CRITICAL INCIDENTS AND NATURAL DISASTERS.</t>
  </si>
  <si>
    <t>Cancel per LEA</t>
  </si>
  <si>
    <t>2YTJH561774195</t>
  </si>
  <si>
    <t>Cancel Per LEA.</t>
  </si>
  <si>
    <t>2YTJH561774193</t>
  </si>
  <si>
    <t>HOPE MILLS PD NEEDS THIS EQUIPMENT FOR SEARCH AND RESCUE OPERATIONS. IT WILL ALLOW US TO TRANSPORT PERSONNEL FROM ISOLATED LOCATIONS TO THE SITE OF THE INCIDENT .</t>
  </si>
  <si>
    <t>2YTPHJ61704252</t>
  </si>
  <si>
    <t>HOPE MILLS PD NEEDS THIS EQUIPMENT FOR SEARCH AND RESCUE OPERATIONS.</t>
  </si>
  <si>
    <t>CYCLE - LEAs cannot requisition property in the GSA Cycle.</t>
  </si>
  <si>
    <t>BAG,TENT FABRIC COM</t>
  </si>
  <si>
    <t>2YTPHJ61704158</t>
  </si>
  <si>
    <t>HOPE MILLS PD NEEDS THIS EQUIPMENT FOR SEARCH AND RESCUE, AND DISASTER RELATED EMERGENCY RESPONSE AND PREPAREDNESS. STORAGE UNIT WILL BE USED TO STORE AND MAINTAIN ALL EQUIPMENT NECESSARY TO PERFORM SEARCH AND RESCUE OPERATIONS.</t>
  </si>
  <si>
    <t>2YTPHJ61704156</t>
  </si>
  <si>
    <t>2YTPHJ61704150</t>
  </si>
  <si>
    <t>THE WILKESBORO POLICE DEPARTMENT IS REQUESTING THESE ITEMS FOR USE IN SEARCH AND RESCUE, COUNTER-DRUG AND COUNTER-TERRORISM OPERATIONS.</t>
  </si>
  <si>
    <t xml:space="preserve">
Sales Order #: 2291061655
Reason for Rejection: YG</t>
  </si>
  <si>
    <t>2YTNPG61633336</t>
  </si>
  <si>
    <t>THE REQUESTED RESOURCE WILL BE UTILIZED BY THE PENDER COUNTY SHERIFF'S OFFICE FOR SRT DEPLOYMENTS, NATURAL DISASTERS AND SEARCH AND RESCUE MISSIONS IN THE 125 SQUARE MILES OF GAME LANDS IN OUR COUNTY.</t>
  </si>
  <si>
    <t>2YTJH561703999</t>
  </si>
  <si>
    <t>2YTJH561703998</t>
  </si>
  <si>
    <t xml:space="preserve">
Sales Order #: 2291668087
RTD Screening Code: DOD
Reason for Rejection: Y9</t>
  </si>
  <si>
    <t>2YTNPG61773965</t>
  </si>
  <si>
    <t>THE REQUESTED RESOURCE WILL BE UTILIZED BY THE PENDER COUNTY SHERIFF'S OFFICE TO PUT IN OUR SHOP FOR AIR CIRCULATION DURING THE HEAT OF THE SUMMER WHILE WE ARE WORKING ON EQUIPMENT.</t>
  </si>
  <si>
    <t xml:space="preserve">
Sales Order #: 2291549226
RTD Screening Code: DOD
Reason for Rejection: Y9</t>
  </si>
  <si>
    <t>2YTJH561703690</t>
  </si>
  <si>
    <t>THE MIDDLESEX POLICE DEPARTMENT NEEDS THIS ITEM FOR NIGHT VISION CAPABILITIES ON THE EMERGENCY RESPONSE TEAM.</t>
  </si>
  <si>
    <t xml:space="preserve">
Sales Order #: 2289767915
RTD Screening Code: DOD
Reason for Rejection: YG</t>
  </si>
  <si>
    <t>2YTHPH61421659</t>
  </si>
  <si>
    <t>MIDDLESEX PD (2YTHPH)</t>
  </si>
  <si>
    <t>HOPE MILLS PD NEEDS THIS EQUIPMENT FOR SEARCH AND RESCUE OPERATIONS, AND DISASTER RELATED EMERGENCY RESPONSE AND PREPAREDNESS.</t>
  </si>
  <si>
    <t>2YTPHJ61773694</t>
  </si>
  <si>
    <t>2YTPHJ61703695</t>
  </si>
  <si>
    <t>HOPE MILLS PD NEES THIS EQUIPMENT FOR STORAGE FORE SEARCH AND RESCUE OPERATIONS.</t>
  </si>
  <si>
    <t>STORAGE CONTAINER,F</t>
  </si>
  <si>
    <t>2YTPHJ61703656</t>
  </si>
  <si>
    <t>2YTPHJ61703654</t>
  </si>
  <si>
    <t>HOPE MILLS PD NEEDS THIS EQUIPMENT FOR SEARCH AND RESCUE OPERATIONS AND DISASTER RELATED EMERGENCY PREPAREDNESS.</t>
  </si>
  <si>
    <t>2YTPHJ61703651</t>
  </si>
  <si>
    <t>2YTPHJ61703650</t>
  </si>
  <si>
    <t>HOPE MILLS PD NEEDS THIS EQUIPMENT FOR SEARCH AND RESCUE OPERATIONS AND DISASTER RELATED EMERGENCY PREPARDNESS.</t>
  </si>
  <si>
    <t>2YTPHJ61703649</t>
  </si>
  <si>
    <t>HALIFAX COUNTY DETENTION FACILITY IS EXPERIENCING CRITICAL HVAC FAILURE DUE TO AGING AIR CONDITIONING SYSTEMS. THESE DEPLOYABLE ENVIRONMENTAL CONTROL UNITS ARE NEEDED TO PROVIDE EMERGENCY COOLING FOR INMATE HOUSING, MEDICAL, INTAKE, AND STAFF AREAS TO MAINTAIN SAFE TEMPERATURES, SUPPORT CONTINUITY OF DETENTION OPERATIONS, AND REDUCE HEALTH AND SAFETY RISKS DURING ONGOING HVAC OUTAGES AND REPAIRS.</t>
  </si>
  <si>
    <t>Rejected by EGW0511.</t>
  </si>
  <si>
    <t>2YTEZS61703992</t>
  </si>
  <si>
    <t xml:space="preserve">
Sales Order #: 2289188644
RTD Screening Code: DOD
Reason for Rejection: YG</t>
  </si>
  <si>
    <t>2YTQT261280614</t>
  </si>
  <si>
    <t>WILSON'S MILLS NEEDS THIS COMPUTER FOR COUNTER-DRUG, COUNTER-TERRORISM OPERATIONS FOR COMPLETING INCIDENT REPORTS, PREPARING INVESTIGATIVE REPORTS FOR THE DISTRICT ATTORNEY'S OFFICE, AND COMMUNICATING WITH OFFICERS WITHIN THE DEPARTMENT AND IN NEIGHBORING JURISDICTIONS.</t>
  </si>
  <si>
    <t xml:space="preserve">
Sales Order #: 2289210606
RTD Screening Code: DOD
Reason for Rejection: YG</t>
  </si>
  <si>
    <t>2YTQT261280602</t>
  </si>
  <si>
    <t>THE WILKESBORO POLICE DEPARTMENT IS REQUESTING THESE ITEMS FOR USE BY SWORN LAW ENFORCEMENT PERSONNEL TO PRINT, SCAN, AND FAX OFFICIAL DOCUMENTATION RELATED TO LAW ENFORCEMENT ACTIVITY.</t>
  </si>
  <si>
    <t xml:space="preserve">
Sales Order #: 2291155259
RTD Screening Code: DOD
Reason for Rejection: Y9</t>
  </si>
  <si>
    <t>2YTNPG61633334</t>
  </si>
  <si>
    <t>THE WILKESBORO POLICE DEPARTMENT IS REQUESTING THESE ITEMS FOR GENERAL MAINTENANCE IN AND AROUND THE WILKESBORO POLICE DEPARTMENT.</t>
  </si>
  <si>
    <t xml:space="preserve">
Sales Order #: 2290321974
Reason for Rejection: Y7</t>
  </si>
  <si>
    <t>2YTNPG61492735</t>
  </si>
  <si>
    <t>THE TAYLORSVILLE POLICE DEPARTMENT IS REQUESTING THE PROCUREMENT OF TACTICAL ASSAULT PACKS TO ENHANCE OFFICER MOBILITY AND OPERATIONAL READINESS IN SUPPORT OF SEARCH AND RESCUE OPERATIONS AND DISASTER-RELATED EMERGENCY RESPONSE AND PREPAREDNESS. THESE PACKS PROVIDE A COMPACT, ORGANIZED, AND DURABLE MEANS FOR OFFICERS TO CARRY ESSENTIAL EQUIPMENT WHILE OPERATING IN DYNAMIC AND OFTEN UNPREDICTABLE ENVIRONMENTS.</t>
  </si>
  <si>
    <t xml:space="preserve">
Sales Order #: 2286425655
RTD Screening Code: DOD
Reason for Rejection: YG</t>
  </si>
  <si>
    <t>2YTLQQ60937182</t>
  </si>
  <si>
    <t>THE TAYLORSVILLE POLICE DEPARTMENT IS REQUESTING THE PROCUREMENT OF ASSAULT PACKS TO ENHANCE OFFICER MOBILITY AND OPERATIONAL READINESS IN SUPPORT OF SEARCH AND RESCUE OPERATIONS AND DISASTER-RELATED EMERGENCY RESPONSE AND PREPAREDNESS. THESE PACKS PROVIDE A COMPACT, ORGANIZED, AND DURABLE MEANS FOR OFFICERS TO CARRY ESSENTIAL EQUIPMENT WHILE OPERATING IN DYNAMIC AND OFTEN UNPREDICTABLE ENVIRONMENTS.</t>
  </si>
  <si>
    <t xml:space="preserve">
Sales Order #: 2286425670
RTD Screening Code: DOD
Reason for Rejection: YG</t>
  </si>
  <si>
    <t>2YTLQQ60937181</t>
  </si>
  <si>
    <t>THE WAKE FOREST POLICE DEPARTMENT NEEDS THIS EQUIPMENT TO ENHANCE COUNTER NARCOTICS OPERATIONS AND RESPONDING TO ACTS OF TERRORISM. SITE CONTACTED AND WAKE FOREST POLICE DEPARTMENT IS WILLING TO ACCEPT THIS EQUIPMENT AS IS.</t>
  </si>
  <si>
    <t xml:space="preserve">
Sales Order #: 2288152845
RTD Screening Code: DOD
Reason for Rejection: YG</t>
  </si>
  <si>
    <t>2YTM4Z61499613</t>
  </si>
  <si>
    <t xml:space="preserve">
Sales Order #: 2288152839
Reason for Rejection: YG</t>
  </si>
  <si>
    <t>2YTM4Z61499611</t>
  </si>
  <si>
    <t>ONSLOW CSO NEEDS THIS EQUIPMENT FOR SEARCH AND RESCUE OPERATIONS DISASTER RELATED EMERGENCY RESPONSE AND PREPAREDNESS COUNTER DRUG AND COUNTERTERRORISM EQUIPMENT WILL BE UTILIZED TO SEARCH FOR DISABLED VICTIMS DURING DISASTER RELATED RESPONSE AND PREPAREDNESS AND RESEARCHING RISK RECOVERY OPERATIONS. ADDITIONALLY UTILIZED TO FIND BARRICADED SUBJECTS.</t>
  </si>
  <si>
    <t xml:space="preserve">
Sales Order #: 2288617670
Reason for Rejection: YG</t>
  </si>
  <si>
    <t>2YT13W61490270</t>
  </si>
  <si>
    <t xml:space="preserve">
Sales Order #: 2289879870
RTD Screening Code: DOD
Reason for Rejection: YG</t>
  </si>
  <si>
    <t>2YTEZS61491908</t>
  </si>
  <si>
    <t>THE MARTIN COUNTY SHERIFF'S OFFICE WOULD LIKE TO ACQUIRE THE VAN TRUCK.  THE VAN TRUCK WILL BE USED TO EVACUATE AND RESCUE PEOPLE DURING HURRICANES OR BAD WEATHER.  THE HIGH WATER RESCUE TRUCK CAN ALSO BE USED TO ACCESS HARD TO REACH AREAS OF OUR COUNTY DURING EMERGENCIES.  THE TRUCK MAY ALSO BE USED DURING LARGE SCALE EVENTS AS A MAKESHIFT COMMAND POST.</t>
  </si>
  <si>
    <t xml:space="preserve">
Sales Order #: 2290622547
RTD Screening Code: DOD
Reason for Rejection: YH</t>
  </si>
  <si>
    <t>2YTHDE61562874</t>
  </si>
  <si>
    <t>THE WILKESBORO POLICE DEPARTMENT REQUEST THESE ITEMS FOR SEARCH AND RESCUE OPERATIONS, VEHICLE ACCIDENT SCENES AND CRIME SCENES.</t>
  </si>
  <si>
    <t>2YTNPG61563333</t>
  </si>
  <si>
    <t xml:space="preserve">
Sales Order #: 2290495921
RTD Screening Code: DOD
Reason for Rejection: Y9</t>
  </si>
  <si>
    <t>2YTNPG61562714</t>
  </si>
  <si>
    <t>CITY OF NORTHWEST POLICE DEPARTMENT NEEDS THIS VEHICLE FOR DISASTER-RELATED EMERGENCY RESPONSE AND PREPAREDNESS AND SEARCH AND RESCUE OPERATIONS.  DUE TO THE HIGH POTENTIAL OF FLOODING IN OUR AREA AND THIS REGION BEING PRONE TO HURRICANES, WE WOULD NOT LIKE TO REQUEST THIS VEHICLE</t>
  </si>
  <si>
    <t>2YT1RY61563322</t>
  </si>
  <si>
    <t>NORTHWEST PD (2YT1RY)</t>
  </si>
  <si>
    <t>THE HALIFAX COUNTY SHERIFF'S OFFICE WILL UTILIZE THIS IN GENERAL PATROL OPERATIONS OR ON CRITICAL INCIDENTS. THIS VEHICLE MAY ALSO POTENTIALLY BE UTILIZED BY THE SWAT TEAM IN SPECIAL RESPONSE SITUATIONS.</t>
  </si>
  <si>
    <t xml:space="preserve">
Sales Order #: 2290721915
RTD Screening Code: DOD
Reason for Rejection: Y9</t>
  </si>
  <si>
    <t>2YTEZS61563292</t>
  </si>
  <si>
    <t>PCSO CAN UTILIZE THIS EQUIPMENT FOR COUNTER NARCOTIC OPERATIONS TO HELP WITH COLLECTING EVIDENCE FOR COURT AND PROSECUTION</t>
  </si>
  <si>
    <t xml:space="preserve">
Sales Order #: 2289486278
Reason for Rejection: YH</t>
  </si>
  <si>
    <t>CAMERA,RECONNAISSANCE SYSTEM</t>
  </si>
  <si>
    <t>2YTJKM61351246</t>
  </si>
  <si>
    <t>THIS WOULD BE FOR THE CASWELL BEACH POLICE DEPARTMENT 2YTB3L. THIS LAPTOP COMPUTER WOULD ASSIST US IN KEEPING RECORDS FOR ALL OPERATIONS FROM SEARCH AND RESCUE, DRUG RELATED EVENTS AND DAILY RECORDS THAT WE HAVE TO ENTER EACH DAY AT THE END OF THE SHIFT. THIS LAPTOP WOULD BE PLACED IN OUR PATROL VEHICLE AND SECURED BY A MOUNTED AND LOCKED WITH A KEY COMPUTER STAND, IT WILL ALSO BE SECURED IN THE VEHICLE BY THE VEHICLE LOCK AND SECURITY SYSTEM.</t>
  </si>
  <si>
    <t>2YTB3L61633196</t>
  </si>
  <si>
    <t>BLADENBORO POLICE DEPARTMENT REQUESTS THESE ITEMS LISTED, WHICH COULD BE USED IN ENTRIES WHEN ON DRUG RAIDS AND OTHER EMERGENCY ENTRIES.</t>
  </si>
  <si>
    <t>Rejected by EGW0511.  Comments: LESO doesn't authorized issue of munitions.</t>
  </si>
  <si>
    <t>2YTA9261553214</t>
  </si>
  <si>
    <t>THE WILSON'S MILLS POLICE DEPARTMENT NEEDS THESE CONTAINERS FOR STORAGE OF EVIDENCE AND TRAINING EQUIPMENT AND SUPPLIES FOR COUNTER DRUG OPERATIONS.</t>
  </si>
  <si>
    <t xml:space="preserve">
Sales Order #: 2289550452
RTD Screening Code: DOD
Reason for Rejection: YG</t>
  </si>
  <si>
    <t>VACU-TOTE STORAGE</t>
  </si>
  <si>
    <t>2YTQT261421347</t>
  </si>
  <si>
    <t>WILSON'S MILLS POLICE DEPARTMENT OFFICERS NEEDS THESE DEFIBRILLATORS IN THEIR CARS TO USE IN THE EVENT THEY RESPOND TO A CARDIAC ARREST IN A RESCUE OPERATION.</t>
  </si>
  <si>
    <t xml:space="preserve">
Sales Order #: 2289550453
RTD Screening Code: DOD
Reason for Rejection: YG</t>
  </si>
  <si>
    <t>DEFIBRILLATOR/MONIT</t>
  </si>
  <si>
    <t>2YTQT261421346</t>
  </si>
  <si>
    <t>WILSON'S MILLS POLICE DEPARTMENT NEEDS THIS RACK FOR STORAGE SMALL ARMS FOR OFFICERS TO HAVE FOR COUNTER DRUG OPERATIONS.</t>
  </si>
  <si>
    <t xml:space="preserve">
Sales Order #: 2289606326
RTD Screening Code: GSA
Reason for Rejection: YG</t>
  </si>
  <si>
    <t>2YTQT261421344</t>
  </si>
  <si>
    <t>WILSON'S MILLS POLICE DEPARTMENT NEEDS THESE SLINGS FOR OFFICERS TO USE ON THEIR RIFLES FOR COUNTER DRUG OPERATIONS.</t>
  </si>
  <si>
    <t xml:space="preserve">
Sales Order #: 2289606318
RTD Screening Code: DOD
Reason for Rejection: YG</t>
  </si>
  <si>
    <t>SLING,WEB</t>
  </si>
  <si>
    <t>2YTQT261421343</t>
  </si>
  <si>
    <t>WILSON'S MILLS POLICE DEPARTMENT NEEDS THIS MANNIKIN FOR RESCUE OPERATIONS FOR OFFICERS TO USE TO TREAT INJURED PERSONS AND TO TRAIN ON MEDICAL CARE IN ACTIVE THREAT ENVIRONMENTS.</t>
  </si>
  <si>
    <t xml:space="preserve">
Sales Order #: 2289550455
RTD Screening Code: DOD
Reason for Rejection: YG</t>
  </si>
  <si>
    <t>2YTQT261421341</t>
  </si>
  <si>
    <t xml:space="preserve">
Sales Order #: 2289210613
RTD Screening Code: DOD
Reason for Rejection: YG</t>
  </si>
  <si>
    <t>NRP,GETAC LAPTOP</t>
  </si>
  <si>
    <t>2YTQT261351030</t>
  </si>
  <si>
    <t xml:space="preserve">
Sales Order #: 2290802630
RTD Screening Code: DOD
Reason for Rejection: Y9</t>
  </si>
  <si>
    <t>2YTEZS61633083</t>
  </si>
  <si>
    <t>THE WAKE FOREST POLICE DEPARTMENT NEEDS THIS EQUIPMENT TO ISSUE TO OFFICERS TO ENHANCE EMERGENCY AND DISASTER RESPONSE AND SEARCH AND RESCUE ABILITY.</t>
  </si>
  <si>
    <t xml:space="preserve">
Sales Order #: 2289337561
RTD Screening Code: DOD
Reason for Rejection: YG</t>
  </si>
  <si>
    <t>2YTM4Z61281138</t>
  </si>
  <si>
    <t xml:space="preserve">
Sales Order #: 2289338548
RTD Screening Code: DOD
Reason for Rejection: YG</t>
  </si>
  <si>
    <t>2YTM4Z61281137</t>
  </si>
  <si>
    <t>LAURINBURG POLICE DEPARTMENT NEEDS THIS EQUIPMENT FOR COUNTER-TERRORISM AND COUNTER-DRUG.</t>
  </si>
  <si>
    <t xml:space="preserve">
Sales Order #: 2289096376
RTD Screening Code: DOD
Reason for Rejection: YG</t>
  </si>
  <si>
    <t>2YTGKT61281010</t>
  </si>
  <si>
    <t>LAURINBURG PD (2YTGKT)</t>
  </si>
  <si>
    <t xml:space="preserve">FEDERAL SCREENER FOR DIVISION WITH 200 LAW ENFORCEMENT AGENTS TO INCLUDE 19 SWAT OPERATORS.  FBI JURISDICTION FOR ALL OF NORTH CAROLINA.  THESE WILL BE USED FOR COLD WEATHER OPERATIONS.
</t>
  </si>
  <si>
    <t>Cycle- Property is in GSA Cycle</t>
  </si>
  <si>
    <t>2YTQY161492534</t>
  </si>
  <si>
    <t>2YTQY161492533</t>
  </si>
  <si>
    <t>FEDERAL SCREENER FOR DIVISION WITH 200 LAW ENFORCEMENT AGENTS TO INCLUDE 19 SWAT OPERATORS.  PACKS WILL BE USED FOR URBAN AND RURAL OPERATIONS.</t>
  </si>
  <si>
    <t>2YTQY161472531</t>
  </si>
  <si>
    <t>THE WILKESBORO POLICE DEPARTMENT REQUEST THESE ITEMS BY SWORN OFFICERS DURING COUNTER DRUG AND TERRORISM OPERATIONS. WILL BE USED DURING SEARCH WARRANT OPERATIONS. WE HAVE CONTACTED THE SITE AND ACCEPT THEM IN THEIR CURRENT CONDITION.</t>
  </si>
  <si>
    <t xml:space="preserve">
Sales Order #: 2290321977
RTD Screening Code: DOD
Reason for Rejection: Y9</t>
  </si>
  <si>
    <t>2YTNPG61562731</t>
  </si>
  <si>
    <t>THE ASHE COUNTY SHERIFF'S OFFICE REQUEST THESE ITEMS FOR US IN COUNTER-DRUG OPERATIONS. THESE REFLEX SIGHTS WILL ALLOW OUR DEPUTIES TO HAVE IMPROVED VISUAL AIM IN LOW LIGHT CONDITIONS WHILST SERVING DRUG RELATED SEARCH WARRANTS. WE HAVE BEEN IN CONTACT WITH THE SITE, ARE AWARE OF THEIR CONDITION AND WILL ACCEPT THESE AS-IS.</t>
  </si>
  <si>
    <t xml:space="preserve">
Sales Order #: 2289887966
RTD Screening Code: DOD
Reason for Rejection: Y9</t>
  </si>
  <si>
    <t>2YTA0F61491970</t>
  </si>
  <si>
    <t xml:space="preserve">
Sales Order #: 2290495919
RTD Screening Code: DOD
Reason for Rejection: Y9</t>
  </si>
  <si>
    <t>2YTNPG61562709</t>
  </si>
  <si>
    <t>NORTH TOPSAIL BEACH PD NEEDS THIS EQUIPMENT, TO SUPPORT FIELD READINESS FOR OFFICERS BY HOLDING, HEATING, OR DISTRIBUTING WATER DURING EMERGENCIES OR RESCUES.</t>
  </si>
  <si>
    <t xml:space="preserve">
Sales Order #: 2288815413
RTD Screening Code: GSA
Reason for Rejection: YG</t>
  </si>
  <si>
    <t>CUP,WATER CANTEEN</t>
  </si>
  <si>
    <t>2YT1P761280488</t>
  </si>
  <si>
    <t>NORTH TOPSAIL BEACH PD (2YT1P7)</t>
  </si>
  <si>
    <t>SIGHT'S FOR PATROL RIFLE'S</t>
  </si>
  <si>
    <t>2YTFYL61492871</t>
  </si>
  <si>
    <t>THE ASHE COUNTY SHERIFF'S OFFICE REQUESTS THESE ITEMS FOR USE WITH SEARCH AND RESCUE OPERATIONS. THESE SMALLER BACKPACKS WILL ALLOW OUR DEPUTIES TO CARRY ITEMS LIKE WATER, BLANKETS, MEDICAL ITEMS AND COMMUNICATIONS GEAR WHILST SEARCHING FOR MISSING PERSONS HERE IN THE MOUNTAINS.</t>
  </si>
  <si>
    <t xml:space="preserve">
Sales Order #: 2289879844
RTD Screening Code: DOD
Reason for Rejection: Y9</t>
  </si>
  <si>
    <t>2YTA0F61491933</t>
  </si>
  <si>
    <t>FIRST AID KITS FOR LEO</t>
  </si>
  <si>
    <t>Rejected by EGW0511.  Comments: Justification does not meet minimum requirements.  Please resubmit.</t>
  </si>
  <si>
    <t>2YTFYL61562875</t>
  </si>
  <si>
    <t>MEDICAL KITS FOR LEO</t>
  </si>
  <si>
    <t>2YTFYL61562872</t>
  </si>
  <si>
    <t>PATROL RIFLES</t>
  </si>
  <si>
    <t>2YTFYL61492878</t>
  </si>
  <si>
    <t>2YTFYL61492877</t>
  </si>
  <si>
    <t>SIGHT'S FOR PATROL RIFLES</t>
  </si>
  <si>
    <t>2YTFYL61492876</t>
  </si>
  <si>
    <t>THE NORTHAMPTON COUNTY SHERIFF'S OFFICE, A LAW ENFORCEMENT AGENCY, REQUEST'S THIS EQUIPMENT BE ISSUED TO OUR DEPARTMENT.  THESE DRONES WILL BE USED FOR THE DUAL PURPOSE OF NARCOTIC TARGET SURVEILLANCE AND SEARCH AND RESCUE OPERATIONS.  THIS IS EQUIPMENT WE DESPERATELY NEED BUT CANNOT AFFORD.</t>
  </si>
  <si>
    <t xml:space="preserve">
Sales Order #: 2290407856
RTD Screening Code: DOD
Reason for Rejection: Y9</t>
  </si>
  <si>
    <t>2YT1QG61562410</t>
  </si>
  <si>
    <t>THE HALIFAX COUNTY SHERIFF'S OFFICE WILL UTILIZE THIS DEVICE IN SEARCH AND RESCUE OPERATIONS AS WELL AS FUGITIVE APPREHENSION.</t>
  </si>
  <si>
    <t>2YTEZS61562637</t>
  </si>
  <si>
    <t>THE HALIFAX COUNTY SHERIFF'S OFFICE WILL UTILIZE THIS VEHICLE TO CONDUCT SWAT OPERATIONS AND IN GENERAL RESPONSE TO ACTIVE SHOOTERS.</t>
  </si>
  <si>
    <t xml:space="preserve">
Sales Order #: 2290356193
RTD Screening Code: DOD
Reason for Rejection: Y9</t>
  </si>
  <si>
    <t>2YTEZS61562471</t>
  </si>
  <si>
    <t>THE WILKESBORO POLICE DEPARTMENT REQUESTS THESE ITEMS TO BE USED DURING COUNTER DRUG OPERATIONS. THE ITEM WILL BE USED BY SWORN OFFICERS DURING LOW LIGHT SEARCH WARRANT OPERATIONS.</t>
  </si>
  <si>
    <t>Rejected by EED0396.  Comments:  NOTE - FOR OPTICS YOU MUST ADD A NOTES THAT YOU HAVE CONTACTED THE SITE AND ACCEPT THE ITEM IN ITS CURRENT CONDITION.</t>
  </si>
  <si>
    <t>2YTNPG61562704</t>
  </si>
  <si>
    <t>THE WILKESBORO POLICE DEPARTMENT REQUEST THESE ITEMS TO BE USED DURING COUNTER DRUG OPERATIONS AND SEARCH AND RESCUE OPERATIONS. THE ITEMS WILL BE USED DURING NIGHTTIME SEARCH WARRANT OPERATIONS AND FOR NIGHTTIME SEARCH AND RESCUE OPERATIONS BY SWORN OFFICERS.</t>
  </si>
  <si>
    <t>Rejected by EED0396.  Comments: NOTE - FOR OPTICS YOU MUST ADD A NOTES THAT YOU HAVE CONTACTED THE SITE AND ACCEPT THE ITEM IN ITS CURRENT CONDITION.</t>
  </si>
  <si>
    <t>2YTNPG61492700</t>
  </si>
  <si>
    <t>PERSON COUNTY SO NEEDS THIS ITEM FOR SEARCH AND RESCUE OPERATIONS AS WELL AS DISASTER RELATED EMERGENCY RESPONSE AND PREPAREDNESS</t>
  </si>
  <si>
    <t xml:space="preserve">
Sales Order #: 2288378062
Reason for Rejection: YG</t>
  </si>
  <si>
    <t>2YTJKM61219802</t>
  </si>
  <si>
    <t>THE HALIFAX COUNTY SHERIFF'S OFFICE WILL UTILIZE THESE CRAFTS IN SEARCH AND RESCUE OPERATIONS ON THE LAKES AND RIVERS OF HALIFAX COUNTY.</t>
  </si>
  <si>
    <t>2YTEZS61422312</t>
  </si>
  <si>
    <t>THE ASHE COUNTY SHERIFF'S OFFICE REQUESTS THESE ITEMS FOR USE IN COUNTER-DRUG OPERATIONS. THESE FIRST AID KITS WOULD BE CARRIER BY OUR SWAT MEDICS WHENEVER THEY ARE DEPLOYED TO SERVE DRUG RELATED SEARCH WARRANTS. THESE KITS WOULD ALLOW OUR SWAT MEDICS TO TREAT INJURED DEPUTIES, CITIZENS OR EVEN AN INJURED SUSPECT IN LIFE SAVING EFFORTS.</t>
  </si>
  <si>
    <t xml:space="preserve">
Sales Order #: 2290146496
RTD Screening Code: DOD
Reason for Rejection: Y9</t>
  </si>
  <si>
    <t>2YTA0F61492208</t>
  </si>
  <si>
    <t>THE ASHE COUNTY SHERIFF'S OFFICE REQUEST THESE ITEMS FOR USE IN COUNTER-DRUG OPERATIONS. THESE SIGHT MAGNIFIERS WILL ALLOW OUR DEPUTIES TO HAVE AN IMPROVED MAGNIFIED VIEW WHICH WILL IMPROVE SAFETY AS THEY WILL BE BETTER ABLE TO IDENTIFY FRIEND FROM FOE AND HAVE A MORE ACCURATE AIMING SOLUTION DURING COUNTER-DRUG SEARCH WARRANT SERVICE.</t>
  </si>
  <si>
    <t>2YTA0F61422205</t>
  </si>
  <si>
    <t xml:space="preserve">THE TAYLORSVILLE POLICE DEPARTMENT IS REQUESTING THE PROCUREMENT OF HAND TOOL SETS TO ENHANCE OPERATIONAL CAPABILITY AND SUPPORT DISASTER-RELATED EMERGENCY RESPONSE AND PREPAREDNESS. BASIC, RELIABLE TOOLS ARE ESSENTIAL FOR LAW ENFORCEMENT PERSONNEL WHO MUST OFTEN RESPOND TO DYNAMIC AND UNPREDICTABLE SITUATIONS WHERE IMMEDIATE PROBLEM-SOLVING IS REQUIRED.
</t>
  </si>
  <si>
    <t xml:space="preserve">
Sales Order #: 2286425683
RTD Screening Code: DOD
Reason for Rejection: YG</t>
  </si>
  <si>
    <t>2YTLQQ60866531</t>
  </si>
  <si>
    <t xml:space="preserve">
Sales Order #: 2286425651
Reason for Rejection: YG</t>
  </si>
  <si>
    <t>2YTLQQ60866529</t>
  </si>
  <si>
    <t>THE HALIFAX COUNTY SHERIFF'S OFFICE WILL UTILIZE THESE ITEMS TO OUTFIT PATROL OFFICERS AS PPE ON HAZARDOUS SCENES AS WELL AS PPE FOR QUALIFICATION.</t>
  </si>
  <si>
    <t xml:space="preserve">
Sales Order #: 2289879846
RTD Screening Code: DOD
Reason for Rejection: Y9</t>
  </si>
  <si>
    <t>2YTEZS61491912</t>
  </si>
  <si>
    <t>THE HALIFAX COUNTY SHERIFF'S OFFICE WILL UTILIZE THESE DEVICES TO AID IN CHARGING FLEET VEHICLES, ATV'S AND BOATS.</t>
  </si>
  <si>
    <t xml:space="preserve">
Sales Order #: 2289879864
RTD Screening Code: DOD
Reason for Rejection: Y9</t>
  </si>
  <si>
    <t>2YTEZS61421909</t>
  </si>
  <si>
    <t xml:space="preserve">
Sales Order #: 2289117957
RTD Screening Code: GSA
Reason for Rejection: YG</t>
  </si>
  <si>
    <t>2YTQT261280619</t>
  </si>
  <si>
    <t>THE HALIFAX COUNTY SHERIFF'S OFFICE WILL UTILIZE THIS ITEM IN SEARCH AND RESCUE OPERATIONS AS WELL AS FUGITIVE LOCATION ON MANHUNTS.</t>
  </si>
  <si>
    <t>2YTEZS61491906</t>
  </si>
  <si>
    <t xml:space="preserve">FEDERAL SCREENER FOR DIVISION WITH 200 LAW ENFORCEMENT AGENTS TO INCLUDE 19 SWAT OPERATORS.  THESE ARE NOT NIGHT VISION OPTICS, THEY ARE MADE BY THE COMPANY NIGHTFORCE.  THESE WILL BE USED FOR SPOTTING AND OBSERVATION AND NOT USED ON A WEAPONS PLATFORM.  I HAVE CONTACTED THE SITE AND CONFIRM AND WILL ACCEPT IN CURRENT CONDITION.
</t>
  </si>
  <si>
    <t>2YTQY161351191</t>
  </si>
  <si>
    <t>.</t>
  </si>
  <si>
    <t>2YTA0F61491915</t>
  </si>
  <si>
    <t>2YTA0F61491914</t>
  </si>
  <si>
    <t>2YTA0F61491913</t>
  </si>
  <si>
    <t>2YTA0F61491911</t>
  </si>
  <si>
    <t>2YTA0F61491910</t>
  </si>
  <si>
    <t>THE MARTIN COUNTY SHERIFFS OFFICE WOULD LIKE TO ACQUIRE THE TRAILER.  THE TRAILERS WILL BE USED DAILY AND MOVED AROUND OUR COUNTY TO WARN AND NOTIFY DRIVERS OF EXCESSIVE SPEED.  THE TRAILERS WILL ASSIST US IN OUR ONGOING EFFORTS TO SLOW DRIVERS DOWN.</t>
  </si>
  <si>
    <t xml:space="preserve">
Sales Order #: 2288742298
RTD Screening Code: DOD
Reason for Rejection: Y9</t>
  </si>
  <si>
    <t>2YTHDE61350890</t>
  </si>
  <si>
    <t>THE MARTIN COUNTY SHERIFFS OFFICE WOULD LIKE TO ACQUIRE THE TRAILER TO BE USED AS A MOBILE COMMAND POST.  THE TRAILER CAN BE DEPLOYED DURING EMERGENCY SITUATIONS FOR COMMAND AND CONTROL.  THE TRAILER MAY ALSO BE USED FOR EVENTS REQUIRING THE ICS MODEL.</t>
  </si>
  <si>
    <t xml:space="preserve">
Sales Order #: 2289075864
RTD Screening Code: DOD
Reason for Rejection: Y9</t>
  </si>
  <si>
    <t>2YTHDE61350888</t>
  </si>
  <si>
    <t>THE HALIFAX COUNTY SHERIFF'S OFFICE WILL UTILIZE THIS TO ELEVATE LARGER EVIDENTIARY ITEMS TO THE SECOND FLOOR EVIDENCE ROOM WHERE CURRENTLY TEAMS MUST USE A STEEP INCLINED STAIR WELL.</t>
  </si>
  <si>
    <t xml:space="preserve">
Sales Order #: 2289376560
RTD Screening Code: DOD
Reason for Rejection: Y9</t>
  </si>
  <si>
    <t>2YTEZS61351150</t>
  </si>
  <si>
    <t>THE HALIFAX COUNTY SHERIFF'S OFFICE WOULD USE THIS AS A MOBILE COMMAND STATION FOR CRITICAL INCIDENTS.</t>
  </si>
  <si>
    <t xml:space="preserve">
Sales Order #: 2289086320
RTD Screening Code: DOD
Reason for Rejection: Y9</t>
  </si>
  <si>
    <t>2YTEZS61350841</t>
  </si>
  <si>
    <t>THE HALIFAX COUNTY SHERIFF'S OFFICE WILL UTILIZE THESE TWO TRAILERS AS PART OF THE GOVERNORS HIGHWAY SAFETY INITIATIVE TO HELP REDUCE SPEED RELATED ACCIDENTS AND FATALITIES.</t>
  </si>
  <si>
    <t xml:space="preserve">
Sales Order #: 2289007182
RTD Screening Code: DOD
Reason for Rejection: Y9</t>
  </si>
  <si>
    <t>2YTEZS61350839</t>
  </si>
  <si>
    <t>THE ERWIN POLICE DEPARTMENT NEEDS THIS EQUIPMENT FOR DISASTER RELATED EMERGENCY RESPONSE. WE HAVE SEVERAL PLACES THAT FLOOD IN OUR TOWN AS WE ARE ON THE CAPE FEAR RIVER. THIS SIGN WOULD BE A VALUABLE TOOL FOR THE SAFETY OF OUR COMMUNITY. THANK YOU!</t>
  </si>
  <si>
    <t xml:space="preserve">
Sales Order #: 2289075867
RTD Screening Code: DOD
Reason for Rejection: Y9</t>
  </si>
  <si>
    <t>2YTDUF61350883</t>
  </si>
  <si>
    <t>THE ERWIN POLICE DEPARTMENT NEEDS THIS EQUIPMENT FOR DISASTER-RELATED EMERGENCY RESPONSE AND PREPAREDNESS AND FOR SEARCH AND RESCUE OPERATIONS. IT CAN ALSO BE USED FOR SEARCH WARRANTS TO PROCESS EVIDENCE IN DRUG RAIDS AND HAVE A PLACE FOR OFFICERS ON SCENE TO USE. THE INTENT IS TO USE IT AS A MOBILE COMMAND CENTER. ERWIN PD DOES NOT HAVE A COMMAND CENTER OF ANY KIND.  THANK YOU FOR YOUR CONSIDERATION!</t>
  </si>
  <si>
    <t xml:space="preserve">
Sales Order #: 2289075869
RTD Screening Code: DOD
Reason for Rejection: Y9</t>
  </si>
  <si>
    <t>2YTDUF61350879</t>
  </si>
  <si>
    <t>THE ERWIN POLICE DEPARTMENT NEEDS THIS EQUIPMENT FOR DISASTER RELATED EMERGENCY RESPONSE AND PREPAREDNESS. WE HAVE MANY AREAS THAT FLOOD DURING HURRICANES AND HEAVY RAINS. THESE SIGNS WOULD AID IN KEEPING PEOPLE IN ERWIN SAFER. THANK YOU.</t>
  </si>
  <si>
    <t xml:space="preserve">
Sales Order #: 2289075871
RTD Screening Code: DOD
Reason for Rejection: Y9</t>
  </si>
  <si>
    <t>2YTDUF61350872</t>
  </si>
  <si>
    <t>WILSON'S MILLS POLICE DEPARTMENT NEEDS THIS EQUIPMENT FOR COUNTER-DRUG, COUNTER-TERRORISM OPERATIONS TO MOVE EQUIPMENT AROUND THE DEPARTMENT.  THIS FORKLIFT WILL ALLOW THE QUARTERMASTER TO MOVE HEAVY EQUIPMENT SUCH AS TARGETS AND AMMUNITION AROUND THE POLICE STORAGE BUILDING, WHICH IS OFF-SITE FROM THE MAIN DEPARTMENT HEADQUARTERS AND ARMORY.</t>
  </si>
  <si>
    <t xml:space="preserve">
Sales Order #: 2289210617
RTD Screening Code: DOD
Reason for Rejection: YG</t>
  </si>
  <si>
    <t>2YTQT261281020</t>
  </si>
  <si>
    <t>WILSON'S MILLS POLICE DEPARTMENT NEEDS THIS EQUIPMENT FOR COUNTER-DRUG, COUNTER-TERRORISM OPERATIONS TO MOVE EQUIPMENT AROUND THE DEPARTMENT.  THIS FORKLIFT WILL ALLOW THE QUARTERMASTER TO MOVE HEAVY EQUIPMENT SUCH AS TARGETS AND AMMUNITION FROM THE ARMORY TO VEHICLES FOR THE RANGE.</t>
  </si>
  <si>
    <t xml:space="preserve">
Sales Order #: 2289210615
RTD Screening Code: DOD
Reason for Rejection: YG</t>
  </si>
  <si>
    <t>2YTQT261281018</t>
  </si>
  <si>
    <t>PCSO CAN UTILIZE THIS ITEM TO SUPPORT COUNTER NARCOTIC OPERATIONS FOR SUPPORTING CASE TO PROVIDE EVIDENCE AND INTELLIGENCE FOR CASES</t>
  </si>
  <si>
    <t xml:space="preserve">
Sales Order #: 2289428631
RTD Screening Code: DOD
Reason for Rejection: Y9</t>
  </si>
  <si>
    <t>LENS,CAMERA,GENERAL PHOTOGRAPHIC</t>
  </si>
  <si>
    <t>2YTJKM61351188</t>
  </si>
  <si>
    <t xml:space="preserve">
Sales Order #: 2287949701
RTD Screening Code: DOD
Reason for Rejection: YG</t>
  </si>
  <si>
    <t>2YTEZS61149183</t>
  </si>
  <si>
    <t xml:space="preserve">
Sales Order #: 2287801404
RTD Screening Code: DOD
Reason for Rejection: YG</t>
  </si>
  <si>
    <t>2YTEZS61079187</t>
  </si>
  <si>
    <t>WILSON'S MILLS POLICE DEPARTMENT NEEDS THESE SIGHTS FOR OFFICERS TO USE ON THEIR RIFLES FOR COUNTER DRUG OPERATIONS.</t>
  </si>
  <si>
    <t>2YTQT261421348</t>
  </si>
  <si>
    <t xml:space="preserve">
Sales Order #: 2289117947
RTD Screening Code: DOD
Reason for Rejection: Y9</t>
  </si>
  <si>
    <t>2YTQT261281015</t>
  </si>
  <si>
    <t>THE WAKE FOREST POLICE DEPARTMENT NEEDS THIS TO ENHANCE EMERGENCY AND DISASTER RELATED RESPONSE BY AIDING IN WAREHOUSE MANAGEMENT AND QUICK DEPLOYMENT AND LOADING OF ASSETS AND EQUIPMENT.</t>
  </si>
  <si>
    <t xml:space="preserve">
Sales Order #: 2289337567
RTD Screening Code: DOD
Reason for Rejection: Y9</t>
  </si>
  <si>
    <t>2YTM4Z61281132</t>
  </si>
  <si>
    <t>FEDERAL SCREENER FOR DIVISION WITH 200 LAW ENFORCEMENT AGENTS TO INCLUDE 19 SWAT OPERATORS. THIS WILL BE USED FOR SPOTTING OBSERVATION FOR SWAT AND SURVEILLANCE OPERATIONS.  THESE WILL NOT BE USED ON ANY WEAPON SYSTEMS.</t>
  </si>
  <si>
    <t>2YTQY161351167</t>
  </si>
  <si>
    <t>THE TAYLORSVILLE POLICE DEPARTMENT IS REQUESTING THE PROCUREMENT OF A CARGO TRUCK TO ENHANCE OPERATIONAL CAPABILITIES AND SUPPORT DISASTER-RELATED EMERGENCY RESPONSE AND PREPAREDNESS. A DEDICATED CARGO VEHICLE WILL PROVIDE THE DEPARTMENT WITH THE CAPACITY TO EFFICIENTLY TRANSPORT ESSENTIAL EQUIPMENT, SUPPLIES, AND PERSONNEL NEEDED TO SUSTAIN OPERATIONS DURING EMERGENCY INCIDENTS AND LARGE-SCALE PUBLIC SAFETY RESPONSES.</t>
  </si>
  <si>
    <t xml:space="preserve">
Sales Order #: 2286425686
RTD Screening Code: DOD
Reason for Rejection: YH</t>
  </si>
  <si>
    <t>2YTLQQ60937178</t>
  </si>
  <si>
    <t>THE TAYLORSVILLE POLICE DEPARTMENT IS REQUESTING THE PROCUREMENT OF A UTILITY TRUCK TO ENHANCE OPERATIONAL CAPABILITY AND SUPPORT DISASTER-RELATED EMERGENCY RESPONSE AND PREPAREDNESS. A UTILITY TRUCK PROVIDES A VERSATILE PLATFORM FOR TRANSPORTING PERSONNEL, EQUIPMENT, AND CRITICAL RESOURCES, ENSURING THE DEPARTMENT CAN RESPOND EFFECTIVELY TO A WIDE RANGE OF EMERGENCY SITUATIONS.</t>
  </si>
  <si>
    <t xml:space="preserve">
Sales Order #: 2286206162
RTD Screening Code: DOD
Reason for Rejection: YH</t>
  </si>
  <si>
    <t>2YTLQQ60937018</t>
  </si>
  <si>
    <t>THE SCOTLAND NECK PD WILL UTLIZE A BACKUP GENERATOR FOR ESSENTIAL UNINTERRUPTED EMERGENCY RESPONSE COMMUNICATIONS AND PROTECTION OF CRITICAL LAW ENFORCEMENT INFRASTRUCTURE DURING POWER OUTAGES AS A 247 PUBLIC SAFETY OPERATION THE POLICE DEPARTMENT MUST REMAIN FULLY OPERATIONAL DURING EMERGENCIES WHEN THE COMMUNITY DEPENDS ON IT MOST</t>
  </si>
  <si>
    <t xml:space="preserve">
Sales Order #: 2284461760
RTD Screening Code: DOD
Reason for Rejection: YH</t>
  </si>
  <si>
    <t>2YTKUM60654568</t>
  </si>
  <si>
    <t>THE HALIFAX COUNTY SHERIFF'S OFFICE WILL UTILIZE THESE FOR SWAT PERSONNEL TO CARRY THE IMMENSE AMOUNT OF EQUIPMENT ISSUED TO THEM.</t>
  </si>
  <si>
    <t>2YTEZS61261130</t>
  </si>
  <si>
    <t>THE SCOTLAND NECK POLICE DEPT WILL UTILIZE PORTABLE LIGHT TOWER TO ENSURE EFFECTIVE AND SAFE OPERATIONS DURING NIGHTTIME INCIDENTS AND LOW VISIBILITY CONDITIONS STANDARD STREETLIGHTS AND VEHICLE HEADLIGHTS OFTEN FAIL TO PROVIDE THE ILLUMINATION NEEDED FOR COMPLEX SCENES CREATING RISKS FOR BOTH OFFICERS AND THE PUBLIC LIGHT TOWERS DELIVER HIGH OUTPUT WIDE AREA LIGHTING THAT SIGNIFICANTLY ENHANCES VISIBILITY AND OPERATIONAL EFFICIENCY</t>
  </si>
  <si>
    <t xml:space="preserve">
Sales Order #: 2285180209
RTD Screening Code: DOD
Reason for Rejection: YH</t>
  </si>
  <si>
    <t>2YTKUM60725122</t>
  </si>
  <si>
    <t xml:space="preserve">
Sales Order #: 2285179013
RTD Screening Code: DOD
Reason for Rejection: YH</t>
  </si>
  <si>
    <t>2YTKUM60725121</t>
  </si>
  <si>
    <t>WILSON'S MILLS POLICE DEPARTMENT NEEDS THIS EQUIPMENT FOR COUNTER-DRUG, COUNTER-TERRORISM OPERATIONS TO CUT GRASS AROUND TARGETS AT THE RANGE TO ENSURE THAT SNAKES AND INSECTS ARE NOT A DANGER TO OFFICERS DURING TRAINING.</t>
  </si>
  <si>
    <t>2YTQT261250633</t>
  </si>
  <si>
    <t>WILSON'S MILLS POLICE DEPARTMENT NEEDS THIS EQUIPMENT FOR COUNTER-DRUG, COUNTER-TERRORISM OPERATIONS TO MOVE EQUIPMENT AROUND THE DEPARTMENT.  THE AGENCY IS IN THE PROCESS OF RECLAIMING PART OF THE RANGE AND NEEDS A PIECE OF HEAVY EQUIPMENT TO MOVE DEBRIS AND EQUIPMENT AROUND.</t>
  </si>
  <si>
    <t>Rejected by EED0396.  Comments: In GSA Cycle.</t>
  </si>
  <si>
    <t>2YTQT261250634</t>
  </si>
  <si>
    <t>HEAT GUN,ELECTRIC</t>
  </si>
  <si>
    <t>2YTQT261250632</t>
  </si>
  <si>
    <t>WILSON'S MILLS POLICE DEPARTMENT NEEDS THIS EQUIPMENT FOR COUNTER-DRUG, COUNTER-TERRORISM OPERATIONS.  THIS HEARING PROTECTION WILL BE USED ON THE RANGE DURING TRAINING.</t>
  </si>
  <si>
    <t>2YTQT261250631</t>
  </si>
  <si>
    <t>WILSON'S MILLS POLICE DEPARTMENT NEEDS THIS EQUIPMENT FOR COUNTER-DRUG, COUNTER-TERRORISM OPERATIONS.  THIS TOOL WILL ALLOW OFFICERS TO KEEP PATROL CARS RUNNING.</t>
  </si>
  <si>
    <t>PLIERS,SLIP JOINT</t>
  </si>
  <si>
    <t>2YTQT261250624</t>
  </si>
  <si>
    <t>WILSON'S MILLS POLICE DEPARTMENT NEEDS THIS EQUIPMENT FOR COUNTER-DRUG, COUNTER-TERRORISM OPERATIONS FOR OFFICERS TO PRINT WARRANTS AND REPORTS.  IT WILL BE USED ON ARTICLES THAT CANNOT BE PRINTED ON WITH A LASER PRINTER SUCH AS CLOTH AND VINYL COVERS.</t>
  </si>
  <si>
    <t>2YTQT261250623</t>
  </si>
  <si>
    <t>2YTQT261250622</t>
  </si>
  <si>
    <t>2YTQT261250621</t>
  </si>
  <si>
    <t xml:space="preserve">WILSON'S MILLS POLICE DEPARTMENT NEEDS THIS EQUIPMENT FOR COUNTER-DRUG, COUNTER-TERRORISM OPERATIONS.  THIS PROTRACTOR WILL ALLOW OFFICERS TO DRAW SCENE DIAGRAMS.
</t>
  </si>
  <si>
    <t>PLOTTER-PROTRACTOR,</t>
  </si>
  <si>
    <t>2YTQT261250620</t>
  </si>
  <si>
    <t>FRAME,HAND HACKSAW</t>
  </si>
  <si>
    <t>2YTQT261250612</t>
  </si>
  <si>
    <t>WILSON'S MILLS POLICE DEPARTMENT NEEDS THIS EQUIPMENT FOR DISASTER RESPONSE TO MOVE PERSONS THAT ARE INJURED OUT OF DANGEROUS LOCATIONS.</t>
  </si>
  <si>
    <t>2YTQT261250607</t>
  </si>
  <si>
    <t>THE HALIFAX COUNTY SHERIFF'S OFFICE WILL UTILIZE THESE ITEMS IN SEARCH AND RESCUE OPERATIONS. WE ARE A VAST AND RURAL COUNTY AND UTILIZATION OF THESE DRONES WILL AID US IN FINDING MISSING AND LOST PEOPLES QUICKLY.</t>
  </si>
  <si>
    <t>2YTEZS61210578</t>
  </si>
  <si>
    <t xml:space="preserve">
Sales Order #: 2288263875
RTD Screening Code: DOD
Reason for Rejection: Y9</t>
  </si>
  <si>
    <t>2YTA0F61219678</t>
  </si>
  <si>
    <t xml:space="preserve">
Sales Order #: 2288248572
RTD Screening Code: DOD
Reason for Rejection: Y9</t>
  </si>
  <si>
    <t>2YTA0F61219676</t>
  </si>
  <si>
    <t>THE REQUESTED RADAR TRAILER IS JUSTIFIED UNDER DISASTER-RELATED EMERGENCY RESPONSE AND PREPAREDNESS. DURING SEVERE WEATHER EVENTS, NATURAL DISASTERS, EMERGENCY INCIDENTS, ROAD CLOSURES, EVACUATION OPERATIONS, AND LARGE-SCALE PUBLIC SAFETY RESPONSES, CONTROLLING VEHICLE SPEED IS CRITICAL TO PROTECTING EMERGENCY RESPONDERS AND THE PUBLIC.</t>
  </si>
  <si>
    <t>2YTLQQ61350725</t>
  </si>
  <si>
    <t>THE RIVER BEND POLICE DEPARTMENT NEEDS THIS EQUIPMENT FOR COUNTER DRUG OPERATIONS. THIS EQUIPMENT WILL ALLOW US TO UTILIZE WEAPONS IN A MORE EFFICIENT MANNER WHEN CONDUCTING SEARCH WARRANTS AND RAIDS</t>
  </si>
  <si>
    <t xml:space="preserve">
Sales Order #: 2287246349
RTD Screening Code: ACCM
Reason for Rejection: YH</t>
  </si>
  <si>
    <t>2YTSZH61078499</t>
  </si>
  <si>
    <t>THE BLADENBORO POLICE DEPARTMENT REQUESTS THIS UNIT TO HELP IN UNLOADING AND LOADING SUPPLIES DURING DRUG OPERATIONS, EMERGENCY SUPPLIES, LIFTING DEPARTMENT-OWNED VEHICLES, OR OTHER ITEMS WHEN NEEDED. THIS WOULD BE A GOOD TOOL TO HAVE ON HAND AT ALL TIMES.</t>
  </si>
  <si>
    <t xml:space="preserve">
Sales Order #: 2287589499
RTD Screening Code: DOD
Reason for Rejection: YH</t>
  </si>
  <si>
    <t>2YTA9261079055</t>
  </si>
  <si>
    <t>THE ASHE COUNTY SHERIFF'S OFFICE REQUESTS THESE ITEMS FOR USE IN COUNTER-DRUG OPERATIONS. THESE TELESCOPES WILL ALLOW OUR DEPUTIES TO HAVE IMPROVED VISUAL SIGHT PICTURE TO WATCH BUILDINGS DURING SEARCH WARRANT SERVICE. WE HAVE BEEN IN CONTACT WITH THE SITE, HAVE REVIEWED PHOTOS, ARE AWARE OF THE CONDITION AND WILL ACCEPT THESE AS-IS.</t>
  </si>
  <si>
    <t xml:space="preserve">
Sales Order #: 2288415415
RTD Screening Code: DOD
Reason for Rejection: Y9</t>
  </si>
  <si>
    <t>2YTA0F61280543</t>
  </si>
  <si>
    <t>THIS DEVICE WILL BE USED IN THE EVENT OF A HOSTAGE SITUATION, BOMB THREAT OR ANY OTHER APPLICABLE SITUATION TO PROTECT AND ENSURE THE SAFETY OF OFFICERS AND CIVILIANS</t>
  </si>
  <si>
    <t>2YTEZS61350570</t>
  </si>
  <si>
    <t>LAW ENFORCEMENT IS FREQUENTLY THE FIRST RESPONDER IN INSTANCES WHERE EMERGENCY RESPONSE IS REQUIRED.</t>
  </si>
  <si>
    <t>2YTEZS61280573</t>
  </si>
  <si>
    <t>THE AGENCY HAS CERTIFIED DRONE OPERATORS CURRENTLY USING INDEPENDENTLY OWNED DRONES. THESE WILL BE USED SPECIFICALLY FOR SEARCH AND RESCUE OPERATIONS AS OUR JURISDICTION ENCOMPASSES MOSTLY RURAL FORESTED AND WETLAND TERRAINS.</t>
  </si>
  <si>
    <t>2YTEZS61210565</t>
  </si>
  <si>
    <t>THE ASHE COUNTY SHERIFF'S OFFICE REQUEST THIS ITEM TO ASSIST US WITH SEARCH AND RESCUE OPERATIONS. THIS GYM EQUIPMENT WILL ALLOW OUR DEPUTIES TO BUILD THE STRENGTH AND ENDURANCE NECESSARY FOR LONG HIKES THROUGH THE MOUNTAINS LOOKING FOR MISSING PERSONS.</t>
  </si>
  <si>
    <t xml:space="preserve">
Sales Order #: 2288158048
RTD Screening Code: DOD
Reason for Rejection: Y9</t>
  </si>
  <si>
    <t>2YTA0F61219550</t>
  </si>
  <si>
    <t>THE ASHE COUNTY SHERIFF'S OFFICE REQUESTS THESE ITEMS FOR USE IN COUNTER-DRUG OPERATIONS. THESE TELESCOPES WILL ALLOW OUR DEPUTIES TO HAVE IMPROVED VISUAL SIGHT PICTURE TO WATCH BUILDINGS DURING SEARCH WARRANT SERVICE.</t>
  </si>
  <si>
    <t>2YTA0F61280512</t>
  </si>
  <si>
    <t>TO SUPPORT FIELD READINESS FOR OFFICERS BY HOLDING, HEATING, OR DISTRIBUTING WATER DURING EMERGENCIES OR RESCUES.</t>
  </si>
  <si>
    <t>2YT1P761280484</t>
  </si>
  <si>
    <t>THE RIVER BEND POLICE DEPARTMENT IS REQUESTING THIS VEHICLE FOR COUNTER DRUG OPERATIONS. THIS VEHICLE WILL BE USED AS AN UNDERCOVER VEHICLE TO BLEND IN WHEN CONDUCTING SURVEILLANCE ON SUSPECTED DRUG HOUSES. THIS VEHICLE WILL ALSO BE USED FOR NATURAL DISASTER RESPONSE TO EVACUATE CITIZENS</t>
  </si>
  <si>
    <t xml:space="preserve">
Sales Order #: 2288582739
RTD Screening Code: DOD
Reason for Rejection: Y9</t>
  </si>
  <si>
    <t>2YTSZH61280192</t>
  </si>
  <si>
    <t>WARREN COUNTY SHERIFF'S OFFICE NEEDS THIS EQUIPMENT FOR SEARCHING AND CLEARING BUILDINGS DURING BARRICADED OR HOSTAGE SITUATIONS.</t>
  </si>
  <si>
    <t xml:space="preserve">
Sales Order #: 2285840402
Reason for Rejection: Z2</t>
  </si>
  <si>
    <t>2YTM7160866718</t>
  </si>
  <si>
    <t>THE RIVER BEND POLICE DEPARTMENT NEEDS THIS EQUIPMENT FOR NATURAL DISASTER RESPONSE. THIS EQUIPMENT WILL ALLOW US TO NOTIFY THE PUBLIC THAT DRIVES THROUGH THE TOWN ABOUT AN EMERGENCY SITUATION</t>
  </si>
  <si>
    <t xml:space="preserve">
Sales Order #: 2285761806
Reason for Rejection: YH</t>
  </si>
  <si>
    <t>2YTSZH60866319</t>
  </si>
  <si>
    <t>THE WILKESBORO POLICE DEPARTMENT REQUESTS THIS EQUIPMENT TO BE USED IN COUNTER DRUG AND SEARCH AND RESCUE OPERATIONS. THE ITEMS WILL BE USED BY SWORN LAW ENFORCEMENT OFFICERS IN SEARCH WARRANT AND SEARCH AND RESCUE ACTIVITIES TO PROTECT OFFICERS DURING SEARCHES.</t>
  </si>
  <si>
    <t xml:space="preserve">
Sales Order #: 2288248568
RTD Screening Code: DOD
Reason for Rejection: Y9</t>
  </si>
  <si>
    <t>2YTNPG61149719</t>
  </si>
  <si>
    <t>THE WAKE FOREST POLICE DEPARTMENT NEEDS THIS EQUIPMENT FOR ENHANCING RESPONSE CAPABILITIES TO ACTS OF TERRORISM AND DETERRING ACTS OF TERRORISM DURING LARGE EVENTS.</t>
  </si>
  <si>
    <t>PREFAB/SCAFFOLDING</t>
  </si>
  <si>
    <t>2YTM4Z61149980</t>
  </si>
  <si>
    <t>PERSON COUNTY EXCEPTS THE ITEM IN THE CONDITION. PCSO CAN UTILIZE THESE ITEMS FOR SEARCH AND RESCUE OPERATIONS AS WELL AS ASSIST IN SEARCHING DISASTER AREAS FOR PEOPLE AND PROPERTY. THESE ITEMS WILL GREATLY ENHANCE THE SAFETY OF OFFICERS WITHOUT PLACING THE OFFICERS IN UNREACHABLE AREAS.</t>
  </si>
  <si>
    <t xml:space="preserve">
Sales Order #: 2288263884
RTD Screening Code: DOD
Reason for Rejection: Y9</t>
  </si>
  <si>
    <t>2YTJKM61149701</t>
  </si>
  <si>
    <t>THE ASHE COUNTY SHERIFF OFFICE IS REQUESTING THIS ITEM FOR USE IN COUNTER-DRUG OPERATIONS. THESE THROWABLE CAMERAS WOULD ALLOW OUR DEPUTIES TO STAY SAFE WHILE SERVING DRUG WARRANTS. WE HAVE REVIEWED THE PHOTOS AND CONDITION OF THESE ITEMS AND WILL ACCEPT THEM AS-IS.</t>
  </si>
  <si>
    <t xml:space="preserve">
Sales Order #: 2288248567
RTD Screening Code: DOD
Reason for Rejection: Y9</t>
  </si>
  <si>
    <t>2YTA0F61149705</t>
  </si>
  <si>
    <t>THE ANGIER POLICE DEPARTMENT IS REQUESTING THE ACQUISITION OF A SURVEILLANCE SYSTEM TO ENHANCE ITS ABILITY TO MONITOR, DETER, AND SUPPRESS NARCOTIC-RELATED ACTIVITY DURING LARGE PUBLIC GATHERINGS AND WITHIN IDENTIFIED HIGH-RISK NARCOTIC TARGET AREAS. THIS SYSTEM WILL SUPPORT PROACTIVE LAW ENFORCEMENT EFFORTS, IMPROVE OFFICER SAFETY, AND ASSIST IN THE TIMELY IDENTIFICATION AND DOCUMENTATION OF CRIMINAL ACTIVITY.</t>
  </si>
  <si>
    <t xml:space="preserve">
Sales Order #: 2288395705
RTD Screening Code: DOD
Reason for Rejection: BQ</t>
  </si>
  <si>
    <t>PERSISTENT SURVEILLANCE SYSTEM,GROUND</t>
  </si>
  <si>
    <t>2YTAJ161149890</t>
  </si>
  <si>
    <t xml:space="preserve">
Sales Order #: 2288152851
RTD Screening Code: DOD
Reason for Rejection: Y9</t>
  </si>
  <si>
    <t>2YTM4Z61219615</t>
  </si>
  <si>
    <t>THIS WOULD BE FOR THE CASWELL BEACH POLICE DEPARTMENT 2YTB3L. THESE COMPUTERS WOULD ASSIST US IN KEEPING BETTER TRACK OF RECORDS FOR NARCOTIC INVESTIGATIONS, EMERGENCIES AND NATURAL DISASTERS POLICY PROCEDURES AND FOR THE PAPERWORK THAT CORRESPONDS WITH EMERGENCIES AND NATURAL DISASTER WHEN THEY ARISE.</t>
  </si>
  <si>
    <t xml:space="preserve">
Sales Order #: 2288154843
RTD Screening Code: DOD
Reason for Rejection: Y9</t>
  </si>
  <si>
    <t>2YTB3L61149743</t>
  </si>
  <si>
    <t xml:space="preserve">
Sales Order #: 2288248565
RTD Screening Code: DOD
Reason for Rejection: Y9</t>
  </si>
  <si>
    <t>2YTA0F61219675</t>
  </si>
  <si>
    <t xml:space="preserve">
Sales Order #: 2288020877
RTD Screening Code: DOD
Reason for Rejection: Y9</t>
  </si>
  <si>
    <t>2YTA0F61219534</t>
  </si>
  <si>
    <t>THE ASHE COUNTY SHERIFF'S OFFICE REQUEST THESE ITEMS FOR USE IN COUNTER-DRUG OPERATIONS. THESE ARMOR CARRIERS WILL ALLOW OUR DEPUTIES TO CARRY NEEDED SAFETY EQUIPMENT AND ARMOR TO PROTECT THEMSELVES DURING DRUG SEARCH WARRANT ACTIVITY.</t>
  </si>
  <si>
    <t xml:space="preserve">
Sales Order #: 2288158060
RTD Screening Code: DOD
Reason for Rejection: Y9</t>
  </si>
  <si>
    <t>2YTA0F61219525</t>
  </si>
  <si>
    <t>THE ASHE COUNTY SHERIFF'S OFFICE REQUEST THIS ITEM FOR USE IN COUNTER-DRUG OPERATIONS. THESE SMALL THROWABLE CAMERAS WOULD BE USED TO KEEP OUR OFFICERS SAFE DURING DRUG WARRANT SERVICE.</t>
  </si>
  <si>
    <t>2YTA0F61149702</t>
  </si>
  <si>
    <t>THE ASHE COUNTY SHERIFF'S OFFICE REQUEST THIS ITEMS TO BETTER PREPARE DEPUTIES FOR SEARCH AND RESCUE OPERATIONS. THIS WORKOUT DEVICE WILL ALLOW OUR DEPUTIES TO BUILD STRENGTH AND ENDURANCE NEEDED FOR LONG WALKS IN THE MOUNTAINS WHILE SEARCHING FOR MISSING PERSONS.</t>
  </si>
  <si>
    <t xml:space="preserve">
Sales Order #: 2288158040
RTD Screening Code: DOD
Reason for Rejection: Y9</t>
  </si>
  <si>
    <t>2YTA0F61149531</t>
  </si>
  <si>
    <t>THE ASHE COUNTY SHERIFF'S OFFICE REQUEST THESE ITEMS FOR USE IN COUNTER-DRUG OPERATIONS. THESE BREAKING KITS WILL ALLOW DEPUTIES TO SAFELY AND QUICKLY OPEN DOORS TO GAIN ACCESS DURING SEARCH WARRANTS OR WHEN WE NEED TO GET INTO A HOME WHERE SOMEONE HAS FALLEN AND CANNOT GET TO THE DOOR TO OPEN IT.</t>
  </si>
  <si>
    <t>CANCELLED: Per Guidance from Leadership with this item being DEMIL G we are unable to give this item out to a LEA.</t>
  </si>
  <si>
    <t>2YTA0F61219555</t>
  </si>
  <si>
    <t>THE LAURINBURG POLICE DEPARTMENT NEEDS THIS EQUIPMENT FOR COUNTER-TERRORISM, COUNTER DRUG AND DISASTER-RELATED EMERGENCY RESPONSE AND PREPAREDNESS</t>
  </si>
  <si>
    <t>2YTGKT61219612</t>
  </si>
  <si>
    <t>PCSO HAS CONTACTED THE SITE AND EXCEPTS THE ITEM IN ITS CONDITION. PCSO  SPECIAL RESPONSE TEAM CAN UTILIZE THIS ITEM TO RESPOND TO HOSTAGE RESCUE CALLS AS WELL AS HELP WITH SEARCH AND RESCUE CASES</t>
  </si>
  <si>
    <t xml:space="preserve">
Sales Order #: 2287541254
RTD Screening Code: DOD
Reason for Rejection: Y9</t>
  </si>
  <si>
    <t>2YTJKM61078685</t>
  </si>
  <si>
    <t>THE MIDDLESEX POLICE DEPARTMENT NEEDS THIS EQUIPMENT FOR THE EMERGENCY RESPONSE TEAM TO UTILIZE FOR EMERGENCY RESPONSES AND SEARCH WARRANTS.</t>
  </si>
  <si>
    <t xml:space="preserve">
Sales Order #: 2287612268
RTD Screening Code: DOD
Reason for Rejection: Y9</t>
  </si>
  <si>
    <t>2YTHPH61078803</t>
  </si>
  <si>
    <t>THE ANGIER POLICE DEPARTMENT IS REQUESTING THESE ALL-TERRAIN VEHICLES TO ASSIST OUR OFFICERS IN OFF-ROAD SEARCH AND RESCUE INCIDENTS. THESE VEHICLES WILL ALSO BE USED BY OUR OFFICERS FOR SURVEILLANCE DURING ANTI-DRUG OPERATIONS.</t>
  </si>
  <si>
    <t>2YTAJ161069212</t>
  </si>
  <si>
    <t xml:space="preserve">THE TAYLORSVILLE POLICE DEPARTMENT IS REQUESTING THE PROCUREMENT OF A PORTABLE SECURITY X-RAY SYSTEM TO ENHANCE OPERATIONAL CAPABILITIES AND SUPPORT COUNTER-TERRORISM PREPAREDNESS AND COUNTER-DRUG OPERATIONS. THIS TECHNOLOGY WILL PROVIDE OFFICERS WITH THE ABILITY TO SAFELY AND EFFECTIVELY INSPECT SUSPICIOUS PACKAGES, CONTAINERS, AND ITEMS WITHOUT THE NEED FOR DIRECT PHYSICAL CONTACT, SIGNIFICANTLY REDUCING RISK TO PERSONNEL.
</t>
  </si>
  <si>
    <t xml:space="preserve">
Sales Order #: 2286425665
RTD Screening Code: DOD
Reason for Rejection: YH</t>
  </si>
  <si>
    <t>X-RAY SYSTEM,SECURITY,PORTABLE</t>
  </si>
  <si>
    <t>2YTLQQ60866443</t>
  </si>
  <si>
    <t>THE TAYLORSVILLE POLICE DEPARTMENT IS REQUESTING THE PROCUREMENT OF THE EARTH-MOVING EQUIPMENT TO SUPPORT THE MAINTENANCE AND IMPROVEMENT OF ITS FIREARMS TRAINING RANGE. MAINTAINING A SAFE AND FUNCTIONAL TRAINING ENVIRONMENT IS CRITICAL TO ENSURING OFFICERS ARE PROPERLY PREPARED FOR COUNTER-DRUG OPERATIONS AND COUNTER- TERRORISM OPERATIONS.</t>
  </si>
  <si>
    <t xml:space="preserve">
Sales Order #: 2285864852
RTD Screening Code: GSA
Reason for Rejection: YH</t>
  </si>
  <si>
    <t>2YTLQQ60795928</t>
  </si>
  <si>
    <t>SCOTLAND NECK POLICE DEPARTMENT NEEDS THESE RESOURCES FOR SEARCH A RESCUE OF MISSING AND RUN AWAY CHILDREN AND ELDERLY PEOPLE WITH COGNITIVE IMPAIRMENTS ALONG WITH ASSISTING WITH PARADES AND FESTIVALS FOR MOVING AROUND SUPPORT PERSONAL AND INCLEMENT WEATHER</t>
  </si>
  <si>
    <t xml:space="preserve">
Sales Order #: 2278282461
RTD Screening Code: DOD
Reason for Rejection: YH</t>
  </si>
  <si>
    <t>2YTKUM60372357</t>
  </si>
  <si>
    <t>FRANKLIN COUNTY SO REQUESTS LA-5PEQ ILLUMINATORS IN SUPPORT OF COUNTER-TERRORISM AND NARCOTICS MISSIONS. SRT OPERATIONS INCLUDING HIGH-RISK WARRANTS, BARRICADED SUBJECTS, FUGITIVE APPREHENSION, VEHICLE ASSAULTS, AND RURAL WOODLAND OPERATIONS FREQUENTLY OCCUR IN LOW-LIGHT ENVIRONMENTS. WE WILL USE THESE DEVICES TO ASSIST IN DECONFLICTION, PROVIDE TARGET IDENTIFICATION AND AIMING CAPABILITY, ENHANCING OPERATIONAL EFFECTIVENESS AND OFFICER SAFETY DURING CRITICAL INCIDENTS.</t>
  </si>
  <si>
    <t xml:space="preserve">
Sales Order #: 2287033086
RTD Screening Code: DOD
Reason for Rejection: YG</t>
  </si>
  <si>
    <t>2YTEAT61007994</t>
  </si>
  <si>
    <t>THE ERWIN POLICE DEPARTMENT NEEDS THIS EQUIPMENT FOR POWERING UTILITIES AND EQUIPMENT USED AT ERWIN POLICE DEPARTMENT, SEARCH AND RESCUE MISSIONS, AND AT THE FIRING RANGE. IT CAN ALSO BE USED DURING NATURAL DISASTERS AND OTHER EMERGENCIES. THANK YOU!</t>
  </si>
  <si>
    <t xml:space="preserve">
Sales Order #: 2287675992
RTD Screening Code: DOD
Reason for Rejection: Y9</t>
  </si>
  <si>
    <t>SOLAR ELECTRIC POWER SYSTEMS</t>
  </si>
  <si>
    <t>DSSOLPWRS</t>
  </si>
  <si>
    <t>2YTDUF61148979</t>
  </si>
  <si>
    <t>THE ASHE COUNTY SHERIFF'S OFFICE REQUESTS THIS ITEM FOR USE IN COUNTER-DRUG OPERATIONS. THIS BATTERY POWERED GENERATOR WOULD BE USED TO KEEP CRISIS NEGOTIATOR PHONES AND DRONE BATTERIES CHARGED IN THE EVENT OF A BARRICADED SUBJECT DURING WARRANT SERVICE.</t>
  </si>
  <si>
    <t>2YTA0F61149023</t>
  </si>
  <si>
    <t>THE NORTHAMPTON SHERIFF'S OFFICE, A LAW ENFORCEMENT AGENCY, REQUESTS THESE EXTERNAL HARDRIVES BE ISSUED TO OUR AGENCY.  WE WILL USE THIS EQUIPMENT FOR STORING CRIMINAL AND NARCOTIC CASE FILES.  THEY WILL ISSUE INFORMATION IS RETAINED IN CASE OF COMPUTER MALFUNCTIONS.</t>
  </si>
  <si>
    <t xml:space="preserve">
Sales Order #: 2286892669
RTD Screening Code: DOD
Reason for Rejection: Y9</t>
  </si>
  <si>
    <t>2YT1QG61007857</t>
  </si>
  <si>
    <t>THE TAYLORSVILLE POLICE DEPARTMENT IS SEEKING THE PROCUREMENT OF SMALL AMMO CANS TO ENHANCE OPERATIONAL READINESS AND SUPPORT MISSION AREAS INCLUDING COUNTER-DRUG OPERATIONS, COUNTER-TERRORISM PREPAREDNESS, AND DISASTER-RELATED EMERGENCY RESPONSE. ROPER STORAGE AND ORGANIZATION OF DUTY AND TRAINING AMMUNITION IS ESSENTIAL TO MAINTAINING ACCOUNTABILITY,</t>
  </si>
  <si>
    <t xml:space="preserve">
Sales Order #: 2285810335
RTD Screening Code: RTD2
Reason for Rejection: YG</t>
  </si>
  <si>
    <t>2YTLQQ60745544</t>
  </si>
  <si>
    <t>PERSON CO CAN USE THIS ITEM TO EQUIP SRT WITH THEMAL FOR HOSTAGE RESCUSE CALLS</t>
  </si>
  <si>
    <t>2YTJKM61078664</t>
  </si>
  <si>
    <t>PERSON CO CAN USE THIS ITEM TO HELP WITH COMMUNITY EVENTS</t>
  </si>
  <si>
    <t>2YTJKM61078667</t>
  </si>
  <si>
    <t>TAYLORTOWN POLICE DEPARTMENT NEEDS THIS PIECE OF EQUIPMENT FOR SEARCH AND RESCUE OPERATIONS.</t>
  </si>
  <si>
    <t>2YTLQR61008663</t>
  </si>
  <si>
    <t>TAYLORTOWN PD (2YTLQR)</t>
  </si>
  <si>
    <t>THE WILKESBORO POLICE DEPARTMENT NEEDS THIS EQUIPMENT FOR COUNTER-DRUG AND COUNTER-TERRORISM OPERATIONS. I HAVE CONTACTED THE SITE AND ACCEPT THE ITEM IN THEIR CURRENT CONDITION.</t>
  </si>
  <si>
    <t xml:space="preserve">
Sales Order #: 2283355351
RTD Screening Code: DOD
Reason for Rejection: YG</t>
  </si>
  <si>
    <t>2YTNPG60442795</t>
  </si>
  <si>
    <t xml:space="preserve">
Sales Order #: 2283355335
RTD Screening Code: DOD
Reason for Rejection: YG</t>
  </si>
  <si>
    <t>2YTNPG60442794</t>
  </si>
  <si>
    <t xml:space="preserve">
Sales Order #: 2283355332
RTD Screening Code: DOD
Reason for Rejection: YG</t>
  </si>
  <si>
    <t>2YTNPG60442793</t>
  </si>
  <si>
    <t xml:space="preserve">
Sales Order #: 2283355354
RTD Screening Code: DOD
Reason for Rejection: YG</t>
  </si>
  <si>
    <t>2YTNPG60442792</t>
  </si>
  <si>
    <t>PERSON COUNTY CAN UTILIZE THIS ITEM FOR THE SRT TEAM RESPONDING TO SEVERAL DIFFERENT TYPES OF CALLS TO HOSTAGE TO BARRICADE AND SCOUTING</t>
  </si>
  <si>
    <t xml:space="preserve">
Sales Order #: 2282814212
RTD Screening Code: DOD
Reason for Rejection: YD</t>
  </si>
  <si>
    <t>2YTJKM60512218</t>
  </si>
  <si>
    <t>NORTH TOPSAIL BEACH PD. NEEDS THIS EQUIPMENT FOR SEARCH AND RESCUE AND DISASTER RELATED RESPONSE AND PREPAREDNESS. TO EQUIPMENT OFFICERS DEPLOYED IN THE ABOVE OPERATIONS. PROVIDING MINIMUM ACCOMADADDFJIBDF.</t>
  </si>
  <si>
    <t>2YT1P760988439</t>
  </si>
  <si>
    <t xml:space="preserve">
Sales Order #: 2286425682
RTD Screening Code: DOD
Reason for Rejection: Y9</t>
  </si>
  <si>
    <t>2YTLQQ60937021</t>
  </si>
  <si>
    <t>RCSO NEEDS THIS EQUIPMENT FOR DISASTER RELATED EMERGENCY RESPONSE AND PREPAREDNESS.  RCSO DOES NOT CURRENTLY HAVE SUCH EQUIPMENT AND THE ADDITION OF SUCH WOULD HELP THE AGENCY MAINTAIN A HIGH DEGREE OF READINESS AND MISSION CAPABLE.</t>
  </si>
  <si>
    <t xml:space="preserve">
Sales Order #: 2286288946
RTD Screening Code: DOD
Reason for Rejection: Y9</t>
  </si>
  <si>
    <t>2YTJ7860937162</t>
  </si>
  <si>
    <t>THE BLADENBORO POLICE DEPARTMENT REQUESTS THESE ITEMS FOR TRAINING PURPOSES.</t>
  </si>
  <si>
    <t>PROJECTOR, MOVIE</t>
  </si>
  <si>
    <t>DSPROJEC0</t>
  </si>
  <si>
    <t>2YTA9260928113</t>
  </si>
  <si>
    <t>THE BLADENBORO POLICE DEPARTMENT WOULD REQUEST THESE ITEMS THAT CAN BE USED IN EMERGENCIES TO KEEP ON HAND DURING A TIME OF NEED.</t>
  </si>
  <si>
    <t>EXTINGUISHER SUBASS</t>
  </si>
  <si>
    <t>2YTA9260928110</t>
  </si>
  <si>
    <t>THE BLADENBORO POLICE DEPARTMENT NEEDS THIS ITEM TO SUPPLY NEEDED POWER AT VARIOUS LOCATIONS DURING EMERGENCIES AND BAD WEATHER.</t>
  </si>
  <si>
    <t>2YTA9260928109</t>
  </si>
  <si>
    <t xml:space="preserve">
Sales Order #: 2290729500
RTD Screening Code: DOD
Reason for Rejection: Y9</t>
  </si>
  <si>
    <t>2YTLHH61842844</t>
  </si>
  <si>
    <t>MISSOULA COUNTY SHERIFF'S OFFICE EOD TEAM COVERS ALL OF WESTERN MONTANA. MISSOULA HAS A SATELLITE TEAM IN HELENA BUT THE SATELLITE TEAM DOES NOT HAVE A TCV. THE TCV MISSOULA HAS IS IN NEED OF UPDATES AND REPAIR.</t>
  </si>
  <si>
    <t xml:space="preserve">
Sales Order #: 2290732853
RTD Screening Code: DOD
Reason for Rejection: Y9</t>
  </si>
  <si>
    <t>2YTHT861493069</t>
  </si>
  <si>
    <t>Rejected by EJG3527.  Comments: request for one. requested 4 2YTHX661140001 to 2YTHX661140004 wanting to ensure availability of at least one. three were rejected by SC..</t>
  </si>
  <si>
    <t>2YTLHH61842854</t>
  </si>
  <si>
    <t>2YTLHH61842853</t>
  </si>
  <si>
    <t>2YTLHH61842852</t>
  </si>
  <si>
    <t>FOR MISSOULA COUNTY SHERIFF'S OFFICE EOD TEAM</t>
  </si>
  <si>
    <t xml:space="preserve">
Sales Order #: 2285180199
RTD Screening Code: DOD
Reason for Rejection: Y9</t>
  </si>
  <si>
    <t>2YTHT860584783</t>
  </si>
  <si>
    <t>THE NEWTON COUNTY SHERIFF DEPARTMENT HAS CONTACTED THE DLA ANNISTON SITE AND IT HAS BEEN DETERMINED THAT THE ILLUMINATOR, INTEGRATED SMALL ARMS REQUESTED ARE IN OPERATION CONDITION. THE ILLUMINATOR, INTEGRATED SMALL ARMS WILL BE USED BY NEWTON COUNTY SHERIFF DEPARTMENT FOR LAW ENFORCEMENT PURPOSES ONLY.</t>
  </si>
  <si>
    <t xml:space="preserve">
Sales Order #: 2287833386
RTD Screening Code: DOD
Reason for Rejection: Y9</t>
  </si>
  <si>
    <t>2YTRRA61079096</t>
  </si>
  <si>
    <t>NEWTON COUNTY SHERRIFS DEPT (2YTRRA)</t>
  </si>
  <si>
    <t>MS</t>
  </si>
  <si>
    <t>THE NEWTON COUNTY SHERIFF DEPARTMENT HAS CONTACTED THE ANNISTON SITE AND IT HAS DETERMINED THAT THE NVG REQUESTED ARE IN OPERATION CONDITION</t>
  </si>
  <si>
    <t>JUSTIFICATION: Does not state what the property will be used for, is it for use by the LEA and used for law enforcment purposes.</t>
  </si>
  <si>
    <t>2YTRRA61079086</t>
  </si>
  <si>
    <t>OZARK COUNTY IS REQUESTING REQUISITION OF THE TACTICAL TRAINING SYSTEM. OZARK COUNTY CURRENTLY HAS A 9 PERSON SPECIAL WEAPONS AND TACTICS TEAM. WE ARE CONSTANTLY LOOKING FOR OPPORTUNITIES AND COURSES AND EQUIPMENT TO PUT TOWARDS OUR TACTICAL TRAINING REGIMENTS. IF THIS IS SOMETHING WE CAN FORM TO CREATE THE PROPER TRAINING FOR OUR LAW ENFORCEMENT OFFICERS FOR OUR AREA, TO BUILD TRAINING TO BETTER SERVICE OUR AREA.</t>
  </si>
  <si>
    <t xml:space="preserve">
Sales Order #: 2290935844
RTD Screening Code: DOD
Reason for Rejection: YH</t>
  </si>
  <si>
    <t>BATTLE FORCE TACTICAL TRAINING SYSTEM</t>
  </si>
  <si>
    <t>2YT19C61633155</t>
  </si>
  <si>
    <t>THE STORAGE UNIT WILL BE USED BY THE OREGON COUNTY SHERIFF'S OFFICE TO STAGE AND STORE EQUIPMENT AND SUPPLIES TO FURTHER THE LAW ENFORCEMENT MISSION OF OUR OFFICE.</t>
  </si>
  <si>
    <t>CYCLE - LEAs cannot requisition items from the GSA Cycle.</t>
  </si>
  <si>
    <t>2YT15P61774641</t>
  </si>
  <si>
    <t>2YT15P61774640</t>
  </si>
  <si>
    <t>OZARK COUNTY IS REQUESTING REQUISITION FOR THE PEACE KEEPER LOCATED AT FORT RILEY. THIS VEHICLE WOULD BE IDEAL TO PROTECT LIVES OF DEPUTIES AND OTHER LAW ENFORCEMENT OFFICER DURING HIGH RISK SEARCH WARRANTS, BARRICADED SUBJECTS, AND DURING INCIDENTS WITH AN ACTIVE SHOOTER. A VEHICLE LIKE THIS IS IDEAL, ITS LARGE ENOUGH TO CARRY ASSETS FROM POINT A TO POINT  B WHILE PROVIDING PROTECTION TO ALL. IT'S NOT A TIP HAZARD LIKE THE MRAP ON OZARK COUNTY ROADS, AND EASIER TO WORK VERSUS THE MRAP.</t>
  </si>
  <si>
    <t>TRUCK,ARMORED</t>
  </si>
  <si>
    <t>2YT19C61844485</t>
  </si>
  <si>
    <t>HCSO IS A PUBLIC SAFETY AGENCY. HCSO WILL USE THE REQUESTED TRUCK TO SUPPORT THE EMERGENCY MANAGEMENT DIRECTOR DURING DISASTER AND FLOOD RESPONSE OPERATIONS. THIS VEHICLE WILL ALLOW RAPID ASSESSMENT OF IMPACTED AREAS, COORDINATION OF RESOURCES, AND TRANSPORT OF PERSONNEL AND EQUIPMENT. A RELIABLE TRUCK IMPROVES MOBILITY, ENHANCES RESPONSE CAPABILITY, AND ENSURES EFFECTIVE LEADERSHIP PRESENCE DURING EMERGENCIES AND RECOVERY EFFORTS.</t>
  </si>
  <si>
    <t xml:space="preserve">
Sales Order #: 2289879215
RTD Screening Code: DOD
Reason for Rejection: YG</t>
  </si>
  <si>
    <t>2YTFKX61491768</t>
  </si>
  <si>
    <t>THE NORMANDY POLICE DEPARTMENT WILL UTILIZE THIS DIGITAL CAMERA TO ASSIGN TO POLICE OFFICERS FOR EVIDENCE COLLECTION AND SCENE DOCUMENTATION, FOR INCIDENTS SUCH AS NARCOTICS SEIZURES AND OTHER CRITICAL INCIDENTS.</t>
  </si>
  <si>
    <t>2YT0M461704039</t>
  </si>
  <si>
    <t>THE NORMANDY POLICE DEPARTMENT WILL UTILIZE THIS DIGITAL CAMERA LENS FOR A CAMERA TO ASSIGNED TO A POLICE OFFICER FOR EVIDENCE COLLECTION AND SCENE DOCUMENTATION, FOR INCIDENTS SUCH AS NARCOTICS SEIZURES AND OTHER CRITICAL INCIDENTS.</t>
  </si>
  <si>
    <t>2YT0M461704038</t>
  </si>
  <si>
    <t>WE ARE A SMALL DEPARTMENT WITH AN AGING FLEET. THIS VEHICLE WOULD BE USED TO SUPPLEMENT OUR EXISTING VEHICLES AND GIVE US TIME TO IMPLEMENT A CAPITAL REPLACEMENT PLAN FOR OUR FLEET. THIS VEHICLE IS NECESSARY FOR POLICE OPERATIONS AND WOULD BE OUTFITTED AS SUCH.</t>
  </si>
  <si>
    <t xml:space="preserve">
Sales Order #: 2290156233
RTD Screening Code: DOD
Reason for Rejection: YG</t>
  </si>
  <si>
    <t>2YTCNB61491798</t>
  </si>
  <si>
    <t>COLE CAMP PD (2YTCNB)</t>
  </si>
  <si>
    <t>LOW LIGHT CONDITIONS. NIGHT VISION GOGGLES WILL IMPROVE OFFICER SAFETY, ASSIST IN SUSPECT SEARCHES, HELP LOCATE MISSING PERSONS, AND INCREASE NIGHTTIME OPERATIONAL EFFECTIVENESS. OBTAINING THIS EQUIPMENT THROUGH LESO REDUCES COUNTY COST AND STRENGTHENS PUBLIC SAFETY.</t>
  </si>
  <si>
    <t xml:space="preserve">
Sales Order #: 2290313473
RTD Screening Code: DOD
Reason for Rejection: YG</t>
  </si>
  <si>
    <t>2YTNXN61492284</t>
  </si>
  <si>
    <t xml:space="preserve">OZARK COUNTY IS REQUESTING REQUISITION OF THE TRUCK FROM LESO. THIS VEHICLE WOULD BE IDEALLY FOR UNMARKED OFFICER WHEN WORKING IN THE FIELD OF ILLEGAL NARCOTICS. THIS WOULD ALLOW THE DEPUTIES TO GATHER INTELLIGENCE AND PERFORM CONTROL BUYS. THIS VEHICLE COULD ALSO BE VERY USEFUL WHEN NEEDING AN ALTERNATIVE PATROL VEHICLE OR WHEN A NATURAL DISASTER HAPPENS AND PICKUP IS MORE USEFUL FOR TRANSPORTING VICTIMS OR PATIENTS OUT OF DANGEROUS AND TREACHEROUS INCIDENTS.  
</t>
  </si>
  <si>
    <t xml:space="preserve">
Sales Order #: 2288563106
RTD Screening Code: DOD
Reason for Rejection: YG</t>
  </si>
  <si>
    <t>2YT19C61280167</t>
  </si>
  <si>
    <t>WE REQUEST THESE MISSION-CRITICAL DEVICES TO ENHANCE OFFICER SAFETY AND EFFECTIVENESS DURING LOW-LIGHT AND NIGHTTIME OPERATIONS. DEPUTIES CONDUCT HIGH-RISK WARRANTS, BARRICADED SUBJECT RESPONSE, FUGITIVE APPREHENSION, RURAL MANHUNTS, AND CRITICAL INCIDENTS REQUIRING RAPID TARGET ACQUISITION AND POSITIVE THREAT IDENTIFICATION. VISIBLE-IR AIMING LASERS AND IR ILLUMINATION, USED WITH NIGHT VISION, IMPROVE THREAT IDENTIFICATION WHILE LIMITING VISIBLE LIGHT THAT MAY COMPROMISE POSITIONS.</t>
  </si>
  <si>
    <t>2YTET961633701</t>
  </si>
  <si>
    <t>GREENE COUNTY SHERIFFS OFFICE (2YTET9)</t>
  </si>
  <si>
    <t>THE NORMANDY POLICE DEPARTMENT WILL UTILIZE THIS SHIPPING CONTAINER FOR LAW ENFORCMENT EQUIPMENT STORAGE AT OUR FIREARMS RANGE FACILITY.</t>
  </si>
  <si>
    <t>SHIPPING BOX</t>
  </si>
  <si>
    <t>DSBOX0003</t>
  </si>
  <si>
    <t>2YT0M461633686</t>
  </si>
  <si>
    <t>THE NORMANDY POLICE DEPARTMENT WILL UTILIZE THIS BATTERY CHARGER FOR CHARGING THE MULTIPLE BATTERIES IT ALREADY POSSESSES FOR IT'S EOD ROBOTS.</t>
  </si>
  <si>
    <t>2YT0M461633685</t>
  </si>
  <si>
    <t>HCSO IS A PUBLIC SAFETY AGENCY. HCSO WILL USE THE REQUESTED TRAILER TO TRANSPORT SIDE-BY-SIDE UTILITY VEHICLES TO REMOTE LOCATIONS FOR PATROL, SEARCH AND RESCUE, AND DISASTER RESPONSE. THIS TRAILER ALLOWS SAFE, EFFICIENT MOVEMENT OF EQUIPMENT, IMPROVES DEPLOYMENT SPEED, AND ENSURES VEHICLES ARE READILY AVAILABLE WHERE NEEDED. IT ENHANCES OPERATIONAL READINESS AND SUPPORTS EFFECTIVE RESPONSE DURING EMERGENCIES AND FIELD OPERATIONS.</t>
  </si>
  <si>
    <t xml:space="preserve">
Sales Order #: 2290760223
RTD Screening Code: DOD
Reason for Rejection: Y9</t>
  </si>
  <si>
    <t>2YTFKX61632945</t>
  </si>
  <si>
    <t xml:space="preserve">
Sales Order #: 2288652368
RTD Screening Code: DOD
Reason for Rejection: YG</t>
  </si>
  <si>
    <t>2YT19C61280171</t>
  </si>
  <si>
    <t xml:space="preserve">
Sales Order #: 2288563115
RTD Screening Code: DOD
Reason for Rejection: YG</t>
  </si>
  <si>
    <t>2YT19C61280169</t>
  </si>
  <si>
    <t>OZARK COUNTY IS REQUESTING REQUISITION FOR THE PICKUP FOR THE SHERIFF'S OFFICE. THIS VEHICLE COULD USED AS A ALTERNATIVE PATROL VEHICLE, BE USED AS AN UNDERCOVER VEHICLE FOR SPECIAL OPERATIONS WHERE A MARKED VEHICLE ISN'T PERMISSIBLE OR FOR OBTAINING DRUG AND NARCOTIC INTELLIGENCE. THIS VEHICLE COULD ALSO BE OR DEPLOYED IN TIMES OF NATURAL DISASTERS WHEN DEPUTIES NEEDED TO HAUL PEOPLE OR TRANSPORT MATERIAL FROM ONE PLACE TO ANOTHER. OZARK COUNTY SHERIFF'S OFFICE  HAS A NEED AND A USE FOR IT.</t>
  </si>
  <si>
    <t xml:space="preserve">
Sales Order #: 2288372395
RTD Screening Code: DOD
Reason for Rejection: YG</t>
  </si>
  <si>
    <t>2YT19C61280161</t>
  </si>
  <si>
    <t>HCSO IS A PUBLIC SAFETY AGENCY. HCSO WILL USE THE REQUESTED BEAVERFIT FITNESS BOX TO SUPPORT DEPUTY HEALTH, WELLNESS, AND OPERATIONAL READINESS. THIS EQUIPMENT PROVIDES A DURABLE, ACCESSIBLE TRAINING SPACE FOR STRENGTH, ENDURANCE, AND FUNCTIONAL FITNESS. HCSO HAS BEEN WORKING TO ACQUIRE THIS RESOURCE FOR MORE THAN TWO YEARS. PHYSICAL FITNESS IS CRITICAL TO PUBLIC SAFETY WORK, AND THIS EQUIPMENT IS ESSENTIAL TO MAINTAINING A CAPABLE WORKFORCE PREPARED FOR EMERGENCIES AND DAILY OPERATIONS.</t>
  </si>
  <si>
    <t xml:space="preserve">
Sales Order #: 2291157747
RTD Screening Code: DOD
Reason for Rejection: Y9</t>
  </si>
  <si>
    <t>2YTFKX61703396</t>
  </si>
  <si>
    <t>OZARK COUNTY IS REQUESTING REQUISITION FOR 13 HELMETS FROM RICHMOND. OZARK COUNTY HAS A UNIT USED FOR HIGH RISK SEARCH WARRANTS. BARRICADED SUBJECTS, HIGH RISK CALLS. NOT ALL THE TEAM HAVE THE PROPER EQUIPMENT SUCH AS HELMETS, SHIELDS, AND EQUIPMENT NEEDED. HELMETS WOULD BE IDEAL TO SUPPLY TO ALL DEPUTIES AND TEAM OPERATORS.</t>
  </si>
  <si>
    <t>PAD,HELMET,ADVANCED</t>
  </si>
  <si>
    <t>2YT19C61703464</t>
  </si>
  <si>
    <t>OZARK COUNTY IS REQUESTING REQUISITION FOR A BACKHOE AND FRONT LOADER. THIS WOULD BE IDEAL DURING HEAVY STORMS, TORNADOS, AND, FLOODING. IN YEARS PAST, AFTER HEAVY STORMS THE DESTRUCTION FROM ANY STORM HAVE CAUSED IMPASSABLE ROADS AND CAUSED A DELAY IN EMERGENCY SERVICES. THIS BACKHOE AND FRONT END LOADER WOULD BE IDEAL TO DEPLOY AFTER STORMS TO MANAGE THE CLEAN UP PROCESS IN RETURN ALLOWING EMERGENCY SERVICES TO RESUME AT A LOT QUICKER, INSTEAD OF WAITING FOR OUT OF COUNTY RESOURCES TO ARRIVE.</t>
  </si>
  <si>
    <t xml:space="preserve">
Sales Order #: 2290701374
RTD Screening Code: DOD
Reason for Rejection: Y9</t>
  </si>
  <si>
    <t>2YT19C61562680</t>
  </si>
  <si>
    <t xml:space="preserve">
Sales Order #: 2290732846
RTD Screening Code: DOD
Reason for Rejection: Y9</t>
  </si>
  <si>
    <t>2YT19C61562679</t>
  </si>
  <si>
    <t>THE NORMANDY POLICE DEPARTMENT WILL UTILIZE THIS LIGHT TOWER FOR POLICE OFFICERS WHEN RESPONDING TO LARGE SCALE EVENTS AND NATURAL DISASTERS WHERE TRADITIONAL LIGHTING AND UTILITIES ARE NOT AVAILABLE.</t>
  </si>
  <si>
    <t xml:space="preserve">
Sales Order #: 2290545569
RTD Screening Code: DOD
Reason for Rejection: Y9</t>
  </si>
  <si>
    <t>2YT0M461562863</t>
  </si>
  <si>
    <t>THE REQUESTED VEHICLE WILL SUPPORT RURAL LAW ENFORCEMENT OPERATIONS BY ENHANCING EMERGENCY RESPONSE CAPABILITY, PATROL COVERAGE, OFFICER SAFETY, AND INTERAGENCY COORDINATION.</t>
  </si>
  <si>
    <t xml:space="preserve">
Sales Order #: 2290475955
RTD Screening Code: DOD
Reason for Rejection: Y9</t>
  </si>
  <si>
    <t>2YTCNB61562621</t>
  </si>
  <si>
    <t>HCSO IS A PUBLIC SAFETY AGENCY. HCSO WILL USE THE REQUESTED RIFLE SLINGS TO IMPROVE WEAPON RETENTION AND OPERATIONAL SAFETY DURING PATROL, TRAINING, AND EMERGENCY RESPONSE. SLINGS ALLOW DEPUTIES TO SECURELY CARRY RIFLES WHILE MAINTAINING HANDS-FREE CAPABILITY FOR MEDICAL AID, SUSPECT CONTROL, AND OTHER TASKS. THIS EQUIPMENT ENHANCES CONTROL, REDUCES RISK OF DROPS, AND IMPROVES READINESS DURING CRITICAL INCIDENTS.</t>
  </si>
  <si>
    <t xml:space="preserve">
Sales Order #: 2290789141
RTD Screening Code: DOD
Reason for Rejection: Y9</t>
  </si>
  <si>
    <t>2YTFKX61633120</t>
  </si>
  <si>
    <t>THE OREGON COUNTY SHERIFF'S OFFICE WILL USE THE DEVICES IN HIGH RISK OPERATIONS AS AN ESSENTIAL PART OF OUR SYSTEM TO ENHANCE PERFORMANCE AND TO PRESERVE LIFE AND SAFETY OF PERSONNEL. WE HAVE CONTACTED THE SITE TO ASSESS THE CONDITION OF THE DEVICES AND ACCEPT THE CONDITION.</t>
  </si>
  <si>
    <t xml:space="preserve">
Sales Order #: 2285933091
RTD Screening Code: DOD
Reason for Rejection: Y9</t>
  </si>
  <si>
    <t>2YT15P60866610</t>
  </si>
  <si>
    <t>HCSO IS A LAW ENFORCEMENT AGENCY. HCSO WILL USE THE REQUESTED COLLAPSIBLE LADDER FOR TACTICAL OPERATIONS, ALLOWING DEPUTIES TO ACCESS ELEVATED AREAS DURING BUILDING SEARCHES, RESCUE MISSIONS, AND EMERGENCY RESPONSES. THIS EQUIPMENT IMPROVES MOBILITY, ENHANCES SAFETY, AND SUPPORTS RAPID ENTRY OR EVACUATION WHEN NEEDED. A PORTABLE LADDER STRENGTHENS OPERATIONAL CAPABILITY DURING CRITICAL INCIDENTS AND DISASTER RESPONSE.</t>
  </si>
  <si>
    <t xml:space="preserve">
Sales Order #: 2290637055
RTD Screening Code: DOD
Reason for Rejection: Y9</t>
  </si>
  <si>
    <t>2YTFKX61633080</t>
  </si>
  <si>
    <t>HCSO IS A LAW ENFORCEMENT AGENCY. HCSO WILL USE THE REQUESTED NIGHT VISION GOGGLES TO REPLACE RECENTLY ACQUIRED INOPERABLE UNITS THAT ARE BEING RETURNED.  NIGHT VISION IS ESSENTIAL FOR NIGHTTIME PATROL, SEARCH AND RESCUE, SUSPECT APPREHENSION, AND DISASTER RESPONSE, ENSURING DEPUTIES CAN OPERATE SAFELY IN LOW-LIGHT CONDITIONS. HCSO HAS CONTACTED THE SITE, REVIEWED PHOTOS OF THE EQUIPMENT, AND WILL PAY SHIPPING COSTS TO OBTAIN THE ITEMS.</t>
  </si>
  <si>
    <t xml:space="preserve">
Sales Order #: 2285864245
RTD Screening Code: DOD
Reason for Rejection: Y9</t>
  </si>
  <si>
    <t>2YTFKX60866592</t>
  </si>
  <si>
    <t>THE WRIGHT COUNTY SHERIFF'S OFFICE IS A LAW ENFORCEMENT AGENCY SERVING RURAL TERRAIN. A POLARIS SXS WILL ENHANCE SEARCH AND RESCUE, PATROL, AND EMERGENCY RESPONSE IN AREAS INACCESSIBLE TO STANDARD VEHICLES. OBTAINING IT THROUGH LESO REDUCES COSTS AND EASES THE AGENCY'S FINANCIAL BURDEN WHILE IMPROVING OPERATIONAL CAPABILITY.</t>
  </si>
  <si>
    <t xml:space="preserve">
Sales Order #: 2290701377
RTD Screening Code: DOD
Reason for Rejection: Y9</t>
  </si>
  <si>
    <t>2YTNXN61633005</t>
  </si>
  <si>
    <t>OZARK COUNTY IS REQUESTING REQUISITION OF THE SIDE BY SIDE IN CONDITION B. OZARK COUNTY IS A RURAL AREA MADE UP OF SEVERAL THOUSANDS OF ACRES OF NATIONAL FORESTRY LAND, FARMLAND AND WOODED AREAS. THIS MACHINERY WOULD BE IDEAL TO DEPLOY DURING INCIDENTS WHERE WE HAVE INDIVIDUALS LOST IN THE NATIONAL FORESTRY, OR FOR POSSIBLE INDIVIDUALS BARRICADED IN WOODED AREAS. THIS WOULD GIVE LAW ENFORCEMENT THE ABILITY TO TRAVEL IN AREAS WHERE IT MORE DIFFICULT.</t>
  </si>
  <si>
    <t xml:space="preserve">
Sales Order #: 2290545589
RTD Screening Code: DOD
Reason for Rejection: Y9</t>
  </si>
  <si>
    <t>2YT19C61632922</t>
  </si>
  <si>
    <t>HCSO IS A PUBLIC SAFETY AGENCY. HCSO WILL USE THE REQUESTED EXTENDABLE REACH FORK TRUCK TO SUPPORT FACILITY MAINTENANCE, RANGE OPERATIONS, AND DISASTER RESPONSE. THIS EQUIPMENT ALLOWS SAFE LIFTING AND PLACEMENT OF HEAVY MATERIALS, PALLETS, AND SUPPLIES AT HEIGHT OR OVER OBSTACLES. IT IMPROVES EFFICIENCY, ENHANCES SAFETY, REDUCES RELIANCE ON CONTRACTORS, AND ENSURES HCSO CAN EFFECTIVELY MANAGE MATERIALS DURING OPERATIONS AND EMERGENCIES.</t>
  </si>
  <si>
    <t xml:space="preserve">
Sales Order #: 2290637054
RTD Screening Code: DOD
Reason for Rejection: Y9</t>
  </si>
  <si>
    <t>2YTFKX61633084</t>
  </si>
  <si>
    <t>HCSO IS A PUBLIC SAFETY AGENCY. HCSO WILL USE THE REQUESTED POLARIS MRZR TO REPLACE AN EXISTING UNIT THAT RECENTLY EXPERIENCED A CATASTROPHIC ENGINE ISSUE REQUIRING REPAIR COSTS IN EXCESS OF THE UNIT'S VALUE. THIS VEHICLE IS CRITICAL FOR ACCESSING REMOTE AND OFF-ROAD AREAS DURING PATROL, SEARCH AND RESCUE, AND DISASTER RESPONSE. REPLACING OUR EXISTING UNIT IMPROVES READINESS, ENHANCES MOBILITY, AND ENSURES HCSO CAN EFFECTIVELY RESPOND IN AREAS INACCESSIBLE TO STANDARD VEHICLES.</t>
  </si>
  <si>
    <t xml:space="preserve">
Sales Order #: 2290701373
RTD Screening Code: DOD
Reason for Rejection: Y9</t>
  </si>
  <si>
    <t>2YTFKX61632944</t>
  </si>
  <si>
    <t>OZARK COUNTY IS REQUESTING REQUISITION OF  ONE MOBILE TRAILER. THIS WOULD BE A GREAT ASSET TO HAVE AND TO DEPLOY WHEN DEPUTIES AND FIRST RESPONDERS ARE REQUIRED TO BE POSTED AT A INCIDENT OR FESTIVAL FOR A LONG PERIOD OF TIME. THIS WOULD GIVE THEM THE ABILITY TO GET OUT OF THE ELEMENTS AND ALLOW FOR A FIELD COMMAND CENTER IN TIMES DEPUTIES OF FIRST RESPONDERS WERE REQUIRED TO BE OUT FOR LONG PERIODS AT A TIME.</t>
  </si>
  <si>
    <t>2YT19C61492683</t>
  </si>
  <si>
    <t>OZARK COUNTY IS REQUESTING REQUISITION OF SHIPPING AND STORAGE CONTAINERS. THIS WOULD BE IDEAL TO STAGE ALL ARE EQUIPMENT SUCH AS  SIDE BY SIDE, LAWN MOWER, 4 WHEELERS, AND OTHER TOOLS. THEY WOULD ALSO BE IDEAL FOR OUR TRAINING FACILITY TO BE ABLE TO STORE ALL OUR OUTSIDE TARGETS, ALL OUR OUTSIDE WORKOUT EQUIPMENT USE THEM TO TRAIN WITH. THIS WOULD GIVE US THE ABILITY TO PROFESSIONALLY ORGANIZE OUR ASSETS AND SECURE THEM PROPERLY.</t>
  </si>
  <si>
    <t>2YT19C61492681</t>
  </si>
  <si>
    <t>THE NORMANDY POLICE DEPARTMENT WILL UTILIZE THESE PORTABLE X-RAY SYSTEMS FOR POLICE OFFICERS ASSIGNED TO NARCOTICS ENFORCEMENT FOR ADVANCED CONTRABAND SEARCHES IN VEHICLES AND STRUCTURES.</t>
  </si>
  <si>
    <t>X-RAY APPARATUS,RAD</t>
  </si>
  <si>
    <t>2YT0M461492867</t>
  </si>
  <si>
    <t>OZARK COUNTY REQUESTING REQUISITION FOR A SIDE BY SIDE FOR LAW ENFORCEMENT USE AT THE OZARK COUNTY SHERIFF'S DEPARTMENT. OZARK COUNTY HAS SEVERAL THOUSANDS ACRES OF NATIONAL FOREST AND ON TOP OF THAT WE HAVE A LOT OF FARM LAND LAKES AND RIVERS. A LOT OF PLACES IN OZARK COUNTY IS ONLY ACCESSIBLE EITHER BY HORSEBACK, OR BY SIDE BY SIDE OR ATV . THIS WOULD GIVE US MORE OF AN ADVANTAGE TO BE ABLE TO ACCESS THOSE AREA MORE EFFICIENTLY IF WE HAD USE OF A ATV. WE COULD DEPLOY DURING C INCIDENTS</t>
  </si>
  <si>
    <t xml:space="preserve">
Sales Order #: 2290156227
RTD Screening Code: DOD
Reason for Rejection: Y9</t>
  </si>
  <si>
    <t>2YT19C61491902</t>
  </si>
  <si>
    <t>OZARK COUNTY IS REQUESTING REQUISITION OF MOBILE ANTENNA TRAILER. OZARK COUNTY HAS ALWAYS HAD ISSUES WITH OUR RADIOS AND COMMUNICATION ABILITY. DURING ONE OF OUR WORST STORMS A TORNADO THAT TOOK THE LIFE OF THREE PEOPLE, OUR RADIOS WERE NONFUNCTIONAL, OUR CELLULAR PHONES WERE USELESS. AND IT CAME DOWN TO THE TERRAIN BEING SO MOUNTAINOUS WE COULDN'T GET A SIGNAL IN. ALREADY SPEAKING TO OUR VENDOR FOR RADIOS THIS WOULD ELIMINATE THAT ISSUE. WE COULD DEPLOY THIS MOBILE TRAILER AND PROVIDE COMMS.</t>
  </si>
  <si>
    <t xml:space="preserve">
Sales Order #: 2290156238
RTD Screening Code: DOD
Reason for Rejection: Y9</t>
  </si>
  <si>
    <t>2YT19C61491888</t>
  </si>
  <si>
    <t xml:space="preserve">
Sales Order #: 2289879212
RTD Screening Code: DOD
Reason for Rejection: Y9</t>
  </si>
  <si>
    <t>2YT19C61491887</t>
  </si>
  <si>
    <t>OZARK COUNTY IS REQUESTING REQUISITION FOR 1 SKID STEER LOADER. THIS WOULD BE IDEAL FOR HEAVY, STORM TORNADOS, AND EVEN FLOODING WHEN ROADS ARE IMPASSABLE AND LAW ENFORCEMENT AND FIRST RESPONDERS NEED TO CLEAR DEBRIS OR CREATE AN ALTERNATE PATHWAY TO A VICTIM OR PATIENT. THE LAST THREE YEARS, IN THE SPRING SUMMERTIME OF THE YEAR WE HAVE ENDURED HEAVY STORMS WHERE ROAD WERE MADE IMPASSABLE. FROM FALLEN TREES AND OTHER DEBRIS. THIS WOULD IDEALLY IMPROVE PUBLIC SAFETY FOR OZARK COUNTY.</t>
  </si>
  <si>
    <t xml:space="preserve">
Sales Order #: 2290156223
RTD Screening Code: DOD
Reason for Rejection: Y9</t>
  </si>
  <si>
    <t>2YT19C61491881</t>
  </si>
  <si>
    <t xml:space="preserve">
Sales Order #: 2290156219
RTD Screening Code: DOD
Reason for Rejection: Y9</t>
  </si>
  <si>
    <t>2YT19C61491856</t>
  </si>
  <si>
    <t xml:space="preserve">
Sales Order #: 2290156240
RTD Screening Code: DOD
Reason for Rejection: Y9</t>
  </si>
  <si>
    <t>2YT19C61491847</t>
  </si>
  <si>
    <t>THE OREGON COUNTY SHERIFF'S OFFICE WILL USE THE TRUCK TO TRANSPORT PERSONNEL, EQUIPMENT, AND SUPPLIES IN DAY TO DAY AND EMERGENCY OPERATIONS TO EFFECT THE LAW ENFORCEMENT MISSIONS OF THE SHERIFF'S OFFICE.</t>
  </si>
  <si>
    <t xml:space="preserve">
Sales Order #: 2290446738
RTD Screening Code: DOD
Reason for Rejection: Y9</t>
  </si>
  <si>
    <t>2YT15P61492296</t>
  </si>
  <si>
    <t>THE NORMANDY POLICE DEPARTMENT WILL UTILIZE THESE OPTICAL DISK DRIVES FOR AGENCY COMPUTERS FOR POLICE OFFICERS TO BURN DISKS CONTAINING DIGITAL EVIDENCE AND OPEN FILES CONTAINING ON CDS AND DVDS.</t>
  </si>
  <si>
    <t>DISK DRIVE</t>
  </si>
  <si>
    <t>DSDISKDRI</t>
  </si>
  <si>
    <t>2YT0M461492866</t>
  </si>
  <si>
    <t>THE NORMANDY POLICE DEPARTMENT WILL UTILIZE THESE EXTERNAL USB DVD-RW DISK DRIVES FOR AGENCY COMPUTERS FOR OFFICERS TO BURN DISKS CONTAINING DIGITAL EVIDENCE.</t>
  </si>
  <si>
    <t>2YT0M461492864</t>
  </si>
  <si>
    <t>OZARK COUNTY REQUESTING REQUISITION FOR A SIDE BY SIDE FOR LAW ENFORCEMENT USE AT THE OZARK COUNTY SHERIFF'S DEPARTMENT. OZARK COUNTY HAS SEVERAL THOUSANDS ACRES OF NATIONAL FOREST AND ON TOP OF THAT WE HAVE A LOT OF FARM LAND LAKES AND RIVERS. A LOT OF PLACES IN OZARK COUNTY IS ONLY ACCESSIBLE EITHER BY HORSEBACK, OR BY SIDE BY SIDE OR ATV . THIS WOULD GIVE US MORE OF AN ADVANTAGE TO BE ABLE TO ACCESS THOSE AREA MORE EFFICIENTLY IF WE HAD USE OF A SXS. WE COULD DEPLOY DURING CRICTIAL INCIDENTS</t>
  </si>
  <si>
    <t xml:space="preserve">
Sales Order #: 2290156222
RTD Screening Code: DOD
Reason for Rejection: Y9</t>
  </si>
  <si>
    <t>2YT19C61491901</t>
  </si>
  <si>
    <t>FOR THE JEFFERSON COUNTY SHERIFF'S OFFICE MO. THESE ITEMS WOULD BE INTENDED FOR DESIGNATED MARKSMEN ON THE DEPARTMENT SWAT TEAM. WE OPERATE IN A RURAL AREA AND THESE ITEMS WOULD IMPROVE THE SAFETY OF THE OFFICERS AND THE PUBLIC DURING SITUATIONS IN LOW LIGHT OR NO LIGHT. THESE ARE ALSO INTENDED TO BE USED FOR SEARCHES FOR MISSING AND OR WANTED PERSONS. DUE TO BEING A RURAL AGENCY, WE FREQUENTLY ENCOUNTER SUBJECTS FLEEING INTO WOODED AREAS. SPECIFICALLY AT NIGHTTIME. WAREHOUSE NOTIFIED</t>
  </si>
  <si>
    <t xml:space="preserve">
Sales Order #: 2290164302
RTD Screening Code: DOD
Reason for Rejection: Y9</t>
  </si>
  <si>
    <t>2YTFXU61562629</t>
  </si>
  <si>
    <t>JEFFERSON COUNTY SHERIFF'S OFFICE (2YTFXU)</t>
  </si>
  <si>
    <t>HCSO IS A PUBLIC SAFETY AGENCY. HCSO WILL USE THE REQUESTED BACKPACKS TO SUPPORT DESIGNATED MARKSMAN TEAMS DURING TRAINING, PATROL, AND TACTICAL OPERATIONS. THESE PACKS ALLOW ORGANIZED TRANSPORT OF ESSENTIAL GEAR, OPTICS, AND SUPPORT EQUIPMENT WHILE MAINTAINING MOBILITY. PROPER LOAD CARRIAGE IMPROVES READINESS, ENHANCES EFFICIENCY, AND ENSURES MARKSMAN TEAMS CAN OPERATE EFFECTIVELY DURING CRITICAL INCIDENTS AND EMERGENCY RESPONSE SITUATIONS.</t>
  </si>
  <si>
    <t xml:space="preserve">
Sales Order #: 2289879217
RTD Screening Code: DOD
Reason for Rejection: Y9</t>
  </si>
  <si>
    <t>2YTFKX61491832</t>
  </si>
  <si>
    <t xml:space="preserve">FOR EXCLUSIVE USE BY FBI SWAT TEAM COMPOSED OF SWORN LAW ENFORCEMENT AGENTS. FOR USE IN HIGH-RISK ARREST AND SEARCH WARRANT SERVICE, LOW LIGHT OPERATIONS, RURAL OPERATIONS AND MANHUNTS. REQUESTER HAS CONTACTED THE SITE TO CONFIRM THE CONDITION OF NIGHT VISION OPTICS.
</t>
  </si>
  <si>
    <t>2YTQQS61562431</t>
  </si>
  <si>
    <t>OZARK COUNTY IS ASKING FOR REQUISITION OF THE TRACTOR OUT OF EGLIN. THIS TRACTOR WOULD COME IN HANDING WHEN MOVING LARGE ASSETS SUCH AS TOWING THE COUNTY BOAT OUT OF OUR ASSET YARD, AND OR USE FOR AROUND THE FACILITY SUCH AS BLADING OFF THE PARKING LOT AFTER A SNOW OR BRUSH HOGGING AROUND THE FACILITY.</t>
  </si>
  <si>
    <t xml:space="preserve">
Sales Order #: 2290446731
RTD Screening Code: DOD
Reason for Rejection: Y9</t>
  </si>
  <si>
    <t>2YT19C61562662</t>
  </si>
  <si>
    <t xml:space="preserve">
Sales Order #: 2290446736
RTD Screening Code: DOD
Reason for Rejection: Y9</t>
  </si>
  <si>
    <t>2YT19C61562661</t>
  </si>
  <si>
    <t xml:space="preserve">
Sales Order #: 2290156241
RTD Screening Code: DOD
Reason for Rejection: Y9</t>
  </si>
  <si>
    <t>2YT19C61491885</t>
  </si>
  <si>
    <t xml:space="preserve">
Sales Order #: 2288135749
RTD Screening Code: DOD
Reason for Rejection: YH</t>
  </si>
  <si>
    <t>2YTFKX61219498</t>
  </si>
  <si>
    <t>CANCELLED: Item(s) has already been approved by another agency.</t>
  </si>
  <si>
    <t>2YT19C61562663</t>
  </si>
  <si>
    <t>2YT19C61562660</t>
  </si>
  <si>
    <t>OZARK COUNTY IS REQUESTING REQUISITION OF THIS TRAINER TRAILER. UNFORTUNATELY WE DON'T HAVE USE FOR A FLIGHT SIMULATOR, THE TRAILER ITSELF COULD BE USED TO TRANSPORT PROPERTY OR BE USED AT OUR TRAINING FACILITY, AND THE CONEX BOX COULD BE USED FOR EITHER STORING PROPERTY OR BEING USED AS APART OF OUR SIMS TRAINING. EITHER WAY WE WOULD HAVE SIGNIANT USE FOR THE TRAILER AND THE CONEX BOX.</t>
  </si>
  <si>
    <t>TRAINER,FLIGHT SIMULATOR</t>
  </si>
  <si>
    <t>2YT19C61562526</t>
  </si>
  <si>
    <t>OZARK COUNTY SHERIFF'S OFFICE IS ASKING REQUISITION FOR THE CHEVY TAHOE. AS OF RIGHT NOW, I HAVE FEW FAILING PATROL UNIT THAT NEEDS TO BE REPLACED. ONE OF THOSE VEHICLES BEING OUR K9 UNIT. I COULD REPLACE ONE OF OUR FAILING PATROL UNITS BY TRANSITIONING OUR K9 UNIT OUT TO THIS TAHOE.</t>
  </si>
  <si>
    <t>2YT19C61562524</t>
  </si>
  <si>
    <t>OZARK COUNTY IS ASKING REQUISITION FOR THE FORD EXPLORER IN FORT RILEY TO BE USED FOR OUR OZARK COUNTY K9 UNIT. THIS UNIT IS MADE OF 4 DOG HANDLERS  AND 7 DOGS. THIS VEHICLE COULD BE USED AND DEPLOYED BY OZARK COUNTY K9 TEAM WHEN THERE'S MISSING PERSONS, A FUGITIVE ON FOOT, A MISSING CHILD OR WHEN PERFORMING A RECOVERY. OZARK COUNTY K9 TEAM NOT ONLY OPERATES IN OZARK COUNTY, BUT ALL OVER THE STATE OF MISSOURI WHEN A INCIDENT OCCURS.</t>
  </si>
  <si>
    <t>2YT19C61562521</t>
  </si>
  <si>
    <t>OZARK COUNTY IS REQUESTING REQUISITION OF LOADER SKID STEER FOR USE TO DEPLOY DURING HEAVY STORMS, TORNADO AND FLOODING. THIS WOULD BE IDEAL TO USE WHEN DEBRIS FROM STORMS BLOCK MAIN STATE HIGHWAY RUNNING THROUGH OUR COUNTY. WE COULD DEPLOY THIS SKID STEER TO CLEAN OFF DEBRIS, BOULDERS AND TREES OFF ROADWAYS BLOCKING FLOW OF TRAFFIC AND MAKING IT IMPOSSIBLE TO REACH VICTIM OR PATIENTS.</t>
  </si>
  <si>
    <t>2YT19C61562349</t>
  </si>
  <si>
    <t>2YTQQS61562434</t>
  </si>
  <si>
    <t>2YTQQS61562433</t>
  </si>
  <si>
    <t>2YTQQS61562432</t>
  </si>
  <si>
    <t>SIGHT,INFINITY</t>
  </si>
  <si>
    <t>2YTQQS61562430</t>
  </si>
  <si>
    <t>THE OREGON COUNTY SHERIFF'S OFFICE WILL USE THE TRUCK TO HAUL EQUIPMENT AND SUPPLIES FOR CONSTRUCTION AND MAINTENANCE OF SHERIFF'S OFFICE GROUNDS AND TRAINING FACILITIES. IT WILL ALSO BE USED FOR HIGH OPERATION RESPONSE IN AN AUSTERE ENVIRONMENT.</t>
  </si>
  <si>
    <t xml:space="preserve">
Sales Order #: 2289686828
RTD Screening Code: DOD
Reason for Rejection: Y9</t>
  </si>
  <si>
    <t>2YT15P61421359</t>
  </si>
  <si>
    <t>THE WRIGHT COUNTY SHERIFF'S OFFICE IS A LAW ENFORCEMENT AGENCY RESPONSIBLE FOR PROTECTING THE PUBLIC AND RESPONDING TO HIGH-RISK INCIDENTS. A RECON SCOUT XT THROWABLE ROBOT WOULD IMPROVE OFFICER AND CIVILIAN SAFETY BY ALLOWING DEPUTIES TO REMOTELY ASSESS DANGEROUS ENVIRONMENTS BEFORE ENTRY. OBTAINING THIS EQUIPMENT THROUGH THE LESO PROGRAM WOULD PROVIDE CRITICAL TECHNOLOGY WHILE EASING THE FINANCIAL BURDEN ON THE AGENCY.</t>
  </si>
  <si>
    <t>2YTNXN61422237</t>
  </si>
  <si>
    <t>2YTNXN61422235</t>
  </si>
  <si>
    <t>THE ATV WILL BE USED BY THE OREGON COUNTY SHERIFF'S OFFICE FOR ROUTINE FOREST PATROLS AND EMERGENCY RESPONSE TO HIGH RISK OPERATIONS AND EVENTS TO DELIVER EQUIPMENT AND SUPPLIES AND RECOVER VICTIMS AND SUSPECTS.</t>
  </si>
  <si>
    <t xml:space="preserve">
Sales Order #: 2289637138
RTD Screening Code: DOD
Reason for Rejection: Y9</t>
  </si>
  <si>
    <t>2YT15P61421370</t>
  </si>
  <si>
    <t xml:space="preserve">
Sales Order #: 2289637139
RTD Screening Code: DOD
Reason for Rejection: Y9</t>
  </si>
  <si>
    <t>2YT15P61421369</t>
  </si>
  <si>
    <t>2YT19C61491886</t>
  </si>
  <si>
    <t>FOR USE FOR THE JEFFERSON COUNTY SHERIFF'S OFFICE MO. INTENDED TO REPLACE DATED AND DAMAGED EQUIPMENT CURRENTLY UTILIZED BY THE SWAT TEAM. NUMBER REQUESTED REFLECTS THE NUMBER NEEDED. AGENCY IS AWARE OF CONDITION CODE AND NOTIFY DLA SITE.</t>
  </si>
  <si>
    <t>2YTFXU61492005</t>
  </si>
  <si>
    <t>OZARK COUNTY IS REQUESTING REQUISITION OF ONE I-ROBOT . THIS TOOL WOULD BE IDEAL FOR HIGH RISK SEARCH WARRANTS, BARRICADED SUBJECTS, AND TIMES WE HAVE ENCOUNTERED ILLEGAL EXPLOSIVE DEVICES. THIS WOULD GIVE THE ABILITY TO MAINTAIN PUBLIC SAFETY AND PROTECT OUR OFFICERS FROM HARMS WAY.</t>
  </si>
  <si>
    <t>Cancel per State Coordinator</t>
  </si>
  <si>
    <t>2YT19C61491612</t>
  </si>
  <si>
    <t>OZARK COUNTY IS REQUESTING REQUISITION FOR AN OLD MODEL GRADER THIS WOULD BE IDEAL TO DEPLOY DURING HEAVY STORMS, OR BLOCKED ROADWAYS. THIS COULD BE USED TO EITHER CLEAN OR MAKE A TEMPORARY ROADWAY TO ACCESS PATIENTS AND OR VICTIMS. IN YEARS PAST, WE HAVE HAD TO RELAY ON MISSOURI DEPARTMENT OF TRANSPORTATION AND ROAD AND BRIDGE TO CLEAR DEBRIS SO WE COULD ACCESS PATIENTS AND OR VICTIMS OF A INCIDENT. A ROAD GRADER WAS A TOOL THEY USED TO CLEAR THE ROADS WHICH WAS IDEAL FOR QUICK CLEARING.</t>
  </si>
  <si>
    <t>Grader is in H condition. Has been drained and purged and does not run.AN</t>
  </si>
  <si>
    <t>2YT19C61421899</t>
  </si>
  <si>
    <t>2YT19C61491883</t>
  </si>
  <si>
    <t>2YT19C61491882</t>
  </si>
  <si>
    <t>OZARK COUNTY SHERIFF'S OFFICE IS REQUESTING REQUISITION FOR A FORD FOUR DOOR 1 TON PICKUP WITH A UTILITY SHELL ON THE BACK BED. THIS ITEM WOULD BE IDEAL FOR OUR SEARCH AND RESCUE TEAM THAT HAUL A LARGE AMOUNT OF TOOLS AND GEAR. THE SEARCH AND RESCUE TEAM ALSO HAVE TOOLS AND GEAR THEY USE FOR WATER RESCUE AND THIS WOULD BE IDEAL FOR BEING ABLE TO TRANSPORT SAID GEAR TO SCENE AND KEEP IT SAFE WHILE ON SCENE.</t>
  </si>
  <si>
    <t>2YT19C61491853</t>
  </si>
  <si>
    <t>OZARK COUNTY IS REQUESTING REQUISITION FOR A MOBILE TRAILER. THIS TRAILER WOULD BE A HUGE ASSET DURING HUGE COMMUNITY EVENTS, WHERE DEPUTIES AND FIRST RESPONDERS WOULD BE REQUIRED TO BE FOR LONG PERIODS AT A TIME OR DEPLOYED WHEN A LARGE SCALE INCIDENT WHERE TO HAPPEN. THIS MOBILE TRAILER COULD BE USED AS A MOBILE FIELD STATION FOR DEPUTIES AND FIRST RESPONDERS.</t>
  </si>
  <si>
    <t xml:space="preserve">
Sales Order #: 2289338557
RTD Screening Code: DOD
Reason for Rejection: Y9</t>
  </si>
  <si>
    <t>2YT19C61350774</t>
  </si>
  <si>
    <t>OZARK COUNTY IS REQUESTING REQUISITION OF THE MOBILE DIGITAL SPEED SIGN. THIS ITEM WOULD BE A HUGE ASSET TO PLACE IN AREAS WHERE COMPLAINTS ARE REGULAR OF SPEEDING. WE COULD DEPLOY DURING LARGE COMMUNITY EVENTS TO BETTER REGULATE TRAFFIC AND SPEED. OZARK COUNTY HAS NO STOP LIGHTS AND HIGHWAY THAT IS CONSIDER A VERY HEAVILY USED HIGHWAY TRAVELING ALL THE WAY THROUGH OZARK COUNTY AND THROUGH THE STATE.</t>
  </si>
  <si>
    <t xml:space="preserve">
Sales Order #: 2289210584
RTD Screening Code: DOD
Reason for Rejection: Y9</t>
  </si>
  <si>
    <t>2YT19C61350767</t>
  </si>
  <si>
    <t xml:space="preserve">
Sales Order #: 2289358024
RTD Screening Code: DOD
Reason for Rejection: Y9</t>
  </si>
  <si>
    <t>2YT19C61350766</t>
  </si>
  <si>
    <t>FOR JEFFERSON COUNTY SHERIFF'S OFFICE MISSOURI. THESE ITEMS WOULD BE ISSUED TO DESIGNATED MARKSMEN WITH OUR DEPARTMENT SWAT TEAM. THESE ITEMS WOULD BE USED FOR LOW LIGHT, NO LIGHT OPERATIONS BY SWAT OFFICERS TO ENHANCE OPERATOR SAFETY AND MAKE THEM MORE EFFICIENT. WE CURRENTLY DO NOT HAVE ANY NIGHT VISION CAPABILITIES FOR OUR MARKSMEN. AGENCY IS AWARE OF CONDITION CODE. NOTIFICATION SENT TO RTD SITE.</t>
  </si>
  <si>
    <t xml:space="preserve">
Sales Order #: 2289686840
RTD Screening Code: DOD
Reason for Rejection: Y9</t>
  </si>
  <si>
    <t>2YTFXU61421358</t>
  </si>
  <si>
    <t>HCSO IS A PUBLIC SAFETY AGENCY. HCSO WILL USE THE REQUESTED WHEEL LOADER WITH A 3-IN-1 BUCKET FOR FACILITY MAINTENANCE, RANGE IMPROVEMENTS, AND DISASTER RESPONSE. THIS VERSATILE ATTACHMENT ALLOWS LOADING, GRADING, CLAMPING, AND LIGHT DOZING FOR DEBRIS REMOVAL AND MATERIAL HANDLING. IT IMPROVES EFFICIENCY, ENHANCES SAFETY, REDUCES RELIANCE ON CONTRACTORS, AND ENSURES HCSO CAN EFFECTIVELY SUPPORT CLEANUP, CONSTRUCTION, AND EMERGENCY OPERATIONS.</t>
  </si>
  <si>
    <t xml:space="preserve">
Sales Order #: 2289337577
RTD Screening Code: DOD
Reason for Rejection: Y9</t>
  </si>
  <si>
    <t>2YTFKX61350690</t>
  </si>
  <si>
    <t>VEHICLE WOULD BE REPURPOSED AND TURNED IN TO A PATROL CAR. OUR CURRENT FLEET DOES NOT HAVE ADEQUATE VEHICLES. CURRENT FLEET LIMITATIONS IMPACT 24-7 COVERAGE, RAPID DEPLOYMENT, AND RELIABILITY. THIS VEHICLE WILL SUPPORT PATROL, CRITICAL INCIDENT RESPONSE, AND MUTUAL AID OPERATIONS WHILE REDUCING BUDGET STRAIN BY UTILIZING FEDERAL EXCESS PROPERTY RESOURCES.</t>
  </si>
  <si>
    <t xml:space="preserve">
Sales Order #: 2289544622
RTD Screening Code: DOD
Reason for Rejection: Y9</t>
  </si>
  <si>
    <t>2YTCNB61351066</t>
  </si>
  <si>
    <t>OZARK COUNTY IS REQUESTING REQUISITION FOR THE SIM ROUND CONVERSION KIT. OZARK COUNTY STRIVES TO PROVIDE TRAINING TO OUR OFFICERS. IN YEARS PAST, WE HAVE RELIED ON GENEROSITY FROM OTHER AGENCIES TO LOAN OUT THEIR SIM KITS TO OUT OFFICERS TO TRAIN AND GET BACK TO THE OTHER AGENCY. THIS WOULD GIVE US THE OPPORTUNITY TO TRAIN MORE RATHER WHEN ITS CONVENIENT OF AGENCIES TO PROVIDE US WITH THEIR SIM KITS.</t>
  </si>
  <si>
    <t xml:space="preserve">
Sales Order #: 2289778878
RTD Screening Code: DOD
Reason for Rejection: Y9</t>
  </si>
  <si>
    <t>2YT19C61351602</t>
  </si>
  <si>
    <t>OZARK COUNTY SHERIFF'S OFFICE IS REQUESTING ONE MOTORIZED CART. THIS WOULD BE IDEAL FOR LARGE FESTIVALS, CHRISTMAS PARADES, AND FOR WHEN WE WERE REQUIRED TO WORK A LARGE AREA AND NEED TO MOVE FREELY IN THE AREA. EVEN THOUGH IT SAYS ITS IN OPERATABLE, I BELIEVE OZARK COUNTY SHERIFF'S OFFICE HAS THE RESOURCES TO GET IT FULLY FUNCTIONAL AND WORKING TO THE BEST OF ITS ABILITY.</t>
  </si>
  <si>
    <t xml:space="preserve">
Sales Order #: 2289544629
RTD Screening Code: DOD
Reason for Rejection: Y9</t>
  </si>
  <si>
    <t>2YT19C61421301</t>
  </si>
  <si>
    <t>HELLO, WE COULD USE THESE GLASSES FROM BOTH TRAINING EVENTS AND FIELD OPERATIONS. CURRENTLY OUR PERSONNEL JUST USE STANDARD SUN GLASSES IN THESE SITUATIONS. I DID CALL DLA NORFOLK TO CHECK THE CONDITION OF THESE ITEMS, I WAS ADVISED MOST WERE STILL SERVICEABLE. THANK YOU</t>
  </si>
  <si>
    <t xml:space="preserve">
Sales Order #: 2289356806
RTD Screening Code: DOD
Reason for Rejection: Y9</t>
  </si>
  <si>
    <t>2YTHGS61351048</t>
  </si>
  <si>
    <t>HELLO, WE COULD USE THESE FLASHLIGHTS FOR ALL OF OUR PATROL RIFLES IN BOTH THE PATROL DIVISION AND THE SPECIAL RESPONSE TEAM. I DID CONTACT DLA MEADE AND THEY ADVISED THE LIGHTS APPEARED TO BE INTACT AND USABLE, WITH SOME WORK. THANK YOU</t>
  </si>
  <si>
    <t>2YTHGS61421478</t>
  </si>
  <si>
    <t>HCSO IS A LAW ENFORCEMENT AGENCY. HCSO WILL USE THE REQUESTED SEMI TRUCK TRACTOR TO REPLACE AN UNRELIABLE OLDER UNIT USED TO HAUL EMERGENCY RESPONSE TRAILERS AND EQUIPMENT. THIS VEHICLE SUPPORTS ROADWAY CLEARANCE, DEBRIS REMOVAL, AND TRANSPORT OF FLOOD RESPONSE ASSETS. REPLACING THE AGING UNIT IMPROVES RELIABILITY, REDUCES DOWNTIME, AND ENSURES HCSO CAN EFFECTIVELY RESPOND TO DISASTERS AND MAINTAIN CRITICAL OPERATIONS.</t>
  </si>
  <si>
    <t xml:space="preserve">
Sales Order #: 2288135746
RTD Screening Code: DOD
Reason for Rejection: YG</t>
  </si>
  <si>
    <t>2YTFKX61149499</t>
  </si>
  <si>
    <t>OZARK COUNTY IS REQUESTING THIS UNMANNED VEHICLE. THIS ASSE WOULD BE HUGELY DURING DANGEROUS INCIDENTS WHERE THERE IS A CHANCE OF LOSS OF LIFE.</t>
  </si>
  <si>
    <t xml:space="preserve">
Sales Order #: 2288061386
RTD Screening Code: DOD
Reason for Rejection: YG</t>
  </si>
  <si>
    <t>2YT19C61079245</t>
  </si>
  <si>
    <t>OZARK COUNTY SHERIFF'S OFFICE IS REQUESTING THE HULL HELMET DISPLAYED ON LESO. CURRENTLY OZARK COUNTY SHERIFF'S OFFICE HAD A C.E.R.T TEAM, WITH ONE MEMBER WITH NO HELMET. EVEN AS A HULL, THE PARTS COULD BE FOUND AFTER MARKET TO COMPLETE THE HELMET AND PROTECT THE NEWEST OPERATOR ON THE C.E.R.T. AS OF NOW, HE IS LIMITED TO HIS RESPONSE TO MINIMIZE PROBABILITY OF PUTTING HIM HIGH RISK CATEGORY.</t>
  </si>
  <si>
    <t>CYCLE: This RTD request has a FEPP cycle status, and the requesting agency needs to be aware of this. This means that this property is at an overseas site, and the customer would be incurring costs for overseas shipping</t>
  </si>
  <si>
    <t>HELMET,SNIPER</t>
  </si>
  <si>
    <t>2YT19C61290985</t>
  </si>
  <si>
    <t>OZARK COUNTY SHERIFF'S OFFICE IS REQUESTING THE HULL HELMET DISPLAYED ON LESO. CURRENTLY OZARK COUNTY SHERIFF'S OFFICE HAD A C.E.R.T TEAM, WITH ONE MEMBER WITH NO HELMET. EVEN AS A HULL, THE PARTS COULD BE FOUND AFTER MARKET TO COMPLETE THE HELMET AND PROTECT THE NEWEST OPERATOR ON THE C.E.R.T. AS OF NOW, HE IS LIMITED TO HIS RESPONSE TO MINIMIZE PROBABILITY OF PUTTING HIM HIGH RISK CATERGORY.</t>
  </si>
  <si>
    <t>2YT19C61290984</t>
  </si>
  <si>
    <t>DOUGLAS COUNTY SHERIFF'S OFFICE WILL USE THESE MOUNTS FOR NIGHT VISION NOD  DURING NIGHT PATROLS, SEARCH AND RESCUE MISSIONS, AND NATURAL DISASTERS. THESE ARE VITAL FOR KEEPING CITIZENS, THE COMMUNITY, AND DEPUTIES SAFE IN LOW-LIGHT CONDITIONS.</t>
  </si>
  <si>
    <t>2YTDEZ61281078</t>
  </si>
  <si>
    <t>DOUGLAS COUNTY SHERIFF OFFICE (2YTDEZ)</t>
  </si>
  <si>
    <t>2YT15P61421408</t>
  </si>
  <si>
    <t>DOUGLAS COUNTY SHERIFF'S OFFICE WILL USE INFRARED IR TECHNOLOGY DURING NIGHT PATROLS, SEARCH AND RESCUE MISSIONS, AND NATURAL DISASTERS. IR IS VITAL FOR KEEPING CITIZENS, THE COMMUNITY, AND DEPUTIES SAFE IN LOW-LIGHT CONDITIONS.</t>
  </si>
  <si>
    <t>VIEWER,INFRARED</t>
  </si>
  <si>
    <t>2YTDEZ61281077</t>
  </si>
  <si>
    <t xml:space="preserve">
Sales Order #: 2288702229
RTD Screening Code: DOD
Reason for Rejection: Y9</t>
  </si>
  <si>
    <t>2YT19C61280168</t>
  </si>
  <si>
    <t>THE OREGON COUNTY SHERIFF'S OFFICE WILL USE THE TRUCK TO TRANSPORT SUPPLIES AND EQUIPMENT FOR USE IN DAY TO DAY AND HIGH RISK OPERATIONS IN FURTHERANCE OF THE SHERIFF'S OFFICE MISSION.</t>
  </si>
  <si>
    <t xml:space="preserve">
Sales Order #: 2289338552
RTD Screening Code: DOD
Reason for Rejection: Y9</t>
  </si>
  <si>
    <t>2YT15P61280563</t>
  </si>
  <si>
    <t>HCSO IS A PUBLIC SAFETY AGENCY. HCSO WILL USE THE REQUESTED EXCAVATOR WITH GRAPPLE AND MULCHER FOR STORM DEBRIS CLEANUP AND FLOOD REPAIR RESPONSE. THIS EQUIPMENT ALLOWS REMOVAL OF LARGE DEBRIS, VEGETATION CLEARING, AND RESTORATION OF ACCESS ROUTES. IT IMPROVES EFFICIENCY, ENHANCES SAFETY, REDUCES RELIANCE ON CONTRACTORS, AND ENSURES HCSO CAN QUICKLY SUPPORT RECOVERY EFFORTS AND MAINTAIN CRITICAL INFRASTRUCTURE AFTER DISASTERS.</t>
  </si>
  <si>
    <t xml:space="preserve">
Sales Order #: 2289210610
RTD Screening Code: DOD
Reason for Rejection: Y9</t>
  </si>
  <si>
    <t>2YTFKX61350698</t>
  </si>
  <si>
    <t>HCSO IS A PUBLIC SAFETY AGENCY. HCSO WILL USE THE REQUESTED TRACK LOADER FOR FLOOD CLEANUP, DEBRIS REMOVAL, AND TRAINING FACILITY BUILD-OUT. ITS TRACKED DESIGN PROVIDES SUPERIOR TRACTION IN MUD AND UNSTABLE TERRAIN, ALLOWING SAFE CLEARING OF DEBRIS, GRADING SURFACES, BUILDING BERMS, AND RESTORING ACCESS ROUTES. THIS EQUIPMENT INCREASES EFFICIENCY, REDUCES RELIANCE ON CONTRACTORS, ENHANCES SAFETY, AND ENSURES HCSO CAN SUPPORT DISASTER RECOVERY AND MAINTAIN TRAINING FACILITIES.</t>
  </si>
  <si>
    <t xml:space="preserve">
Sales Order #: 2288796065
RTD Screening Code: DOD
Reason for Rejection: Y9</t>
  </si>
  <si>
    <t>2YTFKX61280153</t>
  </si>
  <si>
    <t>HCSO IS A PUBLIC SAFETY AGENCY. HCSO WILL USE THE REQUESTED SHIPPING CONTAINER TO SUPPORT EMERGENCY MANAGEMENT STORAGE OF RED CROSS COTS AND DISASTER RESPONSE SUPPLIES. THIS UNIT PROVIDES SECURE, WEATHER-RESISTANT STORAGE, PROTECTS CRITICAL RESOURCES, AND ENSURES RAPID DEPLOYMENT DURING EMERGENCIES. PROPER STORAGE IMPROVES ORGANIZATION, PRESERVES EQUIPMENT, AND  SUPPORTS SHELTERING AND DISASTER RESPONSE OPERATIONS.</t>
  </si>
  <si>
    <t xml:space="preserve">
Sales Order #: 2289337556
RTD Screening Code: DOD
Reason for Rejection: Y9</t>
  </si>
  <si>
    <t>2YTFKX61350680</t>
  </si>
  <si>
    <t>HCSO IS A LAW ENFORCEMENT AGENCY. HCSO WILL USE THE REQUESTED DUMP TRUCK TO SUPPORT RANGE IMPROVEMENTS, FACILITY MAINTENANCE, AND FLOOD RESPONSE OPERATIONS. THIS VEHICLE WILL TRANSPORT DIRT, GRAVEL, AND DEBRIS FOR BERM CONSTRUCTION, ROADWAY REPAIR, AND CLEANUP EFFORTS. A DUMP TRUCK INCREASES EFFICIENCY, REDUCES RELIANCE ON CONTRACTORS, AND ENSURES HCSO CAN EFFECTIVELY MAINTAIN FACILITIES AND RESPOND TO DISASTERS.</t>
  </si>
  <si>
    <t xml:space="preserve">
Sales Order #: 2288135750
RTD Screening Code: DOD
Reason for Rejection: YH</t>
  </si>
  <si>
    <t>2YTFKX61219497</t>
  </si>
  <si>
    <t xml:space="preserve">
Sales Order #: 2289188639
RTD Screening Code: DOD
Reason for Rejection: Y9</t>
  </si>
  <si>
    <t>2YT15P61280562</t>
  </si>
  <si>
    <t xml:space="preserve">
Sales Order #: 2289117945
RTD Screening Code: DOD
Reason for Rejection: Y9</t>
  </si>
  <si>
    <t>2YT15P61280561</t>
  </si>
  <si>
    <t xml:space="preserve">
Sales Order #: 2289117968
RTD Screening Code: DOD
Reason for Rejection: Y9</t>
  </si>
  <si>
    <t>2YT15P61280558</t>
  </si>
  <si>
    <t xml:space="preserve">
Sales Order #: 2289117955
RTD Screening Code: DOD
Reason for Rejection: Y9</t>
  </si>
  <si>
    <t>2YT15P61280557</t>
  </si>
  <si>
    <t xml:space="preserve">
Sales Order #: 2289188640
RTD Screening Code: DOD
Reason for Rejection: Y9</t>
  </si>
  <si>
    <t>2YT15P61280556</t>
  </si>
  <si>
    <t xml:space="preserve">
Sales Order #: 2288917208
RTD Screening Code: DOD
Reason for Rejection: Y9</t>
  </si>
  <si>
    <t>2YT15P61280527</t>
  </si>
  <si>
    <t xml:space="preserve">
Sales Order #: 2288971856
RTD Screening Code: DOD
Reason for Rejection: Y9</t>
  </si>
  <si>
    <t>2YT15P61280525</t>
  </si>
  <si>
    <t>THE WRIGHT COUNTY SHERIFF'S OFFICE SEEKS THE FIRSTLOOK 110 WITH UPOINT TO ENHANCE OFFICER SAFETY BY ALLOWING REMOTE SITUATIONAL AWARENESS IN HIGH RISK ENVIRONMENTS. THIS TOOL HELPS PROTECT DEPUTIES AND THE PUBLIC BY REDUCING DIRECT EXPOSURE TO THREATS. OBTAINING IT THROUGH LESO ALLEVIATES FINANCIAL STRAIN, AS OUR AGENCY CANNOT OTHERWISE AFFORD THIS LIFE SAVING EQUIPMENT.</t>
  </si>
  <si>
    <t>2YTNXN61210627</t>
  </si>
  <si>
    <t>THE OREGON COUNTY SHERIFF'S OFFICE WILL USE THE TRUCK TO PERFORM MAINTENANCE FUNCTIONS AND AS A TRAINING PLATFORM TO PREPARE FOR DAY TO DAY AND HIGH RISK OPERATIONS IN FURTHERANCE OF THE SHERIFF'S OFFICE MISSION.</t>
  </si>
  <si>
    <t>2YT15P61210569</t>
  </si>
  <si>
    <t>THE OREGON COUNTY SHERIFF'S OFFICE WILL USE THE PLANT TO PRODUCE GRAVEL TO CONSTRUCT AND MAINTAIN PARKING, STAGING,  AND FIREARMS TRAINING AREAS TO FURTHER THE MISSION OF THE SHERIFF'S OFFICE AND PROMOTE CITIZEN SAFETY.</t>
  </si>
  <si>
    <t xml:space="preserve">
Sales Order #: 2287123715
RTD Screening Code: DOD
Reason for Rejection: YG</t>
  </si>
  <si>
    <t>CRUSHING,SCREENING AND WASHING PLANT</t>
  </si>
  <si>
    <t>2YT15P61078397</t>
  </si>
  <si>
    <t>HCSO IS A LAW ENFORCEMENT AGENCY. HCSO WILL USE THE REQUESTED CLAMSHELL BUCKET AND FORKS FOR A LOADER TO SUPPORT FACILITY MAINTENANCE, RANGE WORK, AND DISASTER RESPONSE. THESE ATTACHMENTS ALLOW EFFICIENT HANDLING OF DEBRIS, BRUSH, PALLETS, AND BULK MATERIALS. THEY IMPROVE VERSATILITY, SPEED UP CLEANUP AND CONSTRUCTION TASKS, AND ENHANCE HCSOS ABILITY TO CLEAR ROADWAYS AND SUPPORT RECOVERY EFFORTS DURING EMERGENCIES.</t>
  </si>
  <si>
    <t xml:space="preserve">
Sales Order #: 2287543585
RTD Screening Code: RTD2
Reason for Rejection: YG</t>
  </si>
  <si>
    <t>2YTFKX61008719</t>
  </si>
  <si>
    <t>HCSO IS A LAW ENFORCEMENT AGENCY. HCSO WILL USE THE REQUESTED INVESTIGATOR VEHICLE TO SUPPORT INVESTIGATIVE OPERATIONS THROUGHOUT HOWELL COUNTY. INVESTIGATORS RESPOND TO CRIME SCENES, CONDUCT FOLLOW-UP INVESTIGATIONS, TRANSPORT EVIDENCE, AND COORDINATE WITH PARTNER AGENCIES. A RELIABLE VEHICLE IMPROVES MOBILITY, ENHANCES RESPONSE CAPABILITY, AND ENSURES INVESTIGATORS CAN EFFECTIVELY CARRY OUT DUTIES AND SERVE VICTIMS ACROSS THE COUNTY.</t>
  </si>
  <si>
    <t xml:space="preserve">
Sales Order #: 2286815817
RTD Screening Code: DOD
Reason for Rejection: YG</t>
  </si>
  <si>
    <t>2YTFKX61007908</t>
  </si>
  <si>
    <t>OZARK COUNTY SHERIFF'S OFFICE IS REQUESTING THE ACQUISITION OF A MACK DUMP TRUCK. TO ENHANCE OPERATIONAL READINESS PUBLIC SAFETY CAPABILITIES, AND EMERGENCY RESPONSE EFFECTIVENESS ACROSS THE COUNTY. THIS WOULD STRENGTHEN OUR ABILITIES TO RESPOND TO NATURAL DISASTERS SUCH AS TORNADOS, FLOODS AND EARTHQUAKES. THIS WOULD GIVE A LARGER ROLE TO PLAY DURING LARGE DEBRIS IN THE ROAD DOWNED TREES AND IMPASSABLE ROADWAYS,</t>
  </si>
  <si>
    <t xml:space="preserve">
Sales Order #: 2288310294
RTD Screening Code: DOD
Reason for Rejection: Y9</t>
  </si>
  <si>
    <t>2YT19C61219749</t>
  </si>
  <si>
    <t xml:space="preserve">
Sales Order #: 2288393783
RTD Screening Code: DOD
Reason for Rejection: Y9</t>
  </si>
  <si>
    <t>2YT19C61219748</t>
  </si>
  <si>
    <t>THE OREGON COUNTY SHERIFF'S OFFICE WILL USE THE EQUIPMENT FOR CONSTRUCTION, REPAIR, AND MAINTENANCE OF SHERIFF'S OFFICE FACILITIES AND FOR DISASTER RESPONSE TO FURTHER THE MISSION OF THE SHERIFF'S OFFICE.</t>
  </si>
  <si>
    <t xml:space="preserve">
Sales Order #: 2288310296
RTD Screening Code: DOD
Reason for Rejection: Y9</t>
  </si>
  <si>
    <t>2YT15P61219637</t>
  </si>
  <si>
    <t>THE OREGON COUNTY SHERIFF'S OFFICE WILL USE THE VEHICLE TO TRANSPORT PERSONNEL, SUPPLIES, EQUIPMENT, AND DETAINEES DURING DAY TO DAY AND HIGH RISK OPERATIONS TO FURTHER THE MISSION OF THE SHERIFF'S OFFICE.</t>
  </si>
  <si>
    <t xml:space="preserve">
Sales Order #: 2288310297
RTD Screening Code: DOD
Reason for Rejection: Y9</t>
  </si>
  <si>
    <t>2YT15P61219580</t>
  </si>
  <si>
    <t>HCSO IS A LAW ENFORCEMENT AGENCY. HCSO WILL USE THE REQUESTED PICKUP TRUCK TO SUPPORT PATROL, TRAINING, AND DISASTER RESPONSE OPERATIONS. THIS VEHICLE WILL TRANSPORT PERSONNEL, EQUIPMENT, AND SUPPLIES ACROSS RURAL TERRAIN AND DURING EMERGENCIES. A RELIABLE PICKUP IMPROVES MOBILITY, ENHANCES RESPONSE CAPABILITY, AND ENSURES HCSO CAN EFFECTIVELY SERVE THE COMMUNITY AND RESPOND TO A WIDE RANGE OF OPERATIONAL NEEDS.</t>
  </si>
  <si>
    <t xml:space="preserve">
Sales Order #: 2288235648
RTD Screening Code: DOD
Reason for Rejection: Y9</t>
  </si>
  <si>
    <t>2YTFKX61219311</t>
  </si>
  <si>
    <t>HCSO IS A LAW ENFORCEMENT AGENCY. HCSO WILL USE THE REQUESTED HEAVY-DUTY PICKUP TRUCK FOR FLOOD AND DISASTER RESPONSE OPERATIONS. THIS VEHICLE WILL TRANSPORT PERSONNEL, RESCUE EQUIPMENT, AND SUPPLIES THROUGH FLOODED OR DAMAGED AREAS. INCREASED TOWING AND PAYLOAD CAPACITY ALLOW SUPPORT OF RESPONSE TRAILERS AND RECOVERY EFFORTS. A HEAVY-DUTY TRUCK IMPROVES MOBILITY, ENHANCES RESPONSE CAPABILITY, AND ENSURES HCSO CAN OPERATE EFFECTIVELY DURING EMERGENCIES.</t>
  </si>
  <si>
    <t xml:space="preserve">
Sales Order #: 2288135748
RTD Screening Code: DOD
Reason for Rejection: Y9</t>
  </si>
  <si>
    <t>2YTFKX61219300</t>
  </si>
  <si>
    <t xml:space="preserve">
Sales Order #: 2288135741
RTD Screening Code: DOD
Reason for Rejection: Y9</t>
  </si>
  <si>
    <t>2YTFKX61219296</t>
  </si>
  <si>
    <t>VEHICLE WILL BE ADDED TO EXISTING FLEET OF PATROL CARS. VEHICLE WILL BE REFURBISHED AND UPFITTED TO ALLOW US TIME TO REBUILD THE FLEET.</t>
  </si>
  <si>
    <t xml:space="preserve">
Sales Order #: 2288152835
RTD Screening Code: DOD
Reason for Rejection: Y9</t>
  </si>
  <si>
    <t>2YTCNB61219400</t>
  </si>
  <si>
    <t>THESE VEHICLES WOULD BE CLEANED AND STRAIGHTENED UP AND ADDED TO OUR EXISTING FLEET AS PATROL CARS. THIS WOULD SAVE MY CITY A TREMENDOUS AMOUNT OF MONEY AT LEAST INITIALLY. WHILE BUILDING A FLEET PROGRAM.</t>
  </si>
  <si>
    <t xml:space="preserve">
Sales Order #: 2288235656
RTD Screening Code: DOD
Reason for Rejection: Y9</t>
  </si>
  <si>
    <t>2YTCNB61219398</t>
  </si>
  <si>
    <t>HCSO IS A PUBLIC SAFETY AGENCY. HCSO WILL USE THE REQUESTED MRZR SIDE-BY-SIDE UTILITY VEHICLE TO ACCESS REMOTE AND OFF-ROAD AREAS DURING PATROL, SEARCH AND RESCUE, AND DISASTER RESPONSE. THIS LIGHTWEIGHT, HIGHLY MOBILE VEHICLE ALLOWS RAPID MOVEMENT OVER ROUGH TERRAIN AND TRANSPORT OF PERSONNEL AND EQUIPMENT. IT IMPROVES RESPONSE TIMES, ENHANCES MOBILITY, AND ENSURES HCSO CAN EFFECTIVELY OPERATE IN AREAS INACCESSIBLE TO STANDARD VEHICLES.</t>
  </si>
  <si>
    <t xml:space="preserve">
Sales Order #: 2288443098
RTD Screening Code: DOD
Reason for Rejection: Y9</t>
  </si>
  <si>
    <t>2YTFKX61280159</t>
  </si>
  <si>
    <t>HCSO IS A PUBLIC SAFETY AGENCY. HCSO WILL USE THE REQUESTED BACKHOE TO SUPPORT FACILITY MAINTENANCE, RANGE IMPROVEMENTS, AND DISASTER RESPONSE OPERATIONS. THIS EQUIPMENT WILL ALLOW EXCAVATION, TRENCHING, DRAINAGE REPAIR, AND DEBRIS REMOVAL. CURRENTLY, HCSO DOES NOT HAVE A BACKHOE, LIMITING CAPABILITY AND INCREASING RELIANCE ON CONTRACTORS. ACQUIRING THIS UNIT IMPROVES EFFICIENCY, ENHANCES SAFETY, AND ENSURES HCSO CAN RESPOND QUICKLY TO OPERATIONAL NEEDS AND EMERGENCIES.</t>
  </si>
  <si>
    <t xml:space="preserve">
Sales Order #: 2288617695
RTD Screening Code: DOD
Reason for Rejection: Y9</t>
  </si>
  <si>
    <t>2YTFKX61280155</t>
  </si>
  <si>
    <t>FOR EXCLUSIVE USE BY FBI SWAT TEAM COMPOSED OF SWORN LAW ENFORCEMENT AGENTS. FOR USE IN HIGH-RISK ARREST AND SEARCH WARRANT SERVICE, LOW LIGHT OPERATIONS, RURAL OPERATIONS AND MANHUNTS. REQUESTER HAS CONTACTED THE SITE TO CONFIRM THE CONDITION OF OPTICS.</t>
  </si>
  <si>
    <t>2YTQQS61280348</t>
  </si>
  <si>
    <t>THE OREGON COUNTY SHERIFF'S OFFICE WILL USE THE VEHICLE DURING HIGH RISK OPERATIONS TO TRANSPORT PERSONNEL, EQUIPMENT, AND SUPPLIES IN FURTHERANCE OF THE SHERIFF'S OFFICE MISSION.</t>
  </si>
  <si>
    <t>PROHIBITED:  There is a discrepancy with this item.  Property was turned in by a LESO customer with information that armor was installed.  Data plate states this is for Training Use Only, so LESO will not be re-issuing this property.</t>
  </si>
  <si>
    <t>UP ARMORED NTVS, DEMIL C</t>
  </si>
  <si>
    <t>DSNTVUARM</t>
  </si>
  <si>
    <t>2YT15P61280533</t>
  </si>
  <si>
    <t>THE NORMANDY POLICE DEPARTMENT WILL UTILIZE THIS TRAILER FOR POLICE OFFICERS TO OUTFIT AS A COMMAND CENTER FOR RESPONSES TO CRITICAL INCIDENTS, SUCH AS CIVIL UNREST, EXTENDED ENGAGEMENTS, AND BARRICADED SUBJECTS.</t>
  </si>
  <si>
    <t xml:space="preserve">
Sales Order #: 2282428259
RTD Screening Code: DOD
Reason for Rejection: YH</t>
  </si>
  <si>
    <t>2YT0M460371917</t>
  </si>
  <si>
    <t>HCSO IS A LAW ENFORCEMENT AGENCY. HCSO WILL USE THE REQUESTED STIHL CHAINSAWS FOR DEBRIS REMOVAL, ROADWAY CLEARANCE, AND PROPERTY MAINTENANCE DURING ROUTINE OPERATIONS AND DISASTER RESPONSE. THESE TOOLS ALLOW DEPUTIES TO QUICKLY REMOVE FALLEN TREES, OPEN ACCESS ROUTES, AND SUPPORT RECOVERY EFFORTS AFTER STORMS. CHAINSAWS IMPROVE EFFICIENCY, ENHANCE SAFETY, AND ENSURE HCSO CAN RESPOND EFFECTIVELY TO EMERGENCIES.</t>
  </si>
  <si>
    <t xml:space="preserve">
Sales Order #: 2288310295
RTD Screening Code: DOD
Reason for Rejection: Y9</t>
  </si>
  <si>
    <t>2YTFKX61219747</t>
  </si>
  <si>
    <t>HCSO IS A PUBLIC SAFETY AGENCY. HCSO WILL USE THE REQUESTED FIRE BRUSH TRUCK AT THE TRAINING FACILITY TO REPLACE AN INOPERABLE UNIT. LIVE-FIRE TRAINING CAN GENERATE GRASS OR BRUSH FIRES, ESPECIALLY IN DRY CONDITIONS, REQUIRING IMMEDIATE SUPPRESSION. A RELIABLE BRUSH TRUCK PROVIDES RAPID ON-SITE RESPONSE, REDUCES FIRE SPREAD, ENHANCES SAFETY, AND ELIMINATES RELIANCE ON LOCAL VOLUNTEER FIRE DEPARTMENTS DURING TRAINING OPERATIONS.</t>
  </si>
  <si>
    <t>Cancelled - Fire equipment has been requisitioned by several fire departments prior to this LESO req being submitted.</t>
  </si>
  <si>
    <t>2YTFKX61280154</t>
  </si>
  <si>
    <t>2YT19C61280164</t>
  </si>
  <si>
    <t>REQUESTING REQUISITION OF THE FOUR WHEEL DRIVE TAHOE. THIS VEHICLE COULD BE USED AS ALTERNATE PATROL VEHICLE, IT COULD ALSO BE USED FOR OFFICERS TO PATROL AREA AND BE USED TO MAKE CONTROL BUYS.</t>
  </si>
  <si>
    <t xml:space="preserve">
Sales Order #: 2288235647
RTD Screening Code: DOD
Reason for Rejection: Y9</t>
  </si>
  <si>
    <t>2YT19C61219375</t>
  </si>
  <si>
    <t>HCSO IS A LAW ENFORCEMENT AGENCY. HCSO WILL USE THE REQUESTED HEAVY-DUTY SUV FOR FLOOD AND DISASTER RESPONSE OPERATIONS. THIS VEHICLE WILL TRANSPORT PERSONNEL, RESCUE EQUIPMENT, AND SUPPLIES THROUGH FLOODED OR DAMAGED AREAS. INCREASED TOWING AND PAYLOAD CAPACITY ALLOW SUPPORT OF RESPONSE TRAILERS AND RECOVERY EFFORTS. A HEAVY-DUTY SUV IMPROVES MOBILITY, ENHANCES RESPONSE CAPABILITY, AND ENSURES HCSO CAN OPERATE EFFECTIVELY DURING EMERGENCIES.</t>
  </si>
  <si>
    <t xml:space="preserve">
Sales Order #: 2288135745
RTD Screening Code: DOD
Reason for Rejection: Y9</t>
  </si>
  <si>
    <t>2YTFKX61219307</t>
  </si>
  <si>
    <t>THE DOUGLAS COUNTY SHERIFF'S OFFICE IS A LAW ENFORCEMENT AGENCY. HANDHELDS ARE ESSENTIAL FOR PATROLS, SEARCH AND RESCUE OPERATIONS, SUSPECT APPREHENSION, AND DISASTER RESPONSE, ENSURING DEPUTIES CAN COMMUNICATE WITH EACH OTHER DURING CRITICAL TIMES.</t>
  </si>
  <si>
    <t>RECEIVER-TRANSMITTER,RADIO</t>
  </si>
  <si>
    <t>2YTDEZ61280394</t>
  </si>
  <si>
    <t xml:space="preserve">THE DOUGLAS COUNTY SHERIFF'S OFFICE IS A LAW ENFORCEMENT AGENCY. BREACHING TOOLS ARE ESSENTIAL FOR PATROLS, SEARCH AND RESCUE OPERATIONS, SUSPECT APPREHENSION, AND DISASTER RESPONSE, ENSURING DEPUTIES CAN SAFELY AND TIMELY ENTER STRUCTURES.
</t>
  </si>
  <si>
    <t xml:space="preserve">
Sales Order #: 2288524711
RTD Screening Code: DOD
Reason for Rejection: Y9</t>
  </si>
  <si>
    <t>2YTDEZ61280379</t>
  </si>
  <si>
    <t>OZARK COUNTY IS REQUESTING REQUISITION OF THE ROAD GRADER. THIS ITEM WOULD BE DEPLOYED DURING NATURAL DISASTERS DURING IMPASSABLE ROADWAYS AND DEBRIS BLOCKING ACCESS TO VICTIMS, PATIENTS, AND RECOVERY. IN YEARS PAST, OZARK COUNTY HAS HAD LIMITED RESOURCES OR TOOLS DURING NATURAL DISASTERS SUCH AS THE TORNADO OF 2025. DURING THIS DISASTER, ALL ASSETS WERE DEPLOYED, AND STILL DIDN'T HAVE THE CORRECT TOOLS TO ACCESS VICTIMS. GRADERS WERE USED TO MOVE DEBRIS TO MAKE WAY FOR AMBUALNCES.</t>
  </si>
  <si>
    <t>TRAILER,TANK</t>
  </si>
  <si>
    <t>2YT19C61280075</t>
  </si>
  <si>
    <t>2YTFKX61280158</t>
  </si>
  <si>
    <t xml:space="preserve">OZARK COUNTY IS REQUESTING REQUISITION OF THE BACKHOE TRACTOR FOR USE AND DEPLOYMENT DURING NATURAL DISASTERS AND FOR CREATING MAKESHIFT ROAD TO ACCESS VICTIMS, PATIENTS, AND FOR RECOVERY. IN 2025 OZARK COUNTY RECEIVED THE DEADLIEST TORNADO TO DATE. FIRST RESPONDERS WERE HELPLESS AND COULDN'T RESPOND TO VICTIMS FROM THE DEBRIS IN THE ROADWAY DOWN ELECTRIC LINES.
</t>
  </si>
  <si>
    <t>2YT19C61280045</t>
  </si>
  <si>
    <t>OZARK COUNTY SHERIFF'S OFFICE IS REQUESTING THE SMALL ALUMINUM CRAFT TO BE USED ON OUR RIVER AND LAKES FOR TIMES OF EMERGENCY SITUATIONS. IN YEARS PAST, OZARK COUNTY HAS HAD TO REQUEST ASSISTANCE FROM OTHER AGENCIES. IN OUR COUNTY WE HAVE TWO RIVERS AND TWO LAKES IN OUR JURISDICTION. WE HAVE HAD TO DEPLOY SMALL CRAFTS AND REQUEST ASSISTANCE TO LOCATE AND RECOVER LOST BOATERS. THIS WOULD GIVE US THE ABILITY TO DEPLOY OUR OWN SMALL CRAFT TO PATROL AND TO REPORT TO  SITUATIONS ON THE WATER.</t>
  </si>
  <si>
    <t xml:space="preserve">
Sales Order #: 2288020880
RTD Screening Code: DOD
Reason for Rejection: Y9</t>
  </si>
  <si>
    <t>2YT19C61219387</t>
  </si>
  <si>
    <t xml:space="preserve">
Sales Order #: 2288020870
RTD Screening Code: DOD
Reason for Rejection: Y9</t>
  </si>
  <si>
    <t>2YT19C61219386</t>
  </si>
  <si>
    <t>OZARK COUNTY SHERIFF'S OFFICE IS REQUESTING MOBILE SCOOTER FOR EVENTS OR FOR CERTAIN EMERGENCY EVENTS. OZARK COUNTY HAS CERTAIN FESTIVAL EVENTS WHERE LARGE PARTS OF THE CITY STREETS ARE BLOCKED OFF FROM NORMAL TRAFFIC. THIS WOULD ALLOW US TO RESUME PATROL OF THOSE CITY AREAS WHILE FESTIVAL ACTIVITIES RESUME. IT WOULD GIVE US THE ABILITY TO RESPOND QUICKLY, AND TO TRANSPORT PATIENT OR SUSPECT WITH GREAT EASE.</t>
  </si>
  <si>
    <t xml:space="preserve">
Sales Order #: 2287843736
RTD Screening Code: DOD
Reason for Rejection: Y9</t>
  </si>
  <si>
    <t>2YT19C61148943</t>
  </si>
  <si>
    <t>2YTQQS61149708</t>
  </si>
  <si>
    <t>2YTQQS61219688</t>
  </si>
  <si>
    <t>THE WRIGHT COUNTY, MISSOURI SHERIFF'S OFFICE REQUESTS 8 IR LASER-ILLUMINATORS TO ENHANCE OFFICER SAFETY AND OPERATIONAL EFFECTIVENESS DURING LOW LIGHT AND NIGHT TIME OPERATIONS. THESE DEVICES SUPPORT COORDINATED TEAM MOVEMENTS AND TARGET IDENTIFICATION WHILE REDUCING RISK TO DEPUTIES AND THE PUBLIC. THEY ARE CRITICAL FOR RURAL PATROL, SEARCH AND RESCUE AND HIGH RISK INCIDENTS WHERE VISIBILITY IS LIMITED.</t>
  </si>
  <si>
    <t xml:space="preserve">
Sales Order #: 2288020882
RTD Screening Code: DOD
Reason for Rejection: Y9</t>
  </si>
  <si>
    <t>2YTNXN61219463</t>
  </si>
  <si>
    <t>OZARK COUNTY IS REQUESTING REQUISITION OF THE FRONT END LOADER AND BACKHOE FOR DEPLOYMENT DURING NATURAL DISASTERS AND OTHER RELATED EMERGENCIES. OZARK COUNTY IS A VERY RURAL COUNTY WITH SEVERAL MILES OF DIRT COUNTY ROAD. IN INCIDENTS IN THE PAST SUCH AS THE TORNADO OF 2025, FIRST RESPONDERS WERE UNABLE TO REACH PATENTS AND VICTIMS OF THE STORM AND HAD TO WAIT FOR ROAD CREWS TO REACH AREAS TO MOVE DEBRIS AND TO CREATE MAKESHIFT ROADS TO REACH PATENTS AND VICTIMS.</t>
  </si>
  <si>
    <t xml:space="preserve">
Sales Order #: 2288152850
RTD Screening Code: DOD
Reason for Rejection: Y9</t>
  </si>
  <si>
    <t>2YT19C61219372</t>
  </si>
  <si>
    <t>HCSO IS A LAW ENFORCEMENT AGENCY. HCSO WILL USE THE REQUESTED BINOCULARS TO ENHANCE OBSERVATION DURING PATROL, SEARCH AND RESCUE, AND DISASTER RESPONSE OPERATIONS. BINOCULARS ALLOW DEPUTIES TO SAFELY ASSESS SITUATIONS FROM A DISTANCE, LOCATE MISSING PERSONS, AND IDENTIFY HAZARDS IN RURAL TERRAIN. THIS EQUIPMENT IMPROVES SITUATIONAL AWARENESS, INCREASES SAFETY, AND SUPPORTS EFFECTIVE DECISION-MAKING IN THE FIELD.</t>
  </si>
  <si>
    <t>2YTFKX61219746</t>
  </si>
  <si>
    <t>2YTFKX61219745</t>
  </si>
  <si>
    <t>HCSO IS A LAW ENFORCEMENT AGENCY. HCSO WILL USE THE REQUESTED SUV TO SUPPORT PATROL, TRAINING, AND DISASTER RESPONSE OPERATIONS. THIS VEHICLE WILL TRANSPORT PERSONNEL, EQUIPMENT, AND SUPPLIES ACROSS RURAL TERRAIN AND DURING EMERGENCIES. A RELIABLE PICKUP IMPROVES MOBILITY, ENHANCES RESPONSE CAPABILITY, AND ENSURES HCSO CAN EFFECTIVELY SERVE THE COMMUNITY AND RESPOND TO A WIDE RANGE OF OPERATIONAL NEEDS.</t>
  </si>
  <si>
    <t xml:space="preserve">
Sales Order #: 2288135743
RTD Screening Code: DOD
Reason for Rejection: Y9</t>
  </si>
  <si>
    <t>2YTFKX61219284</t>
  </si>
  <si>
    <t>OZARK COUNTY IS REQUESTING A JOHN DEERE TRACTOR FOR THE USE OF EMERGENCY SERVICES. THIS TRACTOR WOULD BE DEPLOYED IN TIMES OF NATURAL DISASTERS. THIS WOULD BE IDEAL IN TIMES OF MOVING DEBRIS OFF THE ROADWAY AND CLEARING ROADWAYS HIT BY NATURAL DISASTERS. IT COULD BE USED TO MAKE SHIFT ROADWAYS WHEN REGULAR ROADWAYS ARE IMPASSABLE. IT COULD BE STORED AND SECURED ON COUNTY PROPERTY AND DEPLOYED IN TIMES OF A NATURAL DISASTERS.</t>
  </si>
  <si>
    <t xml:space="preserve">
Sales Order #: 2287123705
RTD Screening Code: DOD
Reason for Rejection: Y9</t>
  </si>
  <si>
    <t>2YT19C61078333</t>
  </si>
  <si>
    <t>WE ARE REQUESTING A DUMP TRUCK FOR THE COUNTIES RURAL TERRAIN AND HISTORY OF NATURAL DISASTERS, THIS VEHICLE WOULD BE IDEAL FOR EMERGENCY SERVICES IN TIMES OF BLOCKED OR IMPASSABLE ROADWAYS, MOVING DEBRIS HINDERING EMERGENCY SERVICES, OF MOVING MATERIALS SUCH AS SAND, DIRT OR ROCK USED TO DAMN OR DETOUR FLOODING WATERS. OZARK COUNTY BEING A POOR COUNTY, DOESN'T HAVE THE FUNDS TO PURCHASE THIS ITEM. WE DO HAVE THE RESOURCES TO MAINTAIN AND SERVICE AND STORE IN A SECURE AREA.</t>
  </si>
  <si>
    <t xml:space="preserve">
Sales Order #: 2287223979
RTD Screening Code: DOD
Reason for Rejection: Y9</t>
  </si>
  <si>
    <t>2YT19C61078332</t>
  </si>
  <si>
    <t xml:space="preserve">
Sales Order #: 2287224008
RTD Screening Code: DOD
Reason for Rejection: Y9</t>
  </si>
  <si>
    <t>2YT19C61078246</t>
  </si>
  <si>
    <t>THIS REQUISITION IS SUBMITTED TO SUPPORT THE ACQUISITION OF A K9 MOBILE DOG TRAILER TO ENHANCE THE OPERATIONAL EFFECTIVENESS, SAFETY, AND DEPLOYMENT CAPABILITIES OF OUR K9 UNIT. THE ADDITION OF A DEDICATED TRAILER WILL IMPROVE OUR ABILITY TO TRANSPORT MULTIPLE K9 TEAMS EFFICIENTLY DURING ROUTINE OPERATIONS, TRAINING, AND EMERGENCY RESPONSE SITUATIONS. THIS WOULD ALSO GIVE OUR K9 DIVISION THE OPTION TO DEPLOY MULTIPLE K9S TO AN INCIDENT, GIVE THEM THE OPTION TO TRANSPORT MORE.</t>
  </si>
  <si>
    <t xml:space="preserve">
Sales Order #: 2287123706
RTD Screening Code: DOD
Reason for Rejection: Y9</t>
  </si>
  <si>
    <t>2YT19C61078231</t>
  </si>
  <si>
    <t xml:space="preserve">
Sales Order #: 2287123716
RTD Screening Code: DOD
Reason for Rejection: Y9</t>
  </si>
  <si>
    <t>2YTFKX61078194</t>
  </si>
  <si>
    <t>HCSO IS A LAW ENFORCEMENT AGENCY. HCSO WILL USE THE REQUESTED CHEVROLET SUBURBAN TO SUPPORT A CRIMINAL INVESTIGATOR OPERATING IN RURAL AREAS AND TO UPGRADE AN AGING FLEET. THIS VEHICLE PROVIDES RELIABLE TRANSPORTATION, INCREASED CARGO CAPACITY, AND IMPROVED CAPABILITY ON RURAL ROADWAYS. IT ENHANCES RESPONSE TIMES, SUPPORTS EVIDENCE TRANSPORT, TRAILER TOWING, AND ENSURES INVESTIGATORS CAN EFFECTIVELY CONDUCT INVESTIGATIONS ACROSS THE COUNTY.</t>
  </si>
  <si>
    <t xml:space="preserve">
Sales Order #: 2287123702
RTD Screening Code: DOD
Reason for Rejection: Y9</t>
  </si>
  <si>
    <t>2YTFKX61078179</t>
  </si>
  <si>
    <t>FOR EXCLUSIVE USE BY FBI SWAT TEAM COMPOSED OF SWORN LAW ENFORCEMENT AGENTS. FOR USE IN HIGH-RISK ARREST AND SEARCH WARRANT SERVICE, RURAL OPERATIONS AND HOSTAGE RESCUE OPERATIONS. USE OF VEHICLE FOR PROTECTION OF LIFE AND AGENT SAFETY.</t>
  </si>
  <si>
    <t>2YTQQS61078476</t>
  </si>
  <si>
    <t>DCSO IS A LAW ENFORCEMENT AGENCY. IR IS ESSENTIAL FOR NIGHTTIME PATROL, SEARCH AND RESCUE, SUSPECT APPREHENSION, AND DISASTER RESPONSE, ENSURING DEPUTIES CAN OPERATE SAFELY IN LOW-LIGHT CONDITIONS.</t>
  </si>
  <si>
    <t xml:space="preserve">
Sales Order #: 2287640267
RTD Screening Code: DOD
Reason for Rejection: Y9</t>
  </si>
  <si>
    <t>2YTDEZ61078912</t>
  </si>
  <si>
    <t xml:space="preserve">
DCSO IS A LAW ENFORCEMENT AGENCY. CASES WOULD BE USED TO HOLD EQUIPMENT SAFELY IN THE PATROL VEHICLES, ENSURING DEPUTIES CAN OPERATE AND KEEP EQUIPMENT SAFE.</t>
  </si>
  <si>
    <t xml:space="preserve">
Sales Order #: 2287640269
RTD Screening Code: DOD
Reason for Rejection: Y9</t>
  </si>
  <si>
    <t>2YTDEZ61148915</t>
  </si>
  <si>
    <t xml:space="preserve">
DCSO IS A LAW ENFORCEMENT AGENCY. RESCUE HOOKS ARE ESSENTIAL FOR PATROL, SEARCH AND RESCUE, VEHICLE WRECKS, AND DISASTER RESPONSE, ENSURING DEPUTIES CAN SAFELY HELP CITIZENS.</t>
  </si>
  <si>
    <t xml:space="preserve">
Sales Order #: 2287640302
RTD Screening Code: DOD
Reason for Rejection: Y9</t>
  </si>
  <si>
    <t>2YTDEZ61148914</t>
  </si>
  <si>
    <t xml:space="preserve">
DCSO IS A LAW ENFORCEMENT AGENCY. THERMAL IS ESSENTIAL FOR NIGHTTIME PATROL, SEARCH AND RESCUE, SUSPECT APPREHENSION, AND DISASTER RESPONSE, ENSURING DEPUTIES CAN OPERATE SAFELY IN LOW-LIGHT CONDITIONS.</t>
  </si>
  <si>
    <t xml:space="preserve">
Sales Order #: 2287640297
RTD Screening Code: DOD
Reason for Rejection: Y9</t>
  </si>
  <si>
    <t>2YTDEZ61078911</t>
  </si>
  <si>
    <t xml:space="preserve">
DOUGLAS COUNTY SHERIFFS OFFICE IS A LAW ENFORCEMENT AGENCY. NIGHT VISION IS ESSENTIAL FOR NIGHTTIME PATROL, SEARCH AND RESCUE, SUSPECT APPREHENSION, AND DISASTER RESPONSE, ENSURING DEPUTIES CAN OPERATE SAFELY IN LOW-LIGHT CONDITIONS.</t>
  </si>
  <si>
    <t xml:space="preserve">
Sales Order #: 2287640304
RTD Screening Code: DOD
Reason for Rejection: Y9</t>
  </si>
  <si>
    <t>2YTDEZ61148910</t>
  </si>
  <si>
    <t>OZARK COUNTY IS REQUESTING REQUISITION OF A BACKHOE FOR EMERGENCY SERVICES IN TIMES OF NATURAL DISASTERS SUCH AS TORNADOES, FLOODS, HEAVY STORMS. IN THE PAST OZARK COUNTY DEPUTIES HAVE HAD TO RESPOND TO SITUATIONS WHERE THEY WERE UNABLE TO GET TO DIRECT PATHS OF VICTIM'S AND HAD TO CARRY VICTIMS OUT ON RUCKS. THIS WOULD BE A HUGE ASSET IN TIMES SUCH AS THAT AND COULD BE EASILY DEPLOYED TO CLEAR DEBRIS.</t>
  </si>
  <si>
    <t xml:space="preserve">
Sales Order #: 2286775869
RTD Screening Code: DOD
Reason for Rejection: Y9</t>
  </si>
  <si>
    <t>2YT19C61007966</t>
  </si>
  <si>
    <t xml:space="preserve">
Sales Order #: 2286934611
RTD Screening Code: DOD
Reason for Rejection: Y9</t>
  </si>
  <si>
    <t>2YT19C61007965</t>
  </si>
  <si>
    <t>OZARK COUNTY SHERIFFS DEPARTMENT IS REQUESTING REQUISITION ON THE FORD BRUSH TRUCK USED FOR RESPONDING TO EMERGENCY CALLS SUCH AS FOREST FIRES AND STRUCTURE FIRES. OZARK COUNTY IS 38,672 ACRES OF NATIONAL FORESTRY LOCATED IN OZARK COUNTY AND WITH LIMITED RESOURCES SUCH AS MAN POWER AND EQUIPMENT THIS WOULD BE VITAL FOR OUT OF CONTROL FOREST FIRES. IN  TIMES OF UNCONTROLLABLE FOREST FIRES OR FIRE CALLS, SHERIFF'S DEPUTIES RESPOND AND PROVIDE AID AND ASSISTANCE. THIS WOULD BE VITAL.</t>
  </si>
  <si>
    <t xml:space="preserve">
Sales Order #: 2286712859
RTD Screening Code: DOD
Reason for Rejection: Y9</t>
  </si>
  <si>
    <t>2YT19C61007765</t>
  </si>
  <si>
    <t>TRUCK WILL BE USED BY THE OREGON COUNTY SHERIFF'S OFFICE TO FACILITATE MAINTENANCE AND REPAIRS OF SHERIFF'S OFFICE FACILITIES. IT WILL ALSO BE USED AS A DISASTER OPTION TO MAXIMIZE PUBLIC SAFETY DURING DISASTER EVENTS.</t>
  </si>
  <si>
    <t xml:space="preserve">
Sales Order #: 2286815800
RTD Screening Code: DOD
Reason for Rejection: Y9</t>
  </si>
  <si>
    <t>2YT15P61007843</t>
  </si>
  <si>
    <t>FOR USE FOR THE JEFFERSON COUNTY SHERIFF'S OFFICE MO. INTENDED FOR OFFICERS ASSIGNED TO THE SWAT TEAM. UTILIZED FOR GEAR STORAGE IN OFFICER'S PATROL VEHICLES. WE CURRENTLY ARE NEEDING TO REPLACE SOME EQUIPMENT BAGS CURRENTLY IN SERVICE. THE NUMBER REQUESTED REFLECTS THE NUMBER NEEDED BY OUR AGENCY.</t>
  </si>
  <si>
    <t xml:space="preserve">
Sales Order #: 2287229985
RTD Screening Code: DOD
Reason for Rejection: Y9</t>
  </si>
  <si>
    <t>2YTFXU61078462</t>
  </si>
  <si>
    <t>HCSO IS A LAW ENFORCEMENT AGENCY. HCSO WILL USE THE REQUESTED FIRE BRUSH TRUCK AT THE TRAINING RANGE, WHERE LIVE-FIRE EXERCISES CAN GENERATE GRASS OR BRUSH FIRES, ESPECIALLY DURING DRY CONDITIONS. THIS VEHICLE PROVIDES IMMEDIATE ON-SITE FIRE SUPPRESSION, REDUCES RESPONSE TIME, AND LIMITS FIRE SPREAD. IT ENHANCES SAFETY, REDUCES RELIANCE ON VOLUNTEER FIRE DEPARTMENTS, AND SUPPORTS MEDICAL RESPONSE AND DEPLOYMENT DURING WILDFIRES, STORMS, AND OTHER DISASTER OPERATIONS.</t>
  </si>
  <si>
    <t xml:space="preserve">
Sales Order #: 2286683264
RTD Screening Code: DOD
Reason for Rejection: Y9</t>
  </si>
  <si>
    <t>2YTFKX61007590</t>
  </si>
  <si>
    <t>2YTFKX61008723</t>
  </si>
  <si>
    <t xml:space="preserve">
Sales Order #: 2287223973
RTD Screening Code: DOD
Reason for Rejection: Y9</t>
  </si>
  <si>
    <t>2YTFKX61078182</t>
  </si>
  <si>
    <t>2YTQQS61078475</t>
  </si>
  <si>
    <t>WE ARE REQUESTING THE SMALL ROAD GRADER FOR EMERGENCY SERVICES IN TIMES OF NATURAL DISASTERS. OZARK COUNTY BEING MADE UP OF RURAL COUNTRYSIDE, WE HAVE ENDURED SEVERAL NATURAL DISASTERS CAUSING DISRUPTION OF EMERGENCY SERVICES. WE COULD USE THIS ITEM TO CLEAR DEBRIS AND CREATE MAKE SHIFT ROADWAYS. IN TIMES PAST, WE HAVE USED COUNTY ROAD AND BRIDGE ROAD GRADERS TO CLEAR ROADWAYS AFTER E3 TORNADO DEVASTED THE COMMUNITY, THIS WOULD BE IDEAL IN TIMES ROADS WERE IMPASSABLE.</t>
  </si>
  <si>
    <t xml:space="preserve">
Sales Order #: 2287223989
RTD Screening Code: DOD
Reason for Rejection: Y9</t>
  </si>
  <si>
    <t>2YT19C61078335</t>
  </si>
  <si>
    <t>2YTQQS60937280</t>
  </si>
  <si>
    <t>HCSO IS A LAW ENFORCEMENT AGENCY. HCSO WILL USE THE REQUESTED LEUPOLD SCOPE TO ENHANCE ACCURACY AND TARGET IDENTIFICATION DURING TRAINING AND TACTICAL OPERATIONS. A QUALITY OPTIC IMPROVES PRECISION AT DISTANCE, SUPPORTS SAFE FIREARMS USE, AND STRENGTHENS DEPUTY PROFICIENCY. THIS EQUIPMENT ENHANCES OPERATIONAL EFFECTIVENESS, INCREASES SAFETY, AND ENSURES DEPUTIES ARE PROPERLY EQUIPPED FOR CRITICAL INCIDENTS AND RURAL RESPONSE SITUATIONS.</t>
  </si>
  <si>
    <t xml:space="preserve">
Sales Order #: 2287045332
RTD Screening Code: DOD
Reason for Rejection: Y9</t>
  </si>
  <si>
    <t>2YTFKX61008055</t>
  </si>
  <si>
    <t>HCSO IS A LAW ENFORCEMENT AGENCY. HCSO WILL USE THE REQUESTED HANDHELD THERMAL IMAGER TO ASSIST WITH SEARCH AND RESCUE, SUSPECT APPREHENSION, AND DISASTER RESPONSE. THERMAL IMAGING ALLOWS DEPUTIES TO LOCATE INDIVIDUALS IN DARKNESS, DENSE VEGETATION, OR HAZARDOUS CONDITIONS. THIS TECHNOLOGY IMPROVES SITUATIONAL AWARENESS, ENHANCES SAFETY, AND INCREASES THE ABILITY TO QUICKLY LOCATE MISSING OR ENDANGERED PERSONS IN RURAL AREAS.</t>
  </si>
  <si>
    <t xml:space="preserve">
Sales Order #: 2287071738
RTD Screening Code: DOD
Reason for Rejection: Y9</t>
  </si>
  <si>
    <t>2YTFKX60938067</t>
  </si>
  <si>
    <t>HCSO IS A LAW ENFORCEMENT AGENCY. HCSO WILL USE THE REQUESTED LANDSCAPE RAKE ATTACHMENT FOR A SKID STEER TO MAINTAIN AND GROOM GROUNDS AT HCSO FACILITIES AND TRAINING AREAS. THIS EQUIPMENT WILL REMOVE DEBRIS, LEVEL SURFACES, IMPROVE DRAINAGE, AND MAINTAIN CLEAR PERIMETERS. PROPER MAINTENANCE ENHANCES SAFETY, REDUCES EROSION, AND ENSURES TRAINING AND OPERATIONAL AREAS REMAIN FUNCTIONAL AND WELL MAINTAINED.</t>
  </si>
  <si>
    <t xml:space="preserve">
Sales Order #: 2287071730
RTD Screening Code: DOD
Reason for Rejection: Y9</t>
  </si>
  <si>
    <t>2YTFKX60938050</t>
  </si>
  <si>
    <t>DCSO HAS CONTACTED THE SITE, REVIEWED PHOTOS OF THE EQUIPMENT, AND WILL PAY SHIPPING COSTS TO OBTAIN THE ITEMS. AN IR ILLUMINATOR IS ESSENTIAL FOR NIGHTTIME PATROL, SEARCH AND RESCUE, SUSPECT APPREHENSION, AND DISASTER RESPONSE, ENSURING DEPUTIES CAN OPERATE SAFELY AND EFFECTIVELY IN LOW-LIGHT OR NO-LIGHT CONDITIONS BY ENHANCING VISIBILITY FOR INFRARED-EQUIPPED SYSTEMS</t>
  </si>
  <si>
    <t xml:space="preserve">
Sales Order #: 2286464051
RTD Screening Code: DOD
Reason for Rejection: Y9</t>
  </si>
  <si>
    <t>2YTDEZ60937335</t>
  </si>
  <si>
    <t>2YTQQS60937802</t>
  </si>
  <si>
    <t>2YT19C61078239</t>
  </si>
  <si>
    <t>TRUCK WILL BE USED BY THE OREGON COUNTY SHERIFF'S OFFICE TO MOVE SUPPLIES, EQUIPMENT, AND PERSONNEL DURING SHERIFF'S OFFICE FUNCTIONS. IT WILL ALSO BE USED AS A DISASTER OPTION TO MAXIMIZE PUBLIC SAFETY DURING DISASTER EVENTS.</t>
  </si>
  <si>
    <t xml:space="preserve">
Sales Order #: 2286815806
RTD Screening Code: DOD
Reason for Rejection: Y9</t>
  </si>
  <si>
    <t>2YT15P61007839</t>
  </si>
  <si>
    <t>MOUNTAIN VIEW POLICE DEPT WILL USE THESE ITEMS FOR EMERGENCY RESPONSE. THESE WOULD BE ISSUED TO FULL-TIME PATROL OFFICERS FOR RESPONSE TO CRITICAL INCIDENTS, AND TRAINING PURPOSES. THESE WOULD BE A VITAL ASSIST TO OUR AGENCY. MVPD UNDERSTANDS THE ITEMS COME AS IS AND VERFIES THE CONDITION CODE.</t>
  </si>
  <si>
    <t xml:space="preserve">
Sales Order #: 2286796071
RTD Screening Code: DOD
Reason for Rejection: Y9</t>
  </si>
  <si>
    <t>2YTH6Z60937505</t>
  </si>
  <si>
    <t>MOUNTAIN VIEW POLICE DEPT (2YTH6Z)</t>
  </si>
  <si>
    <t>HI THERE.  THE SWAT TEAM I'M APART OF CONSISTS OF 31 OPERATORS AND SNIPERS.  DUE TO THE CONDITION LISTED BEING F, I WOULD LIKE TO ORDER APPROXIMATELY 100 LASERS, TO ACCOUNT FOR AN UNKNOWN AMOUNT OF LASERS NOT BEING FUNCTIONAL.  I WOULD ALSO LIKE HAVE A SURPLUS OF LASERS LAYING AROUND FOR WHEN ONE BREAKS.  DUE TO THE CART NOT BEING ABLE TO ALLOW ME TO ORDER 100, I WILL PROCESS 2 SEPERATE ORDERS OF 50.  THANK YOU.</t>
  </si>
  <si>
    <t xml:space="preserve">
Sales Order #: 2289637125
RTD Screening Code: DOD
Reason for Rejection: YG</t>
  </si>
  <si>
    <t>2YTKS161421386</t>
  </si>
  <si>
    <t>SAVAGE POLICE DEPT (2YTKS1)</t>
  </si>
  <si>
    <t xml:space="preserve">
Sales Order #: 2289637149
RTD Screening Code: DOD
Reason for Rejection: YG</t>
  </si>
  <si>
    <t>2YTKS161421385</t>
  </si>
  <si>
    <t>THE SHERBURNE COUNTYSHERIFF'S OFFICE IS REQUESTING GPS DEVICES FOR USE BY SPECIAL TEAMS.  THE DEVICE CARRIES GPS CAPABILITY WHICH WILL HELP OFFICERS COORDINATE LOCATIONS QUICKLY IN THE FIELD WHEN WORKING IN UNDEVELOPED AREAS.  SHERBURNE COUNTY HAS OVER 30000 ACRES OF STATE AND FEDERAL LANDS WITHIN ITS JURISDICTION.</t>
  </si>
  <si>
    <t xml:space="preserve">
Sales Order #: 2292026559
RTD Screening Code: DOD
Reason for Rejection: Y9</t>
  </si>
  <si>
    <t>GPS WATCH</t>
  </si>
  <si>
    <t>2YTK1W61844327</t>
  </si>
  <si>
    <t>FOR USE BY OUR OFFICERS TO AID THEMSELVES, THEIR PARTNERS, AND THE CITIZENS OF OUR COMMUNITY IN CASES OF TRAUMA.</t>
  </si>
  <si>
    <t>2YTEC861773955</t>
  </si>
  <si>
    <t>ROBOTS WILL BE USED IN TACTICAL OPERATIONS TO AID IN OFFICER SAFETY AND RESIDENCE CLEARING.  ROBOTS WILL BE USED FOR SUSPICIOUS PACKAGES.  ROBOTS GENERALLY WILL NEED PARTS FROM OTHERS, SO REQUESTING MORE THAN ONE TO GET THEM IN WORKING ORDER.  I ACCEPT CONDITION CODE OF G</t>
  </si>
  <si>
    <t xml:space="preserve">
Sales Order #: 2287785583
RTD Screening Code: DOD
Reason for Rejection: YG</t>
  </si>
  <si>
    <t>2YTJ5961079253</t>
  </si>
  <si>
    <t xml:space="preserve">
Sales Order #: 2290164301
RTD Screening Code: DOD
Reason for Rejection: Y9</t>
  </si>
  <si>
    <t>2YTK1W61562677</t>
  </si>
  <si>
    <t>THIS ITEM IS BEING REQUESTED BY THE HUBBARD COUNTY SHERIFF'S OFFICE TO BE USED BY OFFICERS FOR LAW ENFORCEMENT PURPOSES.  THE REQUESTED NIGHT VISION WILL BE USED BY OFFICERS INVOLVED IN SWAT OPERATIONS AND NIGHTTIME PATROL OPERATIONS.  THIS INCLUDES HIGH RISK WARRANT SERVICES, BARRICADED SUBJECTS, NIGHTTIME SEARCHES, K9 HANDLERS TRACKING SUBJECTS, HOSTAGE RESCUE AND SEARCH AND RESCUE. LEA HAS CONFIRMED SITE HAS BEEN CONTACTED AND ACCEPT CONDITION OF PROPERTY.</t>
  </si>
  <si>
    <t xml:space="preserve">
Sales Order #: 2285179433
RTD Screening Code: DOD
Reason for Rejection: Y9</t>
  </si>
  <si>
    <t>2YTFK660654504</t>
  </si>
  <si>
    <t>HELLO THERE, I AM APART OF A 31 PERSON SWAT TEAM AND AM STARTING A NIGHT VISION PROGRAM.  WITH THAT BEING SAID, I AM REQUESTING 9 HELMET MOUNTS TO HELP OUR TEAM GET STARTED TOWARDS COMPLETING OUR GOAL OF HAVING NIGHT VISION CAPABILITIES, WHICH WE WILL NEED MOUNTS FOR OUR HELMETS ONCE WE GET NIGHT VISION GOGGLES.  THANK YOU FOR YOUR CONSIDERATION.</t>
  </si>
  <si>
    <t>Justification- Does not meet the 3 requirements, is it for the LEA use, is it for law enforcement purposes, is the justification persuasive. Also, property is located in Pearl Harbor HI. Is the cost worth it?</t>
  </si>
  <si>
    <t>2YTKS161843153</t>
  </si>
  <si>
    <t>SIGHT WILL BE USED TO AID IN THE SIGHT PICTURE ON 40 MM LESS LETHAL LAUNCHERS.</t>
  </si>
  <si>
    <t xml:space="preserve">
Sales Order #: 2290146495
RTD Screening Code: DOD
Reason for Rejection: Y9</t>
  </si>
  <si>
    <t>2YTJ5961772180</t>
  </si>
  <si>
    <t>I AM APART OF A LARGE REGIONAL SWAT TEAM, WHICH CONSISTS OF 31 OPERATORS AND SNIPERS.  I AM REQUESTING 36, WHICH WOULD GIVE EACH MEMBER OF THE TEAM 1 HELMET MOUNT, AS WELL AS 5 SPARE MOUNTS LAYING AROUND IN THE EVENT ONE GETS DAMAGED AT TRAINING OR ON AN OPERATION.  THANK YOU.</t>
  </si>
  <si>
    <t xml:space="preserve">
Sales Order #: 2290146500
RTD Screening Code: DOD
Reason for Rejection: Y9</t>
  </si>
  <si>
    <t>2YTKS161492030</t>
  </si>
  <si>
    <t xml:space="preserve">
Sales Order #: 2290347052
RTD Screening Code: DOD
Reason for Rejection: Y9</t>
  </si>
  <si>
    <t>2YTEC861492309</t>
  </si>
  <si>
    <t xml:space="preserve">
Sales Order #: 2289841993
RTD Screening Code: DOD
Reason for Rejection: Y9</t>
  </si>
  <si>
    <t>2YTFK661421590</t>
  </si>
  <si>
    <t xml:space="preserve">
Sales Order #: 2290000725
RTD Screening Code: DOD
Reason for Rejection: Y9</t>
  </si>
  <si>
    <t>2YTFK661421589</t>
  </si>
  <si>
    <t xml:space="preserve">
Sales Order #: 2289841999
RTD Screening Code: DOD
Reason for Rejection: Y9</t>
  </si>
  <si>
    <t>2YTFK661421588</t>
  </si>
  <si>
    <t xml:space="preserve">
Sales Order #: 2290000742
RTD Screening Code: DOD
Reason for Rejection: Y9</t>
  </si>
  <si>
    <t>2YTFK661421587</t>
  </si>
  <si>
    <t xml:space="preserve">
Sales Order #: 2290000722
RTD Screening Code: DOD
Reason for Rejection: Y9</t>
  </si>
  <si>
    <t>2YTFK661421585</t>
  </si>
  <si>
    <t xml:space="preserve">
Sales Order #: 2290000739
RTD Screening Code: DOD
Reason for Rejection: Y9</t>
  </si>
  <si>
    <t>2YTFK661421584</t>
  </si>
  <si>
    <t>THE SHERBURNE COUNTY SHERIFFS OFFICE IS REQUESTING EAR PROTECTION FOR OFFICERS. EAR PRO WILL BE USED AT FIRING RANGES,  WHILE OPERATING LOUD VEHICLES, WHILE RESPONDING TO HIGH RISK EVENTS, AND ANY TIME THERE IS POTENTIAL FOR EXPOSURE TO HIGH NOISE.</t>
  </si>
  <si>
    <t xml:space="preserve">
Sales Order #: 2290000729
RTD Screening Code: DOD
Reason for Rejection: Y9</t>
  </si>
  <si>
    <t>2YTK1W61491842</t>
  </si>
  <si>
    <t>THIS ITEM IS BEING REQUESTED BY THE HUBBARD COUNTY SHERIFF'S OFFICE TO BE USED BY DEPUTIES FOR LAW ENFORCEMENT PURPOSES.  THE REQUESTED NIGHT VISION DEVICES WILL BE USED BY SWAT SNIPERS FOR NIGHTTIME AND LOW LIGHT OPERATIONS.  THIS INCLUDES HIGH RISK WARRANT SERVICE, BARRICADED SUBJECTS, HOSTAGE RESCUE, AND SEARCH AND RESCUE. LEA HAS CONFIRMED SITE HAS BEEN CONTACTED AND ACCEPT CONDITION OF PROPERTY.</t>
  </si>
  <si>
    <t>2YTFK661421591</t>
  </si>
  <si>
    <t>FOR USE BY OUR POLICE MEDICS TO AID THEIR PARTNERS AND THE CITIZENS OF OUR COMMUNITY.</t>
  </si>
  <si>
    <t>2YTEC861421620</t>
  </si>
  <si>
    <t>2YTFK661421485</t>
  </si>
  <si>
    <t>2YTFK661421258</t>
  </si>
  <si>
    <t xml:space="preserve">
Sales Order #: 2287589501
RTD Screening Code: DOD
Reason for Rejection: YG</t>
  </si>
  <si>
    <t>2YTSZX61078750</t>
  </si>
  <si>
    <t xml:space="preserve">
Sales Order #: 2287589482
RTD Screening Code: DOD
Reason for Rejection: YG</t>
  </si>
  <si>
    <t>2YTSZX61078749</t>
  </si>
  <si>
    <t xml:space="preserve">
Sales Order #: 2287589495
RTD Screening Code: DOD
Reason for Rejection: YG</t>
  </si>
  <si>
    <t>2YTSZX61078748</t>
  </si>
  <si>
    <t>THE SHERBURNE COUNTY SHERIFF'S OFFICE IS REQUESTING COLD WEATHER GEAR FOR USE BY SPECIAL TEAMS.  THE VESTS WILL PROVIDE PROTECTION FORM THE COLD DURING ADVERSE WEATHER.</t>
  </si>
  <si>
    <t xml:space="preserve">
Sales Order #: 2288275591
RTD Screening Code: DOD
Reason for Rejection: Y9</t>
  </si>
  <si>
    <t>2YTK1W61219730</t>
  </si>
  <si>
    <t xml:space="preserve">
Sales Order #: 2288295382
RTD Screening Code: DOD
Reason for Rejection: Y9</t>
  </si>
  <si>
    <t>2YTK1W61219729</t>
  </si>
  <si>
    <t>THE SHERBURNE COUNTY SHERIFF'S OFFICE IS REQUESTING THERMAL IMAGERS FOR OFFICERS TO USE ON PATROL, DURING INVESTIGATIONS, AND FOR SEARCH AND RESCUE.  IMAGERS AID IN LOCATING SUBJECTS IN ADVERSE WEATHER AND AT NIGHT.  THE CONDITION OF THE ITMES HAS BEEN VERIFEID AND THIS AGENCY ACCEPTS THEM AS IS.</t>
  </si>
  <si>
    <t xml:space="preserve">
Sales Order #: 2288229878
RTD Screening Code: DOD
Reason for Rejection: Y9</t>
  </si>
  <si>
    <t>2YTK1W61149540</t>
  </si>
  <si>
    <t>THIS ITEM IS BEING REQUESTED BY THE HUBBARD COUNTY SHERIFF'S OFFICE TO BE USED BY DEPUTIES FOR LAW ENFORCEMENT PURPOSES.  THE REQUESTED SURVEILLANCE KIT WILL BE USED BY SWAT OFFICERS AND DRUG TASK FORCE OFFICERS FOR SURVEILLANCE PRIOR TO AND DURING OPERATIONS.  THIS INCLUDES DRUG SALES CASES, HIGH RISK WARRANT SERVICE, BARRICADED SUBJECTS, HOSTAGE RESCUE AND ANY OTHER OPERATION NECESSARY. LEA HAS CONFIRMED SITE HAS BEEN CONTACTED AND ACCEPT CONDITION OF PROPERTY.</t>
  </si>
  <si>
    <t xml:space="preserve">
Sales Order #: 2287229029
RTD Screening Code: DOD
Reason for Rejection: YH</t>
  </si>
  <si>
    <t>2YTFK661078265</t>
  </si>
  <si>
    <t>SIGHTS WILL BE MOUNTED ON LESS-LETHAL 40 MM LAUNCHES TO AID SIGHT PICTURE AND TARGETING.  WILL AID IN THE SAFER OPERATIONS OF LAUNCHES.  I UNDERSTAND THE CONDITION CODE OF F AND ACCEPT THE ITEMS.</t>
  </si>
  <si>
    <t>2YTJ5961149684</t>
  </si>
  <si>
    <t>THE SHERBURNE COUNTY SHERIFF'S OFFICE IS REQEUSTING PACKS FOR THE STORAGE AND TRANSPORT OF EQUIPMENT BY SPECIALIZED TEAMS.  THE CONDITION HAS BEEN VERIFIED AND THE PACKS ARE ACCEPTED AS IS.</t>
  </si>
  <si>
    <t>2YTK1W61219536</t>
  </si>
  <si>
    <t>THE SHERBURE COUNTY SHERIFF'S OFFICE IS REQUESTING PONCHOS FOR USE BY SPECIALIZED TEAMS THAT WORK IN ADVERSE WEATHER.  PONCHOS WILL PROVIDE PROTECTION FROM THE RAIN AND INCREASE OFFICER COMFORT.</t>
  </si>
  <si>
    <t xml:space="preserve">
Sales Order #: 2287224003
RTD Screening Code: DOD
Reason for Rejection: Y9</t>
  </si>
  <si>
    <t>2YTK1W61078259</t>
  </si>
  <si>
    <t xml:space="preserve">
Sales Order #: 2287589490
RTD Screening Code: DOD
Reason for Rejection: Y9</t>
  </si>
  <si>
    <t>2YTSZX61078755</t>
  </si>
  <si>
    <t xml:space="preserve">
Sales Order #: 2287589504
RTD Screening Code: DOD
Reason for Rejection: Y9</t>
  </si>
  <si>
    <t>2YTSZX61078753</t>
  </si>
  <si>
    <t xml:space="preserve">
Sales Order #: 2287589503
RTD Screening Code: DOD
Reason for Rejection: Y9</t>
  </si>
  <si>
    <t>2YTSZX61078752</t>
  </si>
  <si>
    <t xml:space="preserve">
Sales Order #: 2287686251
RTD Screening Code: DOD
Reason for Rejection: Y9</t>
  </si>
  <si>
    <t>2YTSZX61078751</t>
  </si>
  <si>
    <t>THE BLAINE POLICE DEPARTMENT USES SAFETY GLASSES AS REQUIRED PPE DURING TRAINING AND ANY DUTY THAT REQUIRES EYE PROTECTION. THIS WILL ALLOW EVERY LICENSED OFFICER TO BE ISSUED A PAIR AND KEEP IT WITH THEM TO BE READILY AVAILABLE TO USE WHEN NEEDED. THE AGENCY HAS CONFIRMED CONDITION AND ACCEPTS THE PROPERTY AS IS.</t>
  </si>
  <si>
    <t xml:space="preserve">
Sales Order #: 2287740195
RTD Screening Code: DOD
Reason for Rejection: Y9</t>
  </si>
  <si>
    <t>2YTA9861078683</t>
  </si>
  <si>
    <t>OUR SWAT TEAM WILL USE THIS THERMAL SCOPE WHILE CONDUCT LOW LIGHT TACTICAL LAW ENFORCEMENT OPERATIONS.  WE ARE AWARE IT IS CONDITION H - WE HAVE CONTACTED THE SIGHT TO CHECK CONDITION AND WILL TAKE IT AS IT IS.</t>
  </si>
  <si>
    <t xml:space="preserve">
Sales Order #: 2287686257
RTD Screening Code: DOD
Reason for Rejection: Y9</t>
  </si>
  <si>
    <t>2YTP2761078933</t>
  </si>
  <si>
    <t>THE SHERBURNE COUNTY SHERIFF'S OFFICE IS REQUESTING OPTICS FOR USE ON PATROL RIFLES.  THE OPTICS WILL AID OFFICERS WITH TARGET ACQUISITION USING BOTH EYES OPEN.  THIS INCREASES THE OFFICERS ABILITY TO BETTER IDENTIFY TARGETS IN HIGH STRESS ENVIRONMENTS.  OPTICS CONDITION HAS BEEN VERIFIED AND THE AGENCY ACCEPTS THEM AS IS.</t>
  </si>
  <si>
    <t xml:space="preserve">
Sales Order #: 2287686256
RTD Screening Code: DOD
Reason for Rejection: Y9</t>
  </si>
  <si>
    <t>2YTK1W61079042</t>
  </si>
  <si>
    <t xml:space="preserve">
Sales Order #: 2287740194
RTD Screening Code: DOD
Reason for Rejection: Y9</t>
  </si>
  <si>
    <t>2YTFK661148908</t>
  </si>
  <si>
    <t xml:space="preserve">
Sales Order #: 2286335303
RTD Screening Code: DOD
Reason for Rejection: Y9</t>
  </si>
  <si>
    <t>2YTFK661078269</t>
  </si>
  <si>
    <t>THIS ITEM IS BEING REQUESTED BY THE HUBBARD COUNTY SHERIFF'S OFFICE TO BE USED BY DEPUTIES FOR LAW ENFORCEMENT PURPOSES.  THE REQUESTED IR ILLUMINATORS WILL BE USED BY SWAT OFFICERS DURING NIGHT-TIME AND LOW LIGHT OPERATIONS.  THIS INCLUDES SEARCH AND RESCUE, HIGH RISK WARRANT SERVICE, BUILDING CLEARING, K9 OPERATIONS, BARRICADED SUBJECTS AND ANY OTHER SWAT OPERATION.  LEA HAS CONFIRMED SITE HAS BEEN CONTACTED AND ACCEPT CONDITION OF PROPERTY.</t>
  </si>
  <si>
    <t xml:space="preserve">
Sales Order #: 2286712841
RTD Screening Code: DOD
Reason for Rejection: YG</t>
  </si>
  <si>
    <t>2YTFK661007667</t>
  </si>
  <si>
    <t>2YTSZX61008746</t>
  </si>
  <si>
    <t>THE SHERBURNE COUNTY SHERIFF'S OFFICE IS REQUESTING BAGS FOR THE ORGANIZATION OF EQUIPMENT USED BY THE  EMERGENCY RESPONSE UNIT.  THE BAGS PROVIDE OFFICERS WITH A WAY OF ORGANIZING AND STOWING GEAR WHEN NOT IN USE BETWEEN DEPLOYMENTS.</t>
  </si>
  <si>
    <t xml:space="preserve">
Sales Order #: 2287229030
RTD Screening Code: DOD
Reason for Rejection: Y9</t>
  </si>
  <si>
    <t>2YTK1W61078262</t>
  </si>
  <si>
    <t>2YTSZX61078745</t>
  </si>
  <si>
    <t xml:space="preserve">
Sales Order #: 2287108809
RTD Screening Code: DOD
Reason for Rejection: Y9</t>
  </si>
  <si>
    <t>2YTFK661008135</t>
  </si>
  <si>
    <t>2YTK1W61008622</t>
  </si>
  <si>
    <t>2YTK1W61008456</t>
  </si>
  <si>
    <t>THIS ITEM IS BEING REQUESTED BY THE HUBBARD COUNTY SHERIFF'S OFFICE TO BE USED BY DEPUTIES FOR LAW ENFORCEMENT PURPOSES.  THE REQUESTED NIGHT VISION MOUNTS WILL BE USED BY SWAT OFFICERS TO ATTACH NIGHT VISION TO HELMETS FOR NIGHTTIME AND LOW LIGHT OPERATIONS.  THIS INCLUDES HIGH RISK WARRANT SERVICE, BARRICADED SUBJECTS, HOSTAGE RESCUE, AND SEARCH AND RESCUE.</t>
  </si>
  <si>
    <t>MOUNTING LOCKING MECHANISM,GOGGLES,NIGHT</t>
  </si>
  <si>
    <t>2YTFK661078443</t>
  </si>
  <si>
    <t>2YTK1W61008625</t>
  </si>
  <si>
    <t>THIS ITEM IS BEING REQUESTED BY THE HUBBARD COUNTY SHERIFF'S OFFICE TO BE USED BY DEPUTIES FOR LAW ENFORCEMENT PURPOSES.  THE REQUESTED INFRARED ILLUMINATORS WILL BE USED BY SWAT OFFICERS FOR NIGHTTIME AND LOW LIGHT OPERATIONS.  THIS INCLUDES HIGH RISK WARRANT SERVICE, BARRICADED SUBJECTS, HOSTAGE RESCUE, AND SEARCH AND RESCUE. LEA HAS CONFIRMED SITE HAS BEEN CONTACTED AND ACCEPT CONDITION OF PROPERTY</t>
  </si>
  <si>
    <t xml:space="preserve">
Sales Order #: 2286335305
RTD Screening Code: DOD
Reason for Rejection: Y9</t>
  </si>
  <si>
    <t>2YTFK661078263</t>
  </si>
  <si>
    <t xml:space="preserve">
Sales Order #: 2287224010
RTD Screening Code: DOD
Reason for Rejection: Y9</t>
  </si>
  <si>
    <t>2YTFK661078255</t>
  </si>
  <si>
    <t>THE SHERBURNE COUNTY SHERIFF'S OFFICE IS REQUESTING OXYGEN MASKS FOR USE DURING MEDICAL RESPONSE. MASKS ARE DISPOSABLE AND IN NEED OF FREQUENT RESTOCKING.</t>
  </si>
  <si>
    <t>MASK,ORONASAL</t>
  </si>
  <si>
    <t>2YTK1W61008414</t>
  </si>
  <si>
    <t>THE SHERBURNE COUNTY SHERIFF'S OFFICE IS REQUESTING OPTICS FOR USE BY PATROL AND INVESTIGATIONS.  THE OPTICS WILL BE USED BY OFFICERS TO MEASURE DISTANCES DURING INVESTIGATIONS. THE AGENCY HAS CONFIRMED CONDITION AND ACCEPTS THE OPTICS AS-IS.</t>
  </si>
  <si>
    <t xml:space="preserve">
Sales Order #: 2286618455
RTD Screening Code: DOD
Reason for Rejection: Y9</t>
  </si>
  <si>
    <t>2YTK1W60937289</t>
  </si>
  <si>
    <t>SIGHTS WILL BE USED FOR 40 MM LAUNCHERS TO AID IN OFFICER ACCURACY AND SIGHT PICTURE.</t>
  </si>
  <si>
    <t xml:space="preserve">
Sales Order #: 2287033077
RTD Screening Code: DOD
Reason for Rejection: Y9</t>
  </si>
  <si>
    <t>2YTJ5960938029</t>
  </si>
  <si>
    <t>THIS ITEM IS BEING REQUESTED BY THE HUBBARD COUNTY SHERIFF'S OFFICE TO BE USED BY DEPUTIES FOR LAW ENFORCEMENT PURPOSES.  THE REQUESTED REFLEX SIGHTS WILL BE USED ON PATROL RIFLES BY DEPUTIES FOR TRAINING AND DUTY PURPOSES.  THE RIFLES ARE EMPLOYED WHEN DEALING WITH ACTIVE SHOOTERS, ARMED PEOPLE, AND ANY OTHER TIME ACCURATE RIFLE FIRE MAY BE NEEDED.</t>
  </si>
  <si>
    <t xml:space="preserve">
Sales Order #: 2287033078
RTD Screening Code: DOD
Reason for Rejection: Y9</t>
  </si>
  <si>
    <t>2YTFK660938011</t>
  </si>
  <si>
    <t>2YTFK661008121</t>
  </si>
  <si>
    <t>ALPENA COUNTY SHERIFF'S DEPARTMENT - THIS PICKUP WOULD BE USED TO FOR PATROL OPERATIONS AND HAULING EQUIPMENT FOR THE SHERIFF'S OFFICE.  OFF ROAD VEHICLE TRAILERS, BOATS, SNOWMOBILES, INCIDENT COMMAND TRAILERS. ASSIST WITH GENERAL DAILY OPERATIONS</t>
  </si>
  <si>
    <t xml:space="preserve">
Sales Order #: 2291866796
RTD Screening Code: DOD
Reason for Rejection: Y9</t>
  </si>
  <si>
    <t>2YTAG361844358</t>
  </si>
  <si>
    <t>ALPENA COUNTY SHERIFFS DEPARTMENT -- THIS PICKUP TRUCK WOULD BE USED FOR PATROL OPERATIONS, TOWING TRAILERS AND SPECIAL EVENTS AT THE SHERIFF'S OFFICE</t>
  </si>
  <si>
    <t xml:space="preserve">
Sales Order #: 2291971513
RTD Screening Code: DOD
Reason for Rejection: Y9</t>
  </si>
  <si>
    <t>2YTAG361844355</t>
  </si>
  <si>
    <t>ALPENA COUNTY SHERIFFS DEPARTMENT - THIS PICKUP TRUCK WOULD BE USED TO MOVE TRAILERS FOR BOATS, 4-WHEELERS AND SNOWMOBILES AT THE SHERIFF'S OFFICE.</t>
  </si>
  <si>
    <t xml:space="preserve">
Sales Order #: 2291866800
RTD Screening Code: DOD
Reason for Rejection: Y9</t>
  </si>
  <si>
    <t>2YTAG361844353</t>
  </si>
  <si>
    <t>REJECT TRAINING</t>
  </si>
  <si>
    <t>2YT05K61915082</t>
  </si>
  <si>
    <t>LESO HQ OFFICE (2YT05K)</t>
  </si>
  <si>
    <t>2YT05K61915081</t>
  </si>
  <si>
    <t>THIS BOAT WOULD BE UTILIZED BY MARINE PATROL OFFICERS WITH THE OCEANA COUNTY SHERIFF'S OFFICE FOR USE IN SHALLOW WATER AND MARSH AREAS. THIS BOAT WOULD BENEFIT THE DEPARTMENT BY ALLOWING OFFICERS TO REACH FARTHER INTO SHALLOW WATER FOR EMERGENCIES.</t>
  </si>
  <si>
    <t xml:space="preserve">
Sales Order #: 2291963069
RTD Screening Code: DOD
Reason for Rejection: Z2</t>
  </si>
  <si>
    <t>2YT1XS61774276</t>
  </si>
  <si>
    <t>FOR USE BY OSD OFFICERS ASSIGNED TO THE SHERIFF'S SEARCH AND RESCUE TEAM. CURRENT UNIT IS NON FUNCTIONAL AND THIS WOULD BE USED TO REPLACE OR REPAIR THAT UNIT.</t>
  </si>
  <si>
    <t xml:space="preserve">
Sales Order #: 2289999590
RTD Screening Code: DOD
Reason for Rejection: YG</t>
  </si>
  <si>
    <t>2YT1WK61491999</t>
  </si>
  <si>
    <t>WILL BE USED BY SHERIFF DEPUTIES FOR EXERCISE AND FITNESS.</t>
  </si>
  <si>
    <t>CYCLE - LEAs cannot requisition from the GSA cycle.</t>
  </si>
  <si>
    <t>2YT1WK61774693</t>
  </si>
  <si>
    <t>ALPENA COUNTY SHERIFFS DEPARTMENT - THIS ITEM WOULD BE USED AT THE SHERIFF'S OFFICE TO REPAIR BROKEN TRAILERS, METAL SHELVING, AND OTHER METAL OBJECTS AS NEEDED.</t>
  </si>
  <si>
    <t>2YTAG361774689</t>
  </si>
  <si>
    <t>ALPENA COUNTY SHERIFFS DEPARTMENT -  THIS POWER WASHER WOULD BE USED TO CLEAN VEHICLES, TRAILERS AND EQUIPMENT.</t>
  </si>
  <si>
    <t>2YTAG361774687</t>
  </si>
  <si>
    <t>FOR USE ON A MULTIJURISDICTIONAL TACTICAL RESPONSE TEAM FOR TACTICAL OPERATIONS. SITE HAS BEEN CONTACTED TO CONFIRM AND ACCEPT CONDITION OF ITEMS.</t>
  </si>
  <si>
    <t xml:space="preserve">
Sales Order #: 2291658276
RTD Screening Code: DOD
Reason for Rejection: Y9</t>
  </si>
  <si>
    <t>2YTG8B61774284</t>
  </si>
  <si>
    <t>MANISTEE COUNTY SHERIFF'S OFFICE (2YTG8B)</t>
  </si>
  <si>
    <t>IF ACQUIRED THESE BLANKETS WOULD BE ISSUED TO ROAD PATROL DEPUTIES WITH THE OCEANA COUNTY SHERIFF'S OFFICE FOR USE DURING PATROL, PROVIDING BALLISTIC PROTECTION FOR WINDOWS IN THE EVENT OF AN AMBUSH.
THIS WOULD PROVIDE OFFICERS CRITICAL TIME TO RESPOND TO A THREAT.</t>
  </si>
  <si>
    <t xml:space="preserve">
Sales Order #: 2291754807
Reason for Rejection: Y9</t>
  </si>
  <si>
    <t>BALLISTIC BLANKET</t>
  </si>
  <si>
    <t>2YT1XS61704229</t>
  </si>
  <si>
    <t>FOR USE BY SHERIFF'S DEPUTIES TO PROVIDE PORTABLE SECURITY AND OBSERVATION ON MAJOR EVENTS AND INCIDENTS.</t>
  </si>
  <si>
    <t xml:space="preserve">
Sales Order #: 2291754806
Reason for Rejection: Y9</t>
  </si>
  <si>
    <t>2YT1WK61704248</t>
  </si>
  <si>
    <t>K</t>
  </si>
  <si>
    <t>2YT05K61774504</t>
  </si>
  <si>
    <t>FOR USE ON POOL RIFLES OF THE LANSING POLICE DEPARTMENT TO UTILIZE LIGHTS AND OTHER ACCESSORIES TO ENHANCE OFFICERS AWARENESS AND SAFETY IN LOW LIGHT CONDITIONS</t>
  </si>
  <si>
    <t xml:space="preserve">
Sales Order #: 2291157936
RTD Screening Code: GSA
Reason for Rejection: YG</t>
  </si>
  <si>
    <t>GUARD,HAND,GUN</t>
  </si>
  <si>
    <t>2YTPER61633148</t>
  </si>
  <si>
    <t>FOR ON DUTY SWORN OFFICERS ONLY. EQUIPMENT WILL BE USED TO ENHANCE OFFICER SAFETY THROUGH INCREASED ACCURACY WITH OTHER DEPARTMENT ISSUED EQUIPMENT. THE HOLDING FACILITY HAS BEEN CONTACTED TO VERIFY CONDITIONS OF EQUIPMENT.</t>
  </si>
  <si>
    <t xml:space="preserve">
Sales Order #: 2290603479
Reason for Rejection: Y9</t>
  </si>
  <si>
    <t>2YTEQK61702841</t>
  </si>
  <si>
    <t>TO BE USED BY HTPD EMPLOYED PERSONNEL ASSIGNED TO THE MABAS VALIDATED DRONE TEAM TO TRANSPORT GEAR AND USE AS A MOBILE COMMAND UNIT FOR DEPLOYMENT. MABAS VALIDATION ALLOWS THE TEAM TO ASSIST THROUGHOUT THE UNITED STATES FOR ASSISTANCE ON MAJOR SCENES.</t>
  </si>
  <si>
    <t xml:space="preserve">
Sales Order #: 2291712919
RTD Screening Code: DOD
Reason for Rejection: Y9</t>
  </si>
  <si>
    <t>2YTE1C61773915</t>
  </si>
  <si>
    <t>ALPENA COUNTY SHERIFFS DEPARTMENT - THIS TRAILER WOULD BE USED TO MOVE AND STORE SUPPLIES FOR NORMAL OPERATIONS AND EMERGENCY SITUATIONS.</t>
  </si>
  <si>
    <t xml:space="preserve">
Sales Order #: 2291480756
RTD Screening Code: DOD
Reason for Rejection: Y9</t>
  </si>
  <si>
    <t>2YTAG361773730</t>
  </si>
  <si>
    <t>ALPENA COUNTY SHERIFFS DEPARTMENT - THIS SKID STEER WOULD BE USED FOR MAINTENANCE AND SNOW REMOVAL.</t>
  </si>
  <si>
    <t>2YTAG361773776</t>
  </si>
  <si>
    <t xml:space="preserve">
Sales Order #: 2290667216
RTD Screening Code: DOD
Reason for Rejection: Y9</t>
  </si>
  <si>
    <t>2YT1WK61633034</t>
  </si>
  <si>
    <t xml:space="preserve">
Sales Order #: 2290729419
RTD Screening Code: DOD
Reason for Rejection: Y9</t>
  </si>
  <si>
    <t>2YT1WK61633033</t>
  </si>
  <si>
    <t xml:space="preserve">
Sales Order #: 2290667211
RTD Screening Code: DOD
Reason for Rejection: Y9</t>
  </si>
  <si>
    <t>2YT1WK61633032</t>
  </si>
  <si>
    <t>FOR USE BY ON DUTY OFFICERS OF THE LANSING POLICE DEPARTMENT FOR WEATHER PROTECTION DURING HIGH-RISK OPERATIONS.</t>
  </si>
  <si>
    <t xml:space="preserve">
Sales Order #: 2289767913
RTD Screening Code: DOD
Reason for Rejection: YG</t>
  </si>
  <si>
    <t>2YTPER61421619</t>
  </si>
  <si>
    <t>ALPENA COUNTY SHERIFFS DEPARTMENT-  WOULD BE USED TO STRAP EQUIPMENT</t>
  </si>
  <si>
    <t xml:space="preserve">
Sales Order #: 2288925808
RTD Screening Code: RTD2
Reason for Rejection: YH</t>
  </si>
  <si>
    <t>STRAP,TRAILER</t>
  </si>
  <si>
    <t>2YTAG361210659</t>
  </si>
  <si>
    <t>FOR USE BY OSD OFFICERS WHEN WORKING AT HEIGHTS WITHIN THE SHERIFF'S EQUIPMENT STORAGE FACILITY, WHEN OPERATING LIFTS TO WORK ON TALL ARMORED VEHICLES, AND REACHING EQUIPMENT STORED ON ELEVATED RACKS.</t>
  </si>
  <si>
    <t xml:space="preserve">
Sales Order #: 2291157955
RTD Screening Code: DOD
Reason for Rejection: Y9</t>
  </si>
  <si>
    <t>E-LANYARD</t>
  </si>
  <si>
    <t>2YT1WK61633505</t>
  </si>
  <si>
    <t xml:space="preserve">
Sales Order #: 2288563103
Reason for Rejection: YG</t>
  </si>
  <si>
    <t>2YT1WK61280201</t>
  </si>
  <si>
    <t>FOR USE BY OSD PERSONNEL WHEN OPERATING IN HAZARDOUS CONDITIONS. THESE WOULD BE USED IN CONJUNCTION WITH PROTECTIVE SUITS WHEN IN CONTAMINATED SCENES.</t>
  </si>
  <si>
    <t>SAFETY SHOES/BOOTS, MEN'S</t>
  </si>
  <si>
    <t>DSSAFETY0</t>
  </si>
  <si>
    <t>2YT1WK61563337</t>
  </si>
  <si>
    <t>FOR USE BY LANSING POLICE DEPARTMENT PERSONNEL FOR OBSERVATION AND SURVEILLANCE. CONTACT HAS BEEN MADE TO VERIFY CONDITION</t>
  </si>
  <si>
    <t>2YTPER61563299</t>
  </si>
  <si>
    <t xml:space="preserve">
Sales Order #: 2290729418
RTD Screening Code: DOD
Reason for Rejection: Y9</t>
  </si>
  <si>
    <t>2YT1WK61633036</t>
  </si>
  <si>
    <t>FOR USE BY OSD OFFICERS ASSIGNED TO THE SHERIFF'S SEARCH AND RESCUE TEAM AND SWAT TEAM. THESE ARE INTENDED TO PROVIDE COMMUNICATIONS CAPABLE HEARING PROTECTION FOR OFFICERS ASSIGNED TO HELICOPTER AND HOVERCRAFT ASSETS AS WELL AS DURING TACTICAL DEPLOYMENTS. CURRENTLY MULTIPLE OFFICERS LACK THIS CAPABILITY.</t>
  </si>
  <si>
    <t xml:space="preserve">
Sales Order #: 2290667215
RTD Screening Code: DOD
Reason for Rejection: Y9</t>
  </si>
  <si>
    <t>2YT1WK61632970</t>
  </si>
  <si>
    <t>ALPENA COUNTY SHERIFFS DEPARTMENT -   THIS WHISPER ROOM WOULD BE USED IN OUR JAIL TO ASSIST WITH COURT PRECEDING VIA ZOOM HEARING FOR INMATES.</t>
  </si>
  <si>
    <t xml:space="preserve">
Sales Order #: 2289879877
RTD Screening Code: DOD
Reason for Rejection: YH</t>
  </si>
  <si>
    <t>OFFICE SOUND RECORDING AND REPRODUCING</t>
  </si>
  <si>
    <t>DSCHECKLA</t>
  </si>
  <si>
    <t>2YTAG361491799</t>
  </si>
  <si>
    <t>FOR USE BY OSD OFFICERS ASSIGNED TO SHERIFF'S SEARCH AND RESCUE TEAM. TO BE USED WHEN RESPONDING TO TACTICAL INCIDENTS INVOLVING INTENTIONALLY SET FIRES. RECENTLY AN ACTIVE SHOOTER INCIDENT OCCURRED WITHIN THE JURISDICTION INVOLVING AN INTENTIONAL FIRE WITHOUT AN EFFECTIVE METHOD TO RESPOND.</t>
  </si>
  <si>
    <t>This item is a Fire Truck with water foam and dry chemical Fire Fighting capabilities and will require addition justification and prior approval from LESO.</t>
  </si>
  <si>
    <t>2YT1WK61632997</t>
  </si>
  <si>
    <t>FOR USE BY OSD PERSONNEL WHEN TRANSPORTING EQUIPMENT AND VEHICLES ON OPEN TRAILERS. THE AGENCY REGULARLY NEEDS REPLACEMENT OF TIE DOWNS THROUGH THE COURSE OF YEARLY OPERATIONS DUE TO WEAR AND DAMAGE.</t>
  </si>
  <si>
    <t xml:space="preserve">
Sales Order #: 2290356196
RTD Screening Code: DOD
Reason for Rejection: Y9</t>
  </si>
  <si>
    <t>2YT1WK61562514</t>
  </si>
  <si>
    <t>THIS DRONE WOULD BE UTILIZED BY THE OCEANA COUNTY SHERIFF'S OFFICE FOR USE DURING SEARCH AND RESCUE OPERATIONS AND SUSPECT APPREHENSION, ALONG WITH CRASH INVESTIGATIONS. THIS DRONE WOULD BENEFIT THE OCEANA COUNTY SHERIFF'S OFFICE DRONE PROGRAM GREATLY.</t>
  </si>
  <si>
    <t xml:space="preserve">
Sales Order #: 2290317892
RTD Screening Code: DOD
Reason for Rejection: Y9</t>
  </si>
  <si>
    <t>2YT1XS61562615</t>
  </si>
  <si>
    <t>THIS DRONE WOULD BE UTILIZED BY THE OCEANA COUNTY SHERIFF'S OFFICE FOR USE OF SEARCH AND RESCUE, ALONG WITH SUSPECT APPREHENSION. THIS DRONE WOULD ASSIST IN PLAYING A VITAL ROLE WITHIN THE SHERIFF'S OFFICE DRONE PROGRAM.</t>
  </si>
  <si>
    <t xml:space="preserve">
Sales Order #: 2290407829
RTD Screening Code: DOD
Reason for Rejection: Y9</t>
  </si>
  <si>
    <t>2YT1XS61562613</t>
  </si>
  <si>
    <t>IF ACQUIRED THESE WILL BE USED BY THE MASON COUNTY SHERIFF'S DRONE TEAM FOR SEARCH AND RESCUE AND TACTICAL MISSIONS. CONDITION WAS VERIFIED BY DLA DS NORFFOLK.</t>
  </si>
  <si>
    <t xml:space="preserve">
Sales Order #: 2290403937
RTD Screening Code: DOD
Reason for Rejection: Y9</t>
  </si>
  <si>
    <t>2YTHD961562619</t>
  </si>
  <si>
    <t>2YTN1561422278</t>
  </si>
  <si>
    <t>FOR USE BY ON DUTY OFFICERS OF THE LANSING POLICE DEPARTMENT TO INCREASE OFFICER SAFETY IN HIGH RISK OPERATIONS. CONTACT HAS BEEN MADE WITH LOCATION TO VERIFY PROPERTY CONDITION.</t>
  </si>
  <si>
    <t>2YTPER61422283</t>
  </si>
  <si>
    <t>2YTPER61422282</t>
  </si>
  <si>
    <t>2YTPER61422281</t>
  </si>
  <si>
    <t>2YTPER61422280</t>
  </si>
  <si>
    <t>THIS UNIT WILL BE USED BY THE RANGERS TO HAUL GEAR AND EQUIPMENT TO THE TACTICAL TRAINING RANGE.</t>
  </si>
  <si>
    <t xml:space="preserve">
Sales Order #: 2289096384
RTD Screening Code: DOD
Reason for Rejection: YG</t>
  </si>
  <si>
    <t>STORAGE BIN</t>
  </si>
  <si>
    <t>DSSTORAG2</t>
  </si>
  <si>
    <t>2YTPEQ61281027</t>
  </si>
  <si>
    <t>GENESEE COUNTY PARK RANGER DIV (2YTPEQ)</t>
  </si>
  <si>
    <t xml:space="preserve">THESE UNITS WILL BE USED BY THE RANGERS FOR RESCUE AND TACTICAL OPERATIONS TO QUICKLY REACH OTHERWISE DIFFICULT LOCATIONS.
</t>
  </si>
  <si>
    <t xml:space="preserve">
Sales Order #: 2289210578
RTD Screening Code: DOD
Reason for Rejection: YG</t>
  </si>
  <si>
    <t>2YTPEQ61281024</t>
  </si>
  <si>
    <t xml:space="preserve">THIS UNIT WILL BE USED BY THE RANGERS FOR STORAGE OF TACTICAL OR RESCUE GEAR TO BE KEPT AT DIFFERENT AUXILIARY BASES STAGED THROUGH THE 11,000 ACRES OF PARK LANDS, LAKES, AND RIVERS.
</t>
  </si>
  <si>
    <t xml:space="preserve">
Sales Order #: 2289210572
RTD Screening Code: GSA
Reason for Rejection: YG</t>
  </si>
  <si>
    <t>2YTPEQ61281013</t>
  </si>
  <si>
    <t>FOR USE BY OSD OFFICERS ASSIGNED TO THE SHERIFF'S SEARCH AND RESCUE TEAM OR TACTICAL TEAM. THESE ARE TO BE USED TO PROVIDE COMMUNICATIONS HEARING PROTECTION FOR HELICOPTER AND HOVERCRAFT RESCUE OPERATIONS, AND TACTICAL INCIDENTS.</t>
  </si>
  <si>
    <t xml:space="preserve">
Sales Order #: 2289999595
RTD Screening Code: DOD
Reason for Rejection: Y9</t>
  </si>
  <si>
    <t>2YT1WK61491995</t>
  </si>
  <si>
    <t>ALPENA COUNTY SHERIFFS DEPARTMENT - THIS SKID STEER WOULD BE USED FOR ROUTINE MAINTENANCE INCLUDING SNOW REMOVAL, MOVING TOPSOIL, AND GRAVEL.    WOULD LIKE TO ACQUIRE 1</t>
  </si>
  <si>
    <t xml:space="preserve">
Sales Order #: 2289879853
RTD Screening Code: DOD
Reason for Rejection: Y9</t>
  </si>
  <si>
    <t>2YTAG361491808</t>
  </si>
  <si>
    <t xml:space="preserve">
Sales Order #: 2289879861
RTD Screening Code: DOD
Reason for Rejection: Y9</t>
  </si>
  <si>
    <t>2YTAG361491807</t>
  </si>
  <si>
    <t>THIS UNMANNED AIRCRAFT WOULD BE UTILIZED BY THE OCEANA COUNTY SHERIFF'S OFFICE FOR USE DURING SEARCH AND RESCUE OPERATIONS AS WELL AS TACTICAL OPERATIONS TO BRING SUSPECTS INTO CUSTODY.</t>
  </si>
  <si>
    <t>Rejected by ELG00055.  Comments: This was turned in by Oakland Co and is junk.</t>
  </si>
  <si>
    <t>2YT1XS61491974</t>
  </si>
  <si>
    <t>ALPENA COUNTY SHERIFFS DEPARTMENT - THIS VEHICLE WOULD BE USED TO MOVE EQUIPMENT AND SUPPLIES FOR DAILY OPERATIONS.</t>
  </si>
  <si>
    <t xml:space="preserve">
Sales Order #: 2288110137
RTD Screening Code: DOD
Reason for Rejection: YG</t>
  </si>
  <si>
    <t>2YTAG361219397</t>
  </si>
  <si>
    <t xml:space="preserve">
Sales Order #: 2288110166
RTD Screening Code: DOD
Reason for Rejection: YG</t>
  </si>
  <si>
    <t>2YTAG361219396</t>
  </si>
  <si>
    <t>FOR USE BY ON DUTY OFFICERS OF THE LANSING POLICE DEPARTMENT TO IMPROVE OFFICER VISION AND FIREARM ACCURACY IN LOW LIGHT ENVIRONMENTS. CONTACT HAS BEEN MADE WITH LOCATION TO VERIFY PROPERTY CONDITION.</t>
  </si>
  <si>
    <t>2YTPER61421645</t>
  </si>
  <si>
    <t>2YTPER61421644</t>
  </si>
  <si>
    <t>2YTPER61421643</t>
  </si>
  <si>
    <t>2YTPER61421642</t>
  </si>
  <si>
    <t>2YTPER61421641</t>
  </si>
  <si>
    <t>2YTPER61421640</t>
  </si>
  <si>
    <t>THE OAKLAND COUNTY SHERIFFS OFFICE REQUESTS A LEGGED ROBOTIC PLATFORM TO SUPPORT TACTICAL AND HAZARDOUS ENVIRONMENT OPERATIONS. THIS SYSTEM PROVIDES SUPERIOR MOBILITY AND TRACTION IN ENVIRONMENTS WHERE TRADITIONAL TRACKED ROBOTS ARE LIMITED, INCLUDING STAIRS, UNEVEN TERRAIN, AND CLUTTERED STRUCTURES. THIS CAPABILITY ENHANCES REMOTE ASSESSMENT, REDUCES RISK TO PERSONNEL, AND EXPANDS OPERATIONAL EFFECTIVENESS IN CONDITIONS WHERE CURRENT GROUND SYSTEMS CANNOT RELIABLY OPERATE.</t>
  </si>
  <si>
    <t xml:space="preserve">
Sales Order #: 2288519412
RTD Screening Code: DOD
Reason for Rejection: Y9</t>
  </si>
  <si>
    <t>UNMANNED GROUND VEHICLES</t>
  </si>
  <si>
    <t>DSUNMNGVH</t>
  </si>
  <si>
    <t>2YT1WK61350776</t>
  </si>
  <si>
    <t>THIS UNIT WILL BE USED BY THE RANGERS AS AN AUXILIARY POST DURING PARK AND CROSS ROADS VILLAGE SPECIAL EVENTS.</t>
  </si>
  <si>
    <t xml:space="preserve">
Sales Order #: 2288110167
RTD Screening Code: DOD
Reason for Rejection: YH</t>
  </si>
  <si>
    <t>2YTPEQ61219444</t>
  </si>
  <si>
    <t>FOR USE BY OSD OFFICERS TO EXERCISE PRIOR TO OR AFTER THEIR PATROL SHIFT.</t>
  </si>
  <si>
    <t xml:space="preserve">
Sales Order #: 2288647040
RTD Screening Code: DOD
Reason for Rejection: Y9</t>
  </si>
  <si>
    <t>2YT1WK61280202</t>
  </si>
  <si>
    <t>FOR USE BY LANSING POLICE DEPARTMENT ON ISSUED RIFLES RO IMPROVE ACCURACY AND ENSURE LIFE SAFETY OF POLICE AND PUBLIC. CONTACT HAS BEEN MADE TO VERIFY CONDITION.</t>
  </si>
  <si>
    <t xml:space="preserve">
Sales Order #: 2287150393
RTD Screening Code: DOD
Reason for Rejection: YH</t>
  </si>
  <si>
    <t>2YTPER61078288</t>
  </si>
  <si>
    <t>THIS UNIT WOULD BE USED BY THE RANGERS FOR BOTH MAJOR TACTICAL TRAINING EXERCISES AND UNDERCOVER SURVEILLANCE OPERATIONS. PRIMARY USES IN THE CROSS ROADS VILLAGE AND FLINT RIVER STATE PARK AREAS BUT ALSO FOR SPECIAL OPERATIONS.</t>
  </si>
  <si>
    <t xml:space="preserve">
Sales Order #: 2288244397
RTD Screening Code: DOD
Reason for Rejection: YG</t>
  </si>
  <si>
    <t>2YTPEQ61149696</t>
  </si>
  <si>
    <t>THIS UNIT WILL BE USED BY THE RANGERS FOR SNIPER LOCATIONS, RESCUE OPERATIONS AND SURVEILLANCE.</t>
  </si>
  <si>
    <t xml:space="preserve">
Sales Order #: 2288244202
RTD Screening Code: DOD
Reason for Rejection: Y9</t>
  </si>
  <si>
    <t>2YTPEQ61219443</t>
  </si>
  <si>
    <t>FOR USE BY ON DUTY OSD OFFICERS ASSIGNED TO THE SHERIFF'S SEARCH AND RESCUE TEAM FOR DEPLOYING RESCUE PERSONNEL INTO HEAVILY WOODED AREA TO EXTRACT INJURED PERSONS AND FOR PATROLLING AND RESPONDING TO CALLS WITHIN THE RURAL TOWNSHIPS, FORESTED LAND, STATE AND COUNTY PARK SYSTEM.</t>
  </si>
  <si>
    <t xml:space="preserve">
Sales Order #: 2288524681
RTD Screening Code: DOD
Reason for Rejection: Y9</t>
  </si>
  <si>
    <t>2YT1WK61280210</t>
  </si>
  <si>
    <t xml:space="preserve">
Sales Order #: 2288706340
RTD Screening Code: DOD
Reason for Rejection: Y9</t>
  </si>
  <si>
    <t>2YT1WK61280209</t>
  </si>
  <si>
    <t>IF ACQUIRED, THESE TOOLS WILL BE USED AS BREACHING EQUIPMENT FOR THE MASON COUNTY SHERIFF'S OFFICE FOR TACTICAL OPERATIONS OR COMPLAINTS THAT WE NEED TO GAIN ENTRY INTO A STRUCTURE.</t>
  </si>
  <si>
    <t xml:space="preserve">
Sales Order #: 2288524676
RTD Screening Code: DOD
Reason for Rejection: Y9</t>
  </si>
  <si>
    <t>2YTHD961280384</t>
  </si>
  <si>
    <t>IF ACQUIRED, THIS UNIT WILL BE UTILIZED TO MAINTAIN OUR FIRING RANGE FOR THE MASON COUNTY SHERIFF'S OFFICE AND TO PLOW SNOW AT THE RANGE FOR TRAINING IN THE WINTER TIME. THIS ITEM WAS VERIFIED WORKING BY DLA DS BRAGG.</t>
  </si>
  <si>
    <t xml:space="preserve">
Sales Order #: 2288524661
RTD Screening Code: DOD
Reason for Rejection: Y9</t>
  </si>
  <si>
    <t>2YTHD961280327</t>
  </si>
  <si>
    <t>ALPENA COUNTY SHERIFFS DEPARTMENT - THIS ITEM WOULD BE USED FOR GROUND MAINTENANCE AND SNOW REMOVAL</t>
  </si>
  <si>
    <t xml:space="preserve">
Sales Order #: 2288443083
RTD Screening Code: DOD
Reason for Rejection: Y9</t>
  </si>
  <si>
    <t>2YTAG361280122</t>
  </si>
  <si>
    <t>THIS BOAT WOULD BE USED BY DEPUTIES WITH THE OCEANA COUNTY SHERIFF'S OFFICE FOR USE DURING PATROL AND SEARCH AND RESCUE OPERATIONS WITHIN THE RIVERS AND SWAMPY AREAS OF OUR COUNTY. THIS BOAT WOULD PROVIDE OFFICERS WITH A VITAL PIECE OF EQUIPMENT TO ASSIST WITH THEIR DUTIES.</t>
  </si>
  <si>
    <t xml:space="preserve">
Sales Order #: 2288158055
RTD Screening Code: DOD
Reason for Rejection: Y9</t>
  </si>
  <si>
    <t>2YT1XS61219530</t>
  </si>
  <si>
    <t>THE OAKLAND COUNTY SHERIFFS OFFICE REQUESTS A G-BOSS E PERSISTENT OBSERVATION SYSTEM TO SUPPORT AREA SECURITY, EVENT PROTECTION, AND COUNTER-UAS OPERATIONS. THIS SYSTEM INTEGRATES THERMAL CAMERAS, RADAR, AND ADVANCED SENSORS TO PROVIDE CONTINUOUS MONITORING, EARLY THREAT DETECTION, AND AIRSPACE AWARENESS. WITH A LARGE POPULATION AND FREQUENT LARGE-SCALE EVENTS, PERSISTENT COVERAGE IS CRITICAL. OUR TECHNICAL SUPPORT GROUP HAS THE EXPERTISE TO DEPLOY AND MAINTAIN THIS SYSTEM, ENHANCING REAL-TIME</t>
  </si>
  <si>
    <t xml:space="preserve">
Sales Order #: 2288395682
RTD Screening Code: DOD
Reason for Rejection: Z2</t>
  </si>
  <si>
    <t>2YT1WK61149913</t>
  </si>
  <si>
    <t>FOR USE BY LANSING POLICE PERSONNEL FOR OBSERVATION AT DISTANCE AND BY UNDERCOVER PERSONNEL CONDUCTING SURVEILLANCE. CONTACT HAS BEEN MADE TO VERIFY CONDITION.</t>
  </si>
  <si>
    <t xml:space="preserve">
Sales Order #: 2288295378
RTD Screening Code: DOD
Reason for Rejection: Y9</t>
  </si>
  <si>
    <t>2YTPER61219739</t>
  </si>
  <si>
    <t xml:space="preserve">
Sales Order #: 2287852516
RTD Screening Code: DOD
Reason for Rejection: Y9</t>
  </si>
  <si>
    <t>2YTPER61219738</t>
  </si>
  <si>
    <t>FOR USE BY LANSING POLICE DEPARTMENT TACTICAL TEAM TO HOLD GEAR. CONTACT HAS BEEN MADE TO VERIFY CONDITION.</t>
  </si>
  <si>
    <t xml:space="preserve">
Sales Order #: 2287852511
RTD Screening Code: DOD
Reason for Rejection: Y9</t>
  </si>
  <si>
    <t>2YTPER61219357</t>
  </si>
  <si>
    <t>FOR USE BY ON DUTY OFFICERS OF THE LANSING POLICE DEPARTMENT TO IMPROVE FIREARM ACCURACY. CONTACT HAS BEEN MADE WITH THE LOCATION TO VERIFY THE PROPERTY CONDITION.</t>
  </si>
  <si>
    <t xml:space="preserve">
Sales Order #: 2286708817
Reason for Rejection: YG</t>
  </si>
  <si>
    <t>2YTPER61007669</t>
  </si>
  <si>
    <t>AIR CASCADE SYSTEM WILL SUPPORT LAW ENFORCEMENT DIVE TEAM OPERATIONS BY PROVIDING ON-SITE REFILLING OF SCBA SCUBA CYLINDERS FOR UNDERWATER SEARCH, RECOVERY, AND RESCUE MISSIONS. ENHANCES DIVER SAFETY, REDUCES DOWNTIME BETWEEN DIVES, AND ELIMINATES RELIANCE ON OUTSIDE VENDORS. IMPROVES OPERATIONAL READINESS FOR PROLONGED INCIDENTS, TRAINING, AND EMERGENCY RESPONSE.</t>
  </si>
  <si>
    <t>CYCLE Item is in the GSA Cycle</t>
  </si>
  <si>
    <t>2YTEWV61079277</t>
  </si>
  <si>
    <t>THE OAKLAND COUNTY SHERIFFS OFFICE REQUESTS IR AND WHITE LIGHT FLASHLIGHTS TO SUPPORT TACTICAL OPERATIONS AND LOW-LIGHT DEPLOYMENTS. THESE LIGHTS PROVIDE ESSENTIAL ILLUMINATION FOR NAVIGATION, IDENTIFICATION, AND SEARCH FUNCTIONS, WHILE IR CAPABILITY ALLOWS COVERT OPERATION WITH NIGHT VISION EQUIPMENT. THIS EQUIPMENT ENHANCES OFFICER SAFETY, SITUATIONAL AWARENESS, AND EFFECTIVENESS DURING NIGHTTIME AND LOW-VISIBILITY LAW ENFORCEMENT OPERATIONS.</t>
  </si>
  <si>
    <t>2YT1WK61149232</t>
  </si>
  <si>
    <t xml:space="preserve">
Sales Order #: 2287798376
RTD Screening Code: DOD
Reason for Rejection: Y9</t>
  </si>
  <si>
    <t>2YT1WK61149107</t>
  </si>
  <si>
    <t xml:space="preserve">
Sales Order #: 2287150372
RTD Screening Code: DOD
Reason for Rejection: Y9</t>
  </si>
  <si>
    <t>2YTPER61078287</t>
  </si>
  <si>
    <t xml:space="preserve">
Sales Order #: 2286656610
RTD Screening Code: DOD
Reason for Rejection: Y9</t>
  </si>
  <si>
    <t>2YTPER61008091</t>
  </si>
  <si>
    <t>ALPENA COUNTY SHERIFF'S DEPARTMENT - THIS SIDE BY SIDE WOULD BE UTILIZED AT ONE OF OUR COUNTY PARKS FOR PATROL OPERATIONS.    WE HAVE FOUR COUNTY PARKS AND TRYING TO OUTFIT EACH ONE WITH A SIDE BY SIDE.</t>
  </si>
  <si>
    <t xml:space="preserve">
Sales Order #: 2286756671
RTD Screening Code: DOD
Reason for Rejection: Y9</t>
  </si>
  <si>
    <t>2YTAG361007883</t>
  </si>
  <si>
    <t xml:space="preserve">
Sales Order #: 2287246346
RTD Screening Code: DOD
Reason for Rejection: Y9</t>
  </si>
  <si>
    <t>2YTPER61008556</t>
  </si>
  <si>
    <t xml:space="preserve">
Sales Order #: 2287246334
RTD Screening Code: DOD
Reason for Rejection: Y9</t>
  </si>
  <si>
    <t>2YTPER61008554</t>
  </si>
  <si>
    <t xml:space="preserve">
Sales Order #: 2287283490
RTD Screening Code: DOD
Reason for Rejection: Y9</t>
  </si>
  <si>
    <t>2YTPER61008553</t>
  </si>
  <si>
    <t xml:space="preserve">
Sales Order #: 2287219724
RTD Screening Code: DOD
Reason for Rejection: Y9</t>
  </si>
  <si>
    <t>2YTH5N61078384</t>
  </si>
  <si>
    <t>FOR USE BY LANSING POLICE TACTICAL TEAM DURING TRAINING TO PRESERVE OTHER ISSUED UNIFORMS. CONTACT HAS BEEN MADE TO VERIFY CONDITION.</t>
  </si>
  <si>
    <t xml:space="preserve">
Sales Order #: 2287150375
RTD Screening Code: DOD
Reason for Rejection: Y9</t>
  </si>
  <si>
    <t>2YTPER61008160</t>
  </si>
  <si>
    <t xml:space="preserve">
Sales Order #: 2286656611
RTD Screening Code: DOD
Reason for Rejection: Y9</t>
  </si>
  <si>
    <t>2YTPER61008089</t>
  </si>
  <si>
    <t>ALPENA COUNTY SHERIFF'S DEPARTMENT -  THIS TRUCK WOULD BE USED TO HAUL TRAILERS DURING NORMAL OPERATIONS AND EMERGENCY SITUATIONS. WE HAVE A 35 FT IC TRAILER THAT WE NEED A BIGGER TRUCK FOR.</t>
  </si>
  <si>
    <t xml:space="preserve">
Sales Order #: 2286756677
RTD Screening Code: DOD
Reason for Rejection: Y9</t>
  </si>
  <si>
    <t>2YTAG361007885</t>
  </si>
  <si>
    <t>FOR USE BY LANSING POLICE DEPARTMENT DURING FIREARMS TRAINING TO PROTECT HEARING.</t>
  </si>
  <si>
    <t>2YTPER61007978</t>
  </si>
  <si>
    <t>ALPENA COUNTY SHERIFFS DEPARTMENT --   THIS SIDE BY SIDE WOULD BE UTILIZED AT ONE OF OUR COUNTY PARKS FOR PATROL OPERATIONS.  WE HAVE FOUR COUNTY PARKS AND TRYING TO OUTFIT EACH ONE WITH SIDE BY SIDE.</t>
  </si>
  <si>
    <t xml:space="preserve">
Sales Order #: 2286756683
RTD Screening Code: DOD
Reason for Rejection: Y9</t>
  </si>
  <si>
    <t>2YTAG361007881</t>
  </si>
  <si>
    <t>IF ACQUIRED THIS VEHICLE WOULD BE USED AS A MOBILE COMMAND VEHICLE FOR CRITICAL INCIDENTS AND EXTENDED SCENES. THIS VEHICLE WOULD BE THE OPERATIONS VEHICLE FOR THE REGIONAL WARRANT TEAMS THAT SERVES DRUG ENFORCEMENT WARRANTS THROUGHOUT THE AREA.</t>
  </si>
  <si>
    <t>CYCLE - ITEM IS NOW IN GSA CYCLE, LEAs CANNOT REQUISITION FROM GSA CYCLE.</t>
  </si>
  <si>
    <t>2YT1SJ61562858</t>
  </si>
  <si>
    <t>NORWAY POLICE DEPARTMENT (2YT1SJ)</t>
  </si>
  <si>
    <t>ME</t>
  </si>
  <si>
    <t>IF ACQUIRED THIS LIGHT WOULD BE USED FOR SCENE LIGHTING AND COMMAND POST ILLUMINATION DURING CRITICAL INCIDENTS AND EXTENDED EMERGENCY SCENES. IT WOULD ALSO BE USED FOR LANDING ZONE LIGHTING DURING MULTI-TEAM SUAS DEPLOYMENTS.</t>
  </si>
  <si>
    <t>2YT1SJ61492859</t>
  </si>
  <si>
    <t>THESE RED DOT SIGHTS WILL ASSIST THE MARYLAND STATE POLICE WITH BETTER DISCRETION AND ACCURACY WHILE UTILIZING LESS LETHAL LAUNCHERS AND MUNITIONS. WE WILL ARRANGE FOR AND PAY FOR SHIPPING.</t>
  </si>
  <si>
    <t>2YTPC461703470</t>
  </si>
  <si>
    <t>THESE IR LASER DEVICES WILL ASSIST THE MARYLAND STATE POLICE WITH SIGNALING, DETECTION, AND DISCERNMENT WHILE UTILIZING NIGHT VISION DEVICES, ESPECIALLY DURING SEARCH AND RESCUE OPERATIONS. WE WILL ARRANGE FOR AND PICK UP LOCALLY</t>
  </si>
  <si>
    <t>2YTPC461703467</t>
  </si>
  <si>
    <t>THESE INFRARED LASERS WILL ASSIST THE MARYLAND STATE POLICE WITH SIGNALING, DISCERNMENT, AND DETECTION WHILE USING NIGHT VISION DURING SEARCH AND RESCUE OPERATIONS. WE WILL ARRANGE FOR PICKUP LOCALLY.</t>
  </si>
  <si>
    <t>2YTPC461633471</t>
  </si>
  <si>
    <t>THESE INFRARED LASERS WILL ASSIST THE MARYLAND STATE POLICE WITH SIGNALING, ILLUMINATING, AND DISCRETION SPECIFICALLY UNDER NIGHT VISION DURING SEARCH AND RESCUE OPERATIONS. WE WILL BE ABLE TO PICK UP LOCALLY AND WILL ARRANGE FOR PICKUP PROMPTLY.</t>
  </si>
  <si>
    <t>2YTPC461633469</t>
  </si>
  <si>
    <t>THESE INFRARED LASER DEVICES WILL ASSIST THE MARYLAND STATE POLICE WITH DETECTION, SIGNALING, AND DISCRETION WHILE UTILIZING NIGHT VISION DURING SEARCH AND RESCUE OPERATIONS. WE WILL PAY FOR AND ARRANGE FOR SHIPPING.</t>
  </si>
  <si>
    <t>2YTPC461703468</t>
  </si>
  <si>
    <t>THESE NIGHT VISION DEVICES WILL ASSIST THE MARYLAND STATE POLICE WITH SEARCH AND RESCUE OPERATIONS, ESPECIALLY THOSE CONDUCTED IN LOW LIGHT OR DARKNESS. THE MSP IS THE PRIMARY SEARCH AND RESCUE UNIT FOR THE ENTIRE STATE. WE ARE REQUESTING ALL 57 UNITS. WE WILL HAPPILY ACCEPT THESE UNITS IN THE CONDITION THEY ARE CURRENTLY IN. WE WILL ALSO PAY OUR WAY FOR SHIPPING THESE UNITY TO MARYLAND, OR IF REQUIRED WE CAN PICKUP IN PERSON.</t>
  </si>
  <si>
    <t xml:space="preserve">
Sales Order #: 2285178126
RTD Screening Code: DOD
Reason for Rejection: Y9</t>
  </si>
  <si>
    <t>2YTPC460654705</t>
  </si>
  <si>
    <t>THIS THERMAL SIGHT WILL ASSIST THE MARYLAND STATE POLICE WITH SEARCH AND RESCUE EFFORTS, ESPECIALLY THOSE OCCURRING IN TIMES IN REDUCED VISIBILITY. THE MARYLAND STATE POLICE IS THE PRIMARY SEARCH AND RESCUE AGENCY OR THE STATE. WE WILL ACCEPT THIS UNIT IN IN ITS CURRENT CONDITION. WE WILL ALSO PAY AND ARRANGE FOR SHIPPING.</t>
  </si>
  <si>
    <t xml:space="preserve">
Sales Order #: 2285178167
RTD Screening Code: DOD
Reason for Rejection: YG</t>
  </si>
  <si>
    <t>2YTPC460725168</t>
  </si>
  <si>
    <t>THESE INFRARED LASERS WILL ASSIST THE MARYLAND STATE POLICE SWAT TEAM BY PROVIDING A METHOD TO INTRODUCE INFRARED LIGHT FOR USE UNDER NIGHT VISION GOGGLES. THIS WILL AID IN A GREATER SITUATIONAL AWARENESS PROVIDING FOR SAFER OUTCOMES FOR BOTH THE TROOPER AND THE PUBLIC. WE WILL PAY AND ARRANGE TO COVER SHIPPING COSTS. WE WILL ACCEPT THESE UNITS IN THEIR CURRENT CONDITION.</t>
  </si>
  <si>
    <t>2YTPC461229450</t>
  </si>
  <si>
    <t>2YTPC461229449</t>
  </si>
  <si>
    <t>THIS NIGHT VISION DEVICE WILL ASSIST THE MARYLAND STATE POLICE WITH SEARCH AND RESCUE OPERATIONS WITHIN THE STATE OF MARYLAND. THE STATE POLICE ACTS AS THE PRIMARY SEARCH AND RESCUE AGENCY WITHIN THE STATE. THESE DEVICES WILL GREATLY BENEFIT IN AIDING THE PUBLIC DURING THOSE OPERATIONS OCCURING AT LOW LIGHT OR DARKNESS. WE WILL PAY FOR AND ARRANGE TO COVER SHIPPING COSTS. WE WILL ACCEPT THE UNIT INITS CURRENT CONDITON.</t>
  </si>
  <si>
    <t>2YTPC461219458</t>
  </si>
  <si>
    <t>2YTPC461219457</t>
  </si>
  <si>
    <t>2YTPC461219456</t>
  </si>
  <si>
    <t>2YTPC461219455</t>
  </si>
  <si>
    <t>THIS THERMAL OPTIC WILL ASSIST THE MARYLAND STATE POLICE WITH SEARCH AND RESCUE OPERATIONS. THE STATE POLICE IS THE PRIMARY SEARCH AND RESCUE AGENCY IN THE STATE. THE THERMAL OPTIC WILL AID US IN RESCUING CITIZENS, ESPECIALLY DURING LOW OR NO LIGHT. WE WILL PAY FOR AND ARRANGE TO COVER SHIPPING. WE WILL ACCEPT THIS UNIT IN ITS CURRENT CONDITION.</t>
  </si>
  <si>
    <t>2YTPC461219447</t>
  </si>
  <si>
    <t>2YTPC461219454</t>
  </si>
  <si>
    <t>2YTPC461219453</t>
  </si>
  <si>
    <t>2YTPC461219452</t>
  </si>
  <si>
    <t>2YTPC461219451</t>
  </si>
  <si>
    <t>THIS NIGHT VISION DEVICE WILL ASSIST THE MARYLAND STATE POLICE SWAT TEAM SNIPER SECTION. THESE DEVICES WILL GREATLY BENEFIT IN AIDING THE PUBLIC DURING HIGH STAKES OPERATIONS OCCURING AT LOW LIGHT OR DARKNESS BY PROVIDING GREATER SITUATIONAL AWARENESS TO THE TROOPERS, THIS ABILITY WILL INCREASE BOTH PUBLIC AND OFFICER SAFETY. WE WILL PAY FOR AND ARRANGE TO COVER SHIPPING COSTS. WE WILL ACCEPT THE UNIT IN ITS CURRENT CONDITION.</t>
  </si>
  <si>
    <t>2YTPC461219459</t>
  </si>
  <si>
    <t>THESE INFRARED ILLUMINATORS WILL ASSIST THE MARYLAND STATE POLICE SWAT TEAM BY PROVIDING BETTER SITUATIONAL AWARENESS AND THE ABILITY TO PROJECT INFRARED LIGHT FOR USE UNDER NIGHT VISION GOGGLES. THIS WILL AID BY INCREASING SAFETY TO THE TROOPERS ASSIGNED AND TO THE PUBLIC. WE WILL PAY FOR AND ARRANGE TO COVER SHIPPING COSTS. WE WILL ACCEPT THESE UNITS IN THEIR CURRENT CONDITION.</t>
  </si>
  <si>
    <t>2YTPC461219448</t>
  </si>
  <si>
    <t>THESE INFRARED ILLUMINATORS WILL ASSIST THE MARYLAND STATE POLICE WITH IDENTIFICATION AND DISCRIMINATION WHILE USING NIGHTVISION DEVICES BOTH DURING POLICE ACTIONS AND DURING SEARCH AND RESCUE OPERATIONS. THESE UNITS WILL BE VERY BENEFICIAL TO OUR AGENCY. WE WILL PAY FOR AND ARRANGE FOR SHIPPING. WE WILL ACCEPT THESE UNITS IN THEIR CURRENT CONDITION.</t>
  </si>
  <si>
    <t>2YTPC461219445</t>
  </si>
  <si>
    <t>THESE MAGNIFIED OPTICS WILL ASSIST THE MARYLAND STATE POLICE SWAT TEAM BY PROVIDING OPTICAL SIGHTING SOLUTIONS FOR OUR LESS LETHAL LAUNCHERS. THE OPTICS WILL AID IN TARGET DISCRIMINATION AND WILL RESULT IN GREATER SAFETY TO THE TROOPER AND THE PUBLIC. WE WILL PAY FOR AND ARRANGE FOR SHIPPING TO COVER THE ITEMS. WE WILL ACCEPT THESE OPTICS IN THEIR CURRENT CONDITION.</t>
  </si>
  <si>
    <t>SIGHTUNIT</t>
  </si>
  <si>
    <t>2YTPC461219446</t>
  </si>
  <si>
    <t>THESE INFRARED LASERS WILL ASSIST THE MARYLAND STATE POLICE WITH BEING ABLE TO UTILIZE BOTH VISIBLE AND INFRARED LASERS FOR SIGNALING AND POINTING WHICH WILL AID GREATLY IN SEARCH AND RESCUE OPERATIONS THAT OCCUR THROUGH THE STATE, ESPECIALLY THOSE OCCURING IN LOW LIGHT. WE WILL ARRANGE FOR AND PAY FOR SHIPPING. WE WILL ACCEPT THESE UNITS IN THEIR CURRENT CONDITION.</t>
  </si>
  <si>
    <t>2YTPC461078587</t>
  </si>
  <si>
    <t>FBI BALTIMORE SWAT IS REQUESTING NIGHT VISION TO UTILIZE DURING REDUCED VISIBILITY HIGH RISK WARRANT OPERATIONS TO BETTER ENHANCE LEO OPERATOR SAFETY. FBI BALTIMORE WILL ONLY USE EQUIPMENT FOR AUTHORIZED PURPOSES. AFTER CONTACTING OWNING FACILITY, FBI BA UNDERSTANDS AND ACCEPTS CONDITION CODE F.</t>
  </si>
  <si>
    <t xml:space="preserve">
Sales Order #: 2287729133
RTD Screening Code: DOD
Reason for Rejection: Y9</t>
  </si>
  <si>
    <t>2YTRJ361148929</t>
  </si>
  <si>
    <t>DOJ/FBI BALTIMORE (2YTRJ3)</t>
  </si>
  <si>
    <t>THIS THERMAL DEVICE WILL ASSIST THE MARYLAND STATE POLICE WITH SEARCH AND RESCUE OPERATIONS THROUGHOUT THE STATE OF MARYLAND. WE WILL PAY AND ARRANGE FOR SHIPPING. WE WILL ACCEPT THIS UNIT IN ITS CURRENT CONDITION.</t>
  </si>
  <si>
    <t>ELECTRONIC UNIT,NIGHT VISION VIEWER</t>
  </si>
  <si>
    <t>2YTPC461007910</t>
  </si>
  <si>
    <t>THESE LASERS WILL ASSIST THE MARYLAND STATE POLICE WITH PROVIDING BOTH AN INFRA RED AND VISIBLE LASER TO ASSIST WITH SEARCH AND RESCUE EFFORTS AND FOR USE UNDER NIGHT VISION DEVICES. WE WILL ARRANGE FOR AND PAY TO COVER SHIPPING THESE UNITS TO MARYLAND. WE WILL ACCEPT THESE UNITS IN THEIR CURRENT CONDITION.</t>
  </si>
  <si>
    <t>2YTPC461008123</t>
  </si>
  <si>
    <t>THESE LASER DEVICES WILL ASSIST THE MARYLAND STATE POLICE BY ALLOWING AN INFRARED AND VISIBLE LASER TO BE USED FOR SIGNALING AND FOR IDENTIFICATION DURING SEARCH AND RESCUE OPERATIONS THROUGHOUT THE STATE OF MARYLAND. WE WILL ARRANGE FOR AND PAY FOR ALL SHIPPING COSTS. WE WILL ACCEPT THESE UNITS IN THEIR CURRENT CONDITION,</t>
  </si>
  <si>
    <t>2YTPC461008122</t>
  </si>
  <si>
    <t>THESE LASER DEVICES WILL ALLOW THE MARYLAND STATE POLICE TO OBSERVE IN DARKNESS AND TO SIGNAL DURING SEARCH AND RESCUE OPERATIONS THROUGHOUT THE STATE. WE WILL PAY FOR AND ARRANGE SHIPPING FOR THE LASERS. WE WILL ACCEPT THE LASERS IN THEIR CURRENT CONDITION,</t>
  </si>
  <si>
    <t>2YTPC461007911</t>
  </si>
  <si>
    <t>THIS MAGNIFIED OPTIC WILL ASSIST THE MARYLAND STATE POLICE WITH GREATER CAPABILITY FOR OBSERVATION DURING SEARCH AND RESCUE EFFORTS THROUGHOUT THE STATE. WE WILL ARRANGE AND PAY TO COVER COSTS OF SHIPPING. WE WILL ACCEPT THIS UNIT IN ITS CURRENT CONDITION.</t>
  </si>
  <si>
    <t>2YTPC460938124</t>
  </si>
  <si>
    <t>THESE AIMPOINT OPTICS WILL ASSIST THE MARYLAND STATE POLICE BY PROVIDING AN OPTICAL SIGHTING SYSTEM FOR OUR LESS LETHAL LAUNCHERS. THESE OPTICS WILL PROVIDE A GREATER SAFETY FOR THE TROOPER AND THE PUBLIC. WE WILL ARRANGE FOR AND PAY FOR SHIPPING. WE WILL ACCEPT THESE UNITS IN THEIR CURRENT CONDITION,</t>
  </si>
  <si>
    <t>2YTPC460937913</t>
  </si>
  <si>
    <t>THESE THERMAL UNITS WILL ASSIST THE MARYLAND STATE POLICE WITH SEARCH AND RESCUE EFFORTS ACROSS THE STATE. ESPECIALLY THOSE CONDUCTED IN LOW LIGHT. WE WILL ARRANGE FOR AND PAY TO COVER SHIPPING COSTS. WE WILL ACCEPT THESE UNITS IN THEIR CURRENT CONDITION.</t>
  </si>
  <si>
    <t>2YTPC460937912</t>
  </si>
  <si>
    <t>THESE ITEMS ARE BEING REQUESTED FOR THE DEA NEW ENGLAND DIVISION TO BE USED BY INVESTIGATORS FOR LAW ENFORCEMENT PURPOSES. THE REQUESTED ILLUMINATORS WILL BE USED FOR TRAINING AND DE-CONFLICTION DURING OPERATIONAL SITUATIONS. LEA HAS CONFIRMED SITE HAS BEEN CONTACTED AND ACCEPT CONDITIONS OF PROPERTY.</t>
  </si>
  <si>
    <t>2YTRKA61351136</t>
  </si>
  <si>
    <t>DOJ/DEA BOSTON (2YTRKA)</t>
  </si>
  <si>
    <t>MA</t>
  </si>
  <si>
    <t>THIS ITEM IS BEING REQUESTED BY THE DEA NEW ENGLAND DIVISION TO BE USED BY INVESTIGATORS FOR LAW ENFORCEMENT PURPOSES. THE REQUESTED ILLUMINATORS WILL BE USED BY INVESTIGATORS FOR TRAINING AND FOR DE-CONFLICTION PURPOSES IN OPERATIONAL ENVIRONMENTS. LEA HAS CONFIRMED SITE HAS BEEN CONTACTED AND ACCEPTS CONDITION OF PROPERTY</t>
  </si>
  <si>
    <t>2YTRKA61351098</t>
  </si>
  <si>
    <t>THIS VEHICLE WILL BE UTILIZED BY THE OLDHAM COUNTY POLICE DEPT TO TRANSPORT OFFICERS IN HIGH THREAT SITUATIONS WHERE ARMED RESISTANCE IS EXPECTED. THE VEHICLE WILL ALLOW OFFICERS TO RESPOND TO SITUATIONS WHILE PROTECTING THEM FROM POTENTIAL THREATS. THE VEHICLE MAY ALSO BE UTILIZED AS A RESCUE VEHICLE SHOULD AN OFFICER BE INJURED IN THE FIELD.</t>
  </si>
  <si>
    <t>2YT12061844823</t>
  </si>
  <si>
    <t>2YT12061844822</t>
  </si>
  <si>
    <t>THIS TRAILER WILL BE UTILIZED BY THE OLDHAM COUNTY POLICE DEPT TO TRANSPORT ITEMS, STORE EQUIPMENT, ACT AS A MOBILE COMMAND POST. THIS TRAILER WILL PROVIDE THE AGENCY WITH A VALUABLE RESOURCE FOR A VARIETY OF SITUATIONS THAT WILL ULTIMATELY IMPROVE THE AGENCY'S ABILITY TO SERVE THE COMMUNITY.</t>
  </si>
  <si>
    <t>2YT12061773773</t>
  </si>
  <si>
    <t>2YT12061773774</t>
  </si>
  <si>
    <t>THESE SETS WILL BE UTILIZED BY THE OLDHAM COUNTY POLICE DEPT TO HELP OUTFIT OUR NEW FITNESS FACILITY. THE SETS WILL PROVIDE OFFICERS THE TRAINING EQUIPMENT NEEDED TO MAINTAIN AND IMPROVE THEIR PHYSICAL FITNESS WHICH WILL IN TURN ALLOW THEM TO BETTER SERVE OUR COMMUNITY.</t>
  </si>
  <si>
    <t xml:space="preserve">
Sales Order #: 2290910838
RTD Screening Code: DOD
Reason for Rejection: Y9</t>
  </si>
  <si>
    <t>2YT12061633280</t>
  </si>
  <si>
    <t>THESE TOOLBOXES WILL BE UTILIZED BY THE OLDHAM COUNTY POLICE DEPT AT OUR RANGE FACILITY TO STORE TOOLS AND OTHER MATERIALS IN OUR ARMORY. THE TOOL BOXES WILL ALLOW OUR ARMORERS TO PROPERLY STORE EQUIPMENT AND IMPROVE THEIR EFFICIENCY IN SERVICING OFFICER'S WEAPONS.</t>
  </si>
  <si>
    <t xml:space="preserve">
Sales Order #: 2290910837
RTD Screening Code: DOD
Reason for Rejection: Y9</t>
  </si>
  <si>
    <t>2YT12061633118</t>
  </si>
  <si>
    <t>THE MAGOFFIN COUNTY SHERIFF'S OFFICE WOULD USE THESE MOTORCYCLES FOR PARADES, AND TRAVEL THRU CONGESTED AREAS DURING FESTIVALS WHEN A FULL-SIZE VEHICLE IS NOT PRACTICAL. OUR COUNTY HAS RAILS TO TRAILS  TRAILS IN OUR JURISDICTION. LARGE PATROL VEHICLES ARE NOT PRACTICAL FOR THE TRAIL PATROLS. WE WILL ALSO USE THESE MOTORCYCLES FOR PATROLLING AND ACCESS ON A HARD SURFACED TRAIL WHICH COVERS THREE COUNTIES INCLUDING NUMEROUS MILES OF TRAIL IN OUR JURISDICTION.</t>
  </si>
  <si>
    <t xml:space="preserve">
Sales Order #: 2291157723
RTD Screening Code: DOD
Reason for Rejection: Y9</t>
  </si>
  <si>
    <t>2YTG6K61633331</t>
  </si>
  <si>
    <t>THIS DEVICE WILL BE UTILIZED BY THE OLDHAM COUNTY POLICE DEPT BY OUR TACTICAL TEAM IN SITUATIONS WHERE THERE IS LOW OR NO LIGHT AVAILABLE. THE DEVICE WILL ALLOW OUR OFFICERS TO POSITIVELY IDENTIFY POTENTIAL THREATS IN LOW LIGHT SITUATIONS AND ULTIMATELY IMPROVE THEIR SAFETY AND ABILITY TO SERVE THE COMMUNITY. DLA DS COLUMBUS PROVIDED PHOTOS OF THE DEVICE AND THE CONDITION APPEARS ACCEPTABLE BY THE RECEIVING AGENCY.</t>
  </si>
  <si>
    <t xml:space="preserve">
Sales Order #: 2290732841
RTD Screening Code: DOD
Reason for Rejection: Y9</t>
  </si>
  <si>
    <t>2YT12061562813</t>
  </si>
  <si>
    <t xml:space="preserve">
Sales Order #: 2290732851
RTD Screening Code: DOD
Reason for Rejection: Y9</t>
  </si>
  <si>
    <t>2YT12061562809</t>
  </si>
  <si>
    <t xml:space="preserve">
Sales Order #: 2290732850
RTD Screening Code: DOD
Reason for Rejection: Y9</t>
  </si>
  <si>
    <t>2YT12061562808</t>
  </si>
  <si>
    <t xml:space="preserve">
Sales Order #: 2290637287
RTD Screening Code: DOD
Reason for Rejection: Y9</t>
  </si>
  <si>
    <t>2YT12061562807</t>
  </si>
  <si>
    <t xml:space="preserve">
Sales Order #: 2289686389
RTD Screening Code: DOD
Reason for Rejection: YG</t>
  </si>
  <si>
    <t>2YT12061421667</t>
  </si>
  <si>
    <t>THIS VEHICLE WILL BE USED BY THE OLDHAM COUNTY POLICE DEPT TO TRANSPORT OFFICERS IN AREAS OF OUR JURISDICTION WHERE IT IS TOO RURAL OR ROUGH TERRAIN FOR TRADITIONAL VEHICLES. THIS VEHICLE MAY ASSIST WITH SEARCH AND RESCUE OR OTHER TACTICAL OPERATIONS. THIS VEHICLE WILL ALLOW OUR OFFICERS TO PROVIDE A BETTER SERVICE TO OUR COMMUNITY.</t>
  </si>
  <si>
    <t xml:space="preserve">
Sales Order #: 2290174033
RTD Screening Code: DOD
Reason for Rejection: Y9</t>
  </si>
  <si>
    <t>2YT12061491753</t>
  </si>
  <si>
    <t>THIS VEHICLE WILL BE UTILIZED BY THE OLDHAM COUNTY POLICE DEPT TO TRANSPORT OFFICERS AND EQUIPMENT WHEN TRADITIONAL VEHICLES ARE LESS PRACTICAL. THE VEHICLE WILL ALLOW OFFICERS TO MOVE ABOUT CONGESTED AREAS AND THROUGH SPECIAL EVENTS AS WELL.</t>
  </si>
  <si>
    <t>Rejected by EBT0903.</t>
  </si>
  <si>
    <t>2YT12061562327</t>
  </si>
  <si>
    <t xml:space="preserve">THE OPTIC FORM HAS BEEN FILLED OUT AND SUBMITTED, AS WELL AS THE REPRESENTATIVE ON BASE CONFIRMING THAT THEY ARE IN WORKING ORDER. OFFICERS SPECIFICALLY TRAINED AS SWAT SNIPERS WILL BE ISSUED THIS SCOPE TO MOUNT ONTO THEIR SNIPER RIFLE. THIS SCOPE WILL BE A GREAT IMPROVEMENT TO OFFICERS' CURRENT SETUP, ALLOWING FOR A CLEARER SIGHT PICTURE AS WELL AS MORE PRECISE ADJUSTMENTS. HAVING THESE SCOPES WILL GIVE OFFICERS THE ABILITY TO TAKE CRITICAL SHOTS, SUCH AS HOSTAGE RESCUE.
</t>
  </si>
  <si>
    <t>2YTD8U61562500</t>
  </si>
  <si>
    <t xml:space="preserve">
Sales Order #: 2288647018
RTD Screening Code: DOD
Reason for Rejection: Z2</t>
  </si>
  <si>
    <t>2YTD8U61219474</t>
  </si>
  <si>
    <t xml:space="preserve">
Sales Order #: 2288647020
RTD Screening Code: DOD
Reason for Rejection: Z2</t>
  </si>
  <si>
    <t>2YTD8U61219472</t>
  </si>
  <si>
    <t>THESE ROBOTS WILL BE UTILIZED BY THE OLDHAM COUNTY POLICE DEPT'S TACTICAL TEAM TO IMPROVE STANDOFF DISTANCE FOR OFFICERS IN DANGEROUS SITUATIONS. THE ROBOTS WILL ALLOW OFFICERS TO MANIPULATE DOORS, SEE POTENTIAL THREATS, AND CLEAR OBSTACLES THAT MAY OTHERWISE CREATE DANGEROUS SITUATIONS. THE ROBOTS WILL ENHANCE THE AGENCY'S ABILITY TO SERVE THE COMMUNITY.</t>
  </si>
  <si>
    <t xml:space="preserve">
Sales Order #: 2288061388
RTD Screening Code: DOD
Reason for Rejection: YG</t>
  </si>
  <si>
    <t>2YT12061079170</t>
  </si>
  <si>
    <t xml:space="preserve">
Sales Order #: 2288646736
RTD Screening Code: DOD
Reason for Rejection: Y9</t>
  </si>
  <si>
    <t>2YT12061280244</t>
  </si>
  <si>
    <t>THE NICHOLASVILLE POLICE DEPARTMENT IS REQUESTING THIS ITEM IN REGARDS TO OUR SPECIAL OPERATIONS</t>
  </si>
  <si>
    <t>2YT1LB61281060</t>
  </si>
  <si>
    <t>NICHOLASVILLE POLICE DEPT (2YT1LB)</t>
  </si>
  <si>
    <t xml:space="preserve">THE MEADE CO. SHERIFF'S OFFICE WOULD LIKE TO ACQUIRE THIS TRUCK FOR OUR EVIDENCE TECHS. AND DEPUTIES TO USE AS A CRIME SCENE VEHICLE. IT WOULD BE EQUIPPED WITH ALL MATERIALS NEEDED FOR PROCESSING A CRIME SCENE ON ONE VEHICLE. CURRENTLY, OUR DEPUTIES ARE HAVING TO USE MATERIALS FROM MULTIPLE VEHICLES TO PROCESS A CRIME SCENE. OUR AGENCY BEING A FEE POOLED OFFICE WITH AN EXTREMELY TIGHT BUDGET WILL NOT ALLOW US TO PURCHASE A VEHICLE LIKE THIS.
</t>
  </si>
  <si>
    <t>2YTPTW61280343</t>
  </si>
  <si>
    <t xml:space="preserve">THE MEADE CO. SHERIFF'S OFFICE WOULD LIKE TO ACQUIRE THESE CONTAINERS FOR OUR AGENCY'S USE IN STORING LAW ENFORCEMENT GEAR, CROWD CONTROL GEAR, AND ALL OTHER GEAR AND SUPPLIES THAT MAY BE NEEDED IN THE EVENT OF A MAJOR EMERGENCY AND OR NATURAL DISASTER. DUE TO OUR COUNTY GOVERNMENT REALIGNING PROPERTY FOR A NEW JUDICIAL BUILDING, OUR AGENCY IS IN GREAT NEED FOR MORE STORAGE AND BEING A FEE POOLED OFFICE, OUR BUDGET WILL NOT ALLOW US TO PURCHASE MORE STORAGE.
</t>
  </si>
  <si>
    <t xml:space="preserve">
Sales Order #: 2288617679
RTD Screening Code: DOD
Reason for Rejection: Y9</t>
  </si>
  <si>
    <t>2YTPTW61219548</t>
  </si>
  <si>
    <t>WILL BE ISSUED TO SWAT OFFICERS WHO NEED INCLEMENT WEATHER BUT INCLEMENT WEATHER GEAR HAS NOT BEEN PROVIDED WITH IT. OTHER SPECIALTY UNITS SUCH AS ACCIDENT RECONSTRUCTION AND RANGE OFFICERS WILL BE ISSUED THESE PANTS ONCE SWAT OFFICERS HAVE BEEN OUTFITTED SO THAT WHILE ON CALL OUTS THEY HAVE WEATHER PROTECTION. THESE PANTS  WILL BE USED BY POLICE OFFICERS ON SPECIALTY UNITS EXPOSED TO INCLEMENT WEATHER.</t>
  </si>
  <si>
    <t xml:space="preserve">
Sales Order #: 2288615182
RTD Screening Code: DOD
Reason for Rejection: Y9</t>
  </si>
  <si>
    <t>2YTD8U61219466</t>
  </si>
  <si>
    <t>THIS VEHICLE WILL BE UTILIZED BY THE OLDHAM COUNTY POLICE AS AN EMERGENCY RESCUE VEHICLE TO RECOVER DOWNED OFFICERS IN THE LINE OF FIRE. THE VEHICLE WILL ALSO PROVIDE ARMORED TRANSPORT OF OFFICERS TO HIGH RISK SITUATIONS WHERE IT IS BELIEVED SUSPECTS ARE ARMED AND DANGEROUS. THIS VEHICLE WILL PROVIDE A LIFE-SAVING TOOL TO THE AGENCY THAT IT CURRENTLY DOES NOT POSSES THEREFORE ALLOWING OUR OFFICERS TO PROVIDE BETTER SERVICE TO OUR COMMUNITY WHILE STAYING SAFE.</t>
  </si>
  <si>
    <t>Not authorized for LESO customers. TVS AN</t>
  </si>
  <si>
    <t>2YT12061280199</t>
  </si>
  <si>
    <t>THIS TREADMILL WILL BE USED BY THE OLDHAM COUNTY POLICE DEPT TO HELP BUILD OUT THE NEW FITNESS CENTER FOR OUR OFFICERS. THIS TREADMILL WILL PROVIDE OFFICERS A WAY TO IMPROVE AND MAINTAIN THEIR HEALTH AND ULTIMATELY PROVIDE A BETTER SERVICE TO OUR COMMUNITY.</t>
  </si>
  <si>
    <t>2YT12061079659</t>
  </si>
  <si>
    <t xml:space="preserve">SWAT OFFICERS WILL BE ISSUED THESE COATS FOR USE WHILE ON DUTY PERFORMING SWAT DUTIES. SWAT OPERATES IN INCLEMENT WEATHER, OFTEN FOR LONG PERIODS OF TIME. THESE COATS WILL HELP PROVIDE PROTECTION FROM THE ELEMENTS THAT HAVE NOT BEEN PROVIDED DUE TO COST. 
</t>
  </si>
  <si>
    <t xml:space="preserve">
Sales Order #: 2287640298
RTD Screening Code: DOD
Reason for Rejection: Y9</t>
  </si>
  <si>
    <t>2YTD8U61148918</t>
  </si>
  <si>
    <t>SWAT OFFICERS WILL BE ISSUED THESE PANTS FOR USE WHILE ON DUTY PERFORMING SWAT DUTIES. SWAT OPERATES IN INCLEMENT WEATHER, OFTEN FOR LONG PERIODS OF TIME. THESE PANTS WILL HELP PROVIDE PROTECTION FROM THE ELEMENTS THAT HAVE NOT BEEN PROVIDED DUE TO COST.</t>
  </si>
  <si>
    <t xml:space="preserve">
Sales Order #: 2287640300
RTD Screening Code: DOD
Reason for Rejection: Y9</t>
  </si>
  <si>
    <t>2YTD8U61148917</t>
  </si>
  <si>
    <t>THE MAGOFFIN COUNTY SHERIFF'S OFFICE WOULD USE THIS VEHICLE FOR HAULING RETAIL DONATED ITEMS TO OUR DISTRIBUTION SITE FOR PUBLIC GIVEAWAY REGARDING OUR COMMUNITY SHARING PROGRAM. THIS VEHICLE WOULD ALSO BE USED TO PULL OUR UTILITY TRAILER WHEN HAULING IMPOUND ITEMS , SIDE BY SIDES , ETC.</t>
  </si>
  <si>
    <t xml:space="preserve">
Sales Order #: 2287640275
RTD Screening Code: DOD
Reason for Rejection: YG</t>
  </si>
  <si>
    <t>2YTG6K61078651</t>
  </si>
  <si>
    <t>THIS EQUIPMENT WILL BE UTILIZED BY THE OLDHAM COUNTY POLICE DEPT TO OUTFIT OUR NEW FITNESS FACILITY. THIS EQUIPMENT WILL ALLOW OFFICERS TO IMPROVE THEIR HEALTH AND PHYSICAL FITNESS WHICH WILL IN TURN ALLOW THEM TO BETTER SERVE THE COMMUNITY.</t>
  </si>
  <si>
    <t xml:space="preserve">
Sales Order #: 2286459452
RTD Screening Code: DOD
Reason for Rejection: YG</t>
  </si>
  <si>
    <t>2YT12060937293</t>
  </si>
  <si>
    <t>THIS TREADMILL WILL BE UTILIZED BY THE OLDHAM COUNTY POLICE DEPT AS PART OF OUR NEW FITNESS FACILITY. THE TREADMILL WILL PROVIDE OFFICERS A WAY TO IMPROVE OR MAINTAIN THEIR HEALTH AND FITNESS AND ULTIMATELY IMPROVE THEIR ABILITY TO SERVE OUR COMMUNITY.</t>
  </si>
  <si>
    <t xml:space="preserve">
Sales Order #: 2287640260
RTD Screening Code: DOD
Reason for Rejection: Z2</t>
  </si>
  <si>
    <t>2YT12061078959</t>
  </si>
  <si>
    <t>THE MAGOFFIN COUNTY SHERIFF'S OFFICE WILL USE THIS VEHICLE AS A MOBILE COMMAND CENTER AT CRIME SCENES, DISASTER AREAS, SEARCH WARRANT EXECUTIONS, AND ANY OTHER SITUATION WHERE A MOBILE COMMAND CENTER CAN BE USED. DUE TO THE HEIGHT OF THE VEHICLE, IT CAN BE USED DURING FLOODING CONDITIONS AND SEARCH AND RESCUE OPERATIONS.</t>
  </si>
  <si>
    <t xml:space="preserve">
Sales Order #: 2287350475
RTD Screening Code: DOD
Reason for Rejection: Y9</t>
  </si>
  <si>
    <t>2YTG6K61078428</t>
  </si>
  <si>
    <t>SWAT OFFICERS WILL BE ISSUED THESE IR LASERS FOR THEIR PATROL RIFLES. THESE LASERS ALLOW OPERATORS WILE USING NIGHT VISION TO EFFECTIVELY USE THE FULL CAPABILITIES. THESE LASERS ARE ONLY SEEN THROUGH NIGHT VISION DEVICES, MAKING THE LASER INVISIBLE TO THE NAKED EYE, CONCEALING THE OFFICER'S POSITION. THE DLA REPRESENTATIVE ON SITE CONFIRMED IT IS IN WORKING ORDER. THESE ARE IN CONDITION A, WHICH WILL REPLACE BROKEN ONES, ALLOWING US TO TURN THEM IN.</t>
  </si>
  <si>
    <t xml:space="preserve">
Sales Order #: 2287640265
RTD Screening Code: DOD
Reason for Rejection: Y9</t>
  </si>
  <si>
    <t>2YTD8U61148920</t>
  </si>
  <si>
    <t xml:space="preserve">FLEECE MIDWEIGHT JACKETS TO BE ISSUED TO OFFICERS TO KEEP IN THEIR PATROL VEHICLES. SPECIALITY UNITS SUCH AS SWAT WILL BE ISSUED TO USE FOR INCLEMENT WEATHER, WHERE COLD-WEATHER GEAR HAS NOT BEEN PROVIDED AND IS COSTLY TO PURCHASE. MULTIPLE DTIDS DUE TO MULTIPLE SIZES AND LOW NUMBER PER. 
</t>
  </si>
  <si>
    <t>2YTD8U61008744</t>
  </si>
  <si>
    <t>2YTD8U61008743</t>
  </si>
  <si>
    <t>2YTD8U61008742</t>
  </si>
  <si>
    <t>2YTD8U61008741</t>
  </si>
  <si>
    <t>2YTD8U61008740</t>
  </si>
  <si>
    <t>2YTD8U61008739</t>
  </si>
  <si>
    <t>2YTD8U61008738</t>
  </si>
  <si>
    <t>2YTD8U61008737</t>
  </si>
  <si>
    <t>2YTD8U61008736</t>
  </si>
  <si>
    <t>2YTD8U61008734</t>
  </si>
  <si>
    <t>2YTD8U61008733</t>
  </si>
  <si>
    <t>2YTD8U61008732</t>
  </si>
  <si>
    <t>2YTD8U61008731</t>
  </si>
  <si>
    <t>FLEECE MIDWEIGHT JACKETS TO BE ISSUED TO OFFICERS TO KEEP IN THEIR PATROL VEHICLES. SPECIALITY UNITS SUCH AS SWAT WILL BE ISSUED TO USE FOR INCLEMENT WEATHER, WHERE COLD-WEATHER GEAR HAS NOT BEEN PROVIDED AND IS COSTLY TO PURCHASE.</t>
  </si>
  <si>
    <t>2YTD8U61008725</t>
  </si>
  <si>
    <t xml:space="preserve">THE MEADE CO. SHERIFF'S OFFICE WOULD LIKE TO ACQUIRE THIS CONTAINER FOR OUR AGENCY'S USE IN STORING AND TRANSPORTING LAW ENFORCEMENT GEAR, CROWD CONTROL GEAR, AND ALL OTHER GEAR AND SUPPLIES THAT MAY BE NEEDED IN THE EVENT OF A MAJOR EMERGENCY AND OR NATURAL DISASTER. DUE TO OUR COUNTY GOVERNMENT REALIGNING PROPERTY FOR A NEW JUDICIAL BUILDING, OUR AGENCY IS IN GREAT NEED FOR MORE STORAGE AND BEING A FEE POOLED OFFICE, OUR BUDGET WILL NOT ALLOW US TO PURCHASE MORE STORAGE.  
</t>
  </si>
  <si>
    <t>2YTPTW61008761</t>
  </si>
  <si>
    <t>THE MAGOFFIN COUNTY SHERIFF'S OFFICE WOULD USE THIS VEHICLE FOR EITHER SPECIALIZED PATROLLING , UNDERCOVER DRUG INTERDICTION , AND A VEHICLE FOR SCHOOL RESOURCE OFFICERS AND DRUG EDUCATION VEHICLE.</t>
  </si>
  <si>
    <t xml:space="preserve">
Sales Order #: 2286944861
RTD Screening Code: DOD
Reason for Rejection: Y9</t>
  </si>
  <si>
    <t>2YTG6K61007915</t>
  </si>
  <si>
    <t>THIS EQUIPMENT WILL BE UTILIZED BY THE OLDHAM COUNTY POLICE DEPT TO OUTFIT OUR NEW FITNESS CENTER. THIS EQUIPMENT WILL PROVIDE OFFICERS THE ABILITY TO MAINTAIN AND IMPROVE THEIR HEALTH AND CONDITIONING WHICH WILL IN TURN ALLOW THEM TO BETTER ASSIST THE COMMUNITY.</t>
  </si>
  <si>
    <t xml:space="preserve">
Sales Order #: 2286796037
RTD Screening Code: DOD
Reason for Rejection: Y9</t>
  </si>
  <si>
    <t>2YT12060937379</t>
  </si>
  <si>
    <t>THIS VEHICLE WILL BE UTILIZED BY THE OLDHAM COUNTY POLICE DEPT TO TRANSPORT LARGE ITEMS EITHER BY THE CARGO BED OR BY USE OF ITS TOWING CAPACITY. THIS VEHICLE MAY ALSO BE UTILIZED AS A TACTICAL VEHICLE WHEN A LARGE VEHICLE IS NEEDED TO CONTAIN A SUSPECT VEHICLE THAT POSES A FLIGHT RISK.</t>
  </si>
  <si>
    <t xml:space="preserve">
Sales Order #: 2286712884
RTD Screening Code: DOD
Reason for Rejection: Y9</t>
  </si>
  <si>
    <t>2YT12061007781</t>
  </si>
  <si>
    <t>THIS TRUCK WOULD BE USED BY THE MAGOFFIN COUNTY SHERIFF'S OFFICE AS A VEHICLE TO TOW A HEAVY TRAILER THAT WE USE TO HAUL ALL-TERRAIN VEHICLES, BROKEN DOWN POLICE VEHICLES, AND OTHER HEAVY ITEMS. VEHICLE WILL ALSO BE USED DURING EXTREME WEATHER CONDITIONS AND OTHER LAW ENFORCEMENT ASSIGNMENTS.</t>
  </si>
  <si>
    <t xml:space="preserve">
Sales Order #: 2286830725
RTD Screening Code: DOD
Reason for Rejection: Y9</t>
  </si>
  <si>
    <t>2YTG6K61007794</t>
  </si>
  <si>
    <t>THIS VEHICLE WILL BE UTILIZED BY THE OLDHAM COUNTY POLICE DEPT DURING SPECIAL EVENTS WHERE TRADITIONAL VEHICLES ARE IMPRACTICAL. THE VEHICLE WILL ALLOW OUR OFFICERS TO RESPOND TO INCIDENTS WHERE TRADITIONAL VEHICLES ARE NOT ABLE TO RESPOND AND ALLOW US TO BETTER SERVE OUR COMMUNITY DURING THOSE TIMES.</t>
  </si>
  <si>
    <t xml:space="preserve">
Sales Order #: 2286821624
RTD Screening Code: DOD
Reason for Rejection: Y9</t>
  </si>
  <si>
    <t>2YT12061007780</t>
  </si>
  <si>
    <t>THE MAGOFFIN COUNTY SHERIFF'S OFFICE WILL USE THIS ATV FOR SEARCH AND RESCUE , PATROLLING ATV TRAILS , AND ACCESS TO HARD TO REACH WOODLAND AREAS WHERE A STANDARD VEHICLE IS TOO LARGE. IT WILL ALSO BE USED DURING EXTREME WEATHER CONDITIONS SUCH AS SNOW AND ICE COVERED ROADWAYS AND OTHER LAW ENFORCEMENT USES AS DEEMED NEEDED.</t>
  </si>
  <si>
    <t xml:space="preserve">
Sales Order #: 2286830723
RTD Screening Code: DOD
Reason for Rejection: Y9</t>
  </si>
  <si>
    <t>2YTG6K61007801</t>
  </si>
  <si>
    <t>THIS ITEM IS BEING REQUESTED BY THE EATON POLICE DEPARTMENT TO BE USED BY OFFICERS FOR LAW ENFORCEMENT PURPOSES. THE REQUESTED TRASH CANS WILL BE UTILIZED BY OFFICERS FOR TRAINING NEEDS, SEARCH AND RESCUE OPERATIONS, AND THE PROTECTION OF LIFE.</t>
  </si>
  <si>
    <t>2YTDL961845023</t>
  </si>
  <si>
    <t>THIS ITEM IS BEING REQUESTED BY THE EATON POLICE DEPARTMENT TO BE USED BY OFFICERS FOR LAW ENFORCEMENT PURPOSES. THE REQUESTED VESTS WILL BE UTILIZED BY OFFICERS FOR TRAINING NEEDS, SEARCH AND RESCUE OPERATIONS, AND THE PROTECTION OF LIFE.</t>
  </si>
  <si>
    <t>Rejected by ECH00100.  Comments: already approved one request with qty. of 25-CH.</t>
  </si>
  <si>
    <t>TACTICAL VESTS NON-BALLISTIC</t>
  </si>
  <si>
    <t>DSTACVEST</t>
  </si>
  <si>
    <t>2YTDL961915007</t>
  </si>
  <si>
    <t>2YTDL961845020</t>
  </si>
  <si>
    <t>I ACCEPT CONDITION CODE H. THE RANDOLPH COUNTY SHERIFF'S OFFICE WILL USE THIS ITEM FOR NIGHT SWAT OPERATIONS AND SEARCH AND RESCUE OPERATIONS.</t>
  </si>
  <si>
    <t xml:space="preserve">
Sales Order #: 2290578984
RTD Screening Code: DOD
Reason for Rejection: YG</t>
  </si>
  <si>
    <t>2YTJ2X61562550</t>
  </si>
  <si>
    <t xml:space="preserve">
Sales Order #: 2290524816
RTD Screening Code: DOD
Reason for Rejection: YG</t>
  </si>
  <si>
    <t>2YTJ2X61562549</t>
  </si>
  <si>
    <t>I ACCEPT THE CONDITION CODE H, THE RANDOLPH COUNTY SHERIFF'S OFFICE WILL USE THIS ITEM FOR NIGHT SWAT OPERATIONS AND SEARCH AND RESCUE OPERATIONS.</t>
  </si>
  <si>
    <t xml:space="preserve">
Sales Order #: 2291312742
RTD Screening Code: DOD
Reason for Rejection: Y9</t>
  </si>
  <si>
    <t>2YTJ2X61633581</t>
  </si>
  <si>
    <t>THE EVANSVILLE POLICE DEPARTMENT WOULD LIKE THIS ITEM TO USE ON OUR NEWLY FORMED RIVER PATROL.  OUR BOAT WAS PURCHASED WITH A GRANT FROM HOMELAND SECURITY.  THIS IS FOR A SEARCH AND RESCUE FUNCTION.</t>
  </si>
  <si>
    <t xml:space="preserve">
Sales Order #: 2290010732
RTD Screening Code: GSA
Reason for Rejection: YG</t>
  </si>
  <si>
    <t>2YTDV461421709</t>
  </si>
  <si>
    <t>THE EVANSVILLE POLICE DEPARTMENT REQUESTS THESE ITEMS FOR OUR MOBILE FIELD FORCE TEAM.  WE HAVE A TEAM TRAINED TO RESPOND TO CIVIL DISTURBANCE AND RIOT SITUATIONS BUT THEY DO NOT HAVE SHIN PROTECTION.</t>
  </si>
  <si>
    <t xml:space="preserve">
Sales Order #: 2290010718
RTD Screening Code: DOD
Reason for Rejection: YG</t>
  </si>
  <si>
    <t>2YTDV461421493</t>
  </si>
  <si>
    <t>I ACCEPT THE CONDITION CODE, THE RANDOLPH COUNTY SHERIFF'S OFFICE WILL USE THIS ITEM FOR NIGHT SWAT OPERATIONS AND SEARCH AND RESCUE.</t>
  </si>
  <si>
    <t xml:space="preserve">
Sales Order #: 2290789147
RTD Screening Code: DOD
Reason for Rejection: Y9</t>
  </si>
  <si>
    <t>2YTJ2X61563052</t>
  </si>
  <si>
    <t xml:space="preserve">
Sales Order #: 2290789149
RTD Screening Code: DOD
Reason for Rejection: Y9</t>
  </si>
  <si>
    <t>2YTJ2X61563051</t>
  </si>
  <si>
    <t xml:space="preserve">
Sales Order #: 2290789138
RTD Screening Code: DOD
Reason for Rejection: Y9</t>
  </si>
  <si>
    <t>2YTJ2X61563050</t>
  </si>
  <si>
    <t xml:space="preserve">
Sales Order #: 2290559312
RTD Screening Code: DOD
Reason for Rejection: Y9</t>
  </si>
  <si>
    <t>2YTJ2X61562782</t>
  </si>
  <si>
    <t xml:space="preserve">
Sales Order #: 2290524812
RTD Screening Code: DOD
Reason for Rejection: Y9</t>
  </si>
  <si>
    <t>2YTJ2X61562766</t>
  </si>
  <si>
    <t xml:space="preserve">
Sales Order #: 2290524807
RTD Screening Code: DOD
Reason for Rejection: Y9</t>
  </si>
  <si>
    <t>2YTJ2X61562547</t>
  </si>
  <si>
    <t>I ACCEPT THE CONDITION CODE B. THE RANDOLPH COUNTY SHERIFF'S OFFICE WILL USE THIS ITEM FOR NIGHT SWAT OPERATIONS AND SEARCH AND RESCUE OPERATION.</t>
  </si>
  <si>
    <t xml:space="preserve">
Sales Order #: 2290578986
RTD Screening Code: DOD
Reason for Rejection: Y9</t>
  </si>
  <si>
    <t>2YTJ2X61562545</t>
  </si>
  <si>
    <t xml:space="preserve">
Sales Order #: 2290578988
RTD Screening Code: DOD
Reason for Rejection: Y9</t>
  </si>
  <si>
    <t>2YTJ2X61562544</t>
  </si>
  <si>
    <t xml:space="preserve">
Sales Order #: 2290578982
RTD Screening Code: DOD
Reason for Rejection: Y9</t>
  </si>
  <si>
    <t>2YTJ2X61562543</t>
  </si>
  <si>
    <t>I ACCEPT CONDITION CODE B. THE RANDOLPH COUNTY SHERIFF'S OFFICE WILL USE THIS ITEM FOR NIGHT SWAT OPERATIONS AND SEARCH AND RESCUE OPERATIONS.</t>
  </si>
  <si>
    <t xml:space="preserve">
Sales Order #: 2290524798
RTD Screening Code: DOD
Reason for Rejection: Y9</t>
  </si>
  <si>
    <t>2YTJ2X61562542</t>
  </si>
  <si>
    <t>I ACCEPT THE CONDITION CODE G. THE RANDOLPH COUNTY SHERIFF'S OFFICE WILL USE THIS ITEM FOR NIGHT OPERATIONS AND SEARCH AND RESCUE OPERATIONS.</t>
  </si>
  <si>
    <t xml:space="preserve">
Sales Order #: 2290524806
RTD Screening Code: DOD
Reason for Rejection: Y9</t>
  </si>
  <si>
    <t>2YTJ2X61562540</t>
  </si>
  <si>
    <t>I ACCEPT THE CONDITION CODE A. THE RANDOLPH COUNTY SHERIFF'S OFFICE WILL USE THIS ITEM FOR NIGHT OPERATIONS AND SEARCH AND RESCUE OPERATIONS.</t>
  </si>
  <si>
    <t xml:space="preserve">
Sales Order #: 2290578974
RTD Screening Code: DOD
Reason for Rejection: Y9</t>
  </si>
  <si>
    <t>2YTJ2X61562538</t>
  </si>
  <si>
    <t>THIS ITEM IS BEING REQUESTED BY THE EATON POLICE DEPARTMENT TO BE USED BY OFFICERS FOR LAW ENFORCEMENT PURPOSES. THE REQUESTED TRAILER WILL BE UTILIZED BY OFFICERS FOR TRAINING NEEDS, SEARCH AND RESCUE OPERATIONS, AND THE PROTECTION OF LIFE.</t>
  </si>
  <si>
    <t xml:space="preserve">
Sales Order #: 2287949707
RTD Screening Code: DOD
Reason for Rejection: YG</t>
  </si>
  <si>
    <t>2YTDL961149056</t>
  </si>
  <si>
    <t xml:space="preserve">
Sales Order #: 2290578983
RTD Screening Code: DOD
Reason for Rejection: Y9</t>
  </si>
  <si>
    <t>2YTJ2X61562539</t>
  </si>
  <si>
    <t>I ACCEPT THE CONDITION CODE, THE RANDOLPH COUNTY SHERIFF'S OFFICE WILL USE THIS ITEM TO ISSUE TO SWAT PERSONAL TO USE FOR NIGHT VISION OPERATIONS.</t>
  </si>
  <si>
    <t xml:space="preserve">
Sales Order #: 2289369055
RTD Screening Code: GSA
Reason for Rejection: YH</t>
  </si>
  <si>
    <t>2YTJ2X61280583</t>
  </si>
  <si>
    <t>THE EVANSVILLE POLICE DEPARTMENT REQUESTS THESE ITEMS PUBLIC OUTREACH EVENTS.  WE ALSO PROVIDE OVERWATCH ON LARGE SCALE FESTIVALS.  OFFICERS ARE ON ROOFTOPS AND THESE COULD PROVIDE SHELTER FOR THEIR LONG HOURS ON THE ROOF.</t>
  </si>
  <si>
    <t xml:space="preserve">
Sales Order #: 2289497076
RTD Screening Code: GSA
Reason for Rejection: YH</t>
  </si>
  <si>
    <t>2YTDV461421424</t>
  </si>
  <si>
    <t>THE EVANSVILLE POLICE DEPARTMENT REQUESTS THESE ITEMS FOR OUR RIVER PATROL UNIT.  WE WERE RECIPIENTS OF A 2025 HOMELAND SECURITY GRANT AND PURCHASED A BOAT.  WE HAVE LIMITED GEAR FOR OUR TEAM AT THE MOMENT.</t>
  </si>
  <si>
    <t xml:space="preserve">
Sales Order #: 2289497074
RTD Screening Code: GSA
Reason for Rejection: YH</t>
  </si>
  <si>
    <t>2YTDV461351423</t>
  </si>
  <si>
    <t xml:space="preserve">
Sales Order #: 2289497080
RTD Screening Code: GSA
Reason for Rejection: YH</t>
  </si>
  <si>
    <t>2YTDV461351422</t>
  </si>
  <si>
    <t xml:space="preserve">
Sales Order #: 2289567192
RTD Screening Code: DOD
Reason for Rejection: YH</t>
  </si>
  <si>
    <t>2YTDV461351420</t>
  </si>
  <si>
    <t>THIS ITEM IS BEING REQUESTED BY THE EATON POLICE DEPARTMENT TO BE USED BY OFFICERS FOR LAW ENFORCEMENT PURPOSES. THE REQUESTED JACKETS WILL BE UTILIZED BY OFFICERS FOR TRAINING NEEDS, SEARCH AND RESCUE OPERATIONS, AND THE PROTECTION OF LIFE.</t>
  </si>
  <si>
    <t>Rejected by ECH00100.  Comments: still have items that need receipted-CH.</t>
  </si>
  <si>
    <t>2YTDL961492204</t>
  </si>
  <si>
    <t>2YTDL961492203</t>
  </si>
  <si>
    <t>THIS ITEM IS BEING REQUESTED BY THE EATON POLICE DEPARTMENT TO BE USED BY OFFICERS FOR LAW ENFORCEMENT PURPOSES. THE REQUESTED POCKETS WILL BE UTILIZED BY OFFICERS FOR TRAINING NEEDS, SEARCH AND RESCUE OPERATIONS, AND THE PROTECTION OF LIFE.</t>
  </si>
  <si>
    <t>9MM POCKET,AMMUNITION M</t>
  </si>
  <si>
    <t>2YTDL961492202</t>
  </si>
  <si>
    <t>THIS ITEM IS BEING REQUESTED BY THE EATON POLICE DEPARTMENT TO BE USED BY OFFICERS FOR LAW ENFORCEMENT PURPOSES. THE REQUESTED RIFLEMAN SET WILL BE UTILIZED BY OFFICERS FOR TRAINING NEEDS, SEARCH AND RESCUE OPERATIONS, AND THE PROTECTION OF LIFE.</t>
  </si>
  <si>
    <t>2YTDL961492125</t>
  </si>
  <si>
    <t>THIS ITEM IS BEING REQUESTED BY THE EATON POLICE DEPARTMENT TO BE USED BY OFFICERS FOR LAW ENFORCEMENT PURPOSES. THE REQUESTED PACK WILL BE UTILIZED BY OFFICERS FOR TRAINING NEEDS, SEARCH AND RESCUE OPERATIONS, AND THE PROTECTION OF LIFE.</t>
  </si>
  <si>
    <t>2YTDL961492124</t>
  </si>
  <si>
    <t>2YTDL961492123</t>
  </si>
  <si>
    <t>THIS ITEM IS BEING REQUESTED BY THE EATON POLICE DEPARTMENT TO BE USED BY OFFICERS FOR LAW ENFORCEMENT PURPOSES. THE REQUESTED PACKS WILL BE UTILIZED BY OFFICERS FOR TRAINING NEEDS, SEARCH AND RESCUE OPERATIONS, AND THE PROTECTION OF LIFE.</t>
  </si>
  <si>
    <t>2YTDL961492122</t>
  </si>
  <si>
    <t>THIS ITEM IS BEING REQUESTED BY THE EATON POLICE DEPARTMENT TO BE USED BY OFFICERS FOR LAW ENFORCEMENT PURPOSES. THE REQUESTED CASE WILL BE UTILIZED BY OFFICERS FOR TRAINING NEEDS, SEARCH AND RESCUE OPERATIONS, AND THE PROTECTION OF LIFE.</t>
  </si>
  <si>
    <t>2YTDL961492120</t>
  </si>
  <si>
    <t>THIS ITEM IS BEING REQUESTED BY THE EATON POLICE DEPARTMENT TO BE USED BY OFFICERS FOR LAW ENFORCEMENT PURPOSES. THE REQUESTED AMMO CANS WILL BE UTILIZED BY OFFICERS FOR TRAINING NEEDS, SEARCH AND RESCUE OPERATIONS, AND THE PROTECTION OF LIFE.</t>
  </si>
  <si>
    <t>CAN,AMMUNITION</t>
  </si>
  <si>
    <t>2YTDL961492119</t>
  </si>
  <si>
    <t>2YTDL961492118</t>
  </si>
  <si>
    <t>2YTDL961492117</t>
  </si>
  <si>
    <t>2YTDL961492116</t>
  </si>
  <si>
    <t>THIS ITEM IS BEING REQUESTED BY THE EATON POLICE DEPARTMENT TO BE USED BY OFFICERS FOR LAW ENFORCEMENT PURPOSES. THE REQUESTED BAGS WILL BE UTILIZED BY OFFICERS FOR TRAINING NEEDS, SEARCH AND RESCUE OPERATIONS, AND THE PROTECTION OF LIFE.</t>
  </si>
  <si>
    <t>2YTDL961492115</t>
  </si>
  <si>
    <t>THIS ITEM IS BEING REQUESTED BY THE EATON POLICE DEPARTMENT TO BE USED BY OFFICERS FOR LAW ENFORCEMENT PURPOSES. THE REQUESTED GEAR WILL BE UTILIZED BY OFFICERS FOR TRAINING NEEDS, SEARCH AND RESCUE OPERATIONS, AND THE PROTECTION OF LIFE.</t>
  </si>
  <si>
    <t>2YTDL961492114</t>
  </si>
  <si>
    <t>2YTDL961492113</t>
  </si>
  <si>
    <t>THIS ITEM IS BEING REQUESTED BY THE EATON POLICE DEPARTMENT TO BE USED BY OFFICERS FOR LAW ENFORCEMENT PURPOSES. THE REQUESTED POUCHES WILL BE UTILIZED BY OFFICERS FOR TRAINING NEEDS, SEARCH AND RESCUE OPERATIONS, AND THE PROTECTION OF LIFE.</t>
  </si>
  <si>
    <t>200 RD POCKET,AMMUNITION M</t>
  </si>
  <si>
    <t>2YTDL961492112</t>
  </si>
  <si>
    <t>2YTDL961492111</t>
  </si>
  <si>
    <t>THIS ITEM IS BEING REQUESTED BY THE EATON POLICE DEPARTMENT TO BE USED BY OFFICERS FOR LAW ENFORCEMENT PURPOSES. THE REQUESTED HELMETS WILL BE UTILIZED BY OFFICERS FOR TRAINING NEEDS, SEARCH AND RESCUE OPERATIONS, AND THE PROTECTION OF LIFE.</t>
  </si>
  <si>
    <t>HELMET,FLYER'S</t>
  </si>
  <si>
    <t>2YTDL961492052</t>
  </si>
  <si>
    <t>2YTJ2X61562541</t>
  </si>
  <si>
    <t>2YTDL961492110</t>
  </si>
  <si>
    <t>I ACCEPT THE CONDITION CODE H, THE RANDOLPH COUNTY SHERIFF'S OFFICE WILL USE THIS ITEM NIGHT OPERATIONS AND SEARCH AND RESCUE OPERATIONS.</t>
  </si>
  <si>
    <t xml:space="preserve">
Sales Order #: 2289712640
RTD Screening Code: DOD
Reason for Rejection: Y9</t>
  </si>
  <si>
    <t>2YTJ2X61421629</t>
  </si>
  <si>
    <t>I ACCEPT THE CONDITION CODE THE RANDOLPH COUNTY SHERIFF'S OFFICE WILL USE THIS ITEM TO MOUNT NVGS TO SWAT MEMBERS HELMETS.</t>
  </si>
  <si>
    <t xml:space="preserve">
Sales Order #: 2289369049
RTD Screening Code: DOD
Reason for Rejection: Y9</t>
  </si>
  <si>
    <t>2YTJ2X61421332</t>
  </si>
  <si>
    <t>I ACCEPT THE CONDITION CODE H, THE RANDOLPH COUNTY SHERIFF'S OFFICE WILL USE THIS ITEM FOR NIGHT OPERATIONS FOR SEARCH AND RESCUE AND SWAT OPERATIONS.</t>
  </si>
  <si>
    <t xml:space="preserve">
Sales Order #: 2290010719
RTD Screening Code: DOD
Reason for Rejection: BQ</t>
  </si>
  <si>
    <t>2YTJ2X61491742</t>
  </si>
  <si>
    <t>THE EVANSVILLE POLICE DEPARTMENT WOULD LIKE TO USE THESE TO STORE INDIVIDUAL EQUIPMENT FOR OUR RIVER PATROL UNIT OFFICERS.</t>
  </si>
  <si>
    <t xml:space="preserve">
Sales Order #: 2289971314
RTD Screening Code: DOD
Reason for Rejection: BQ</t>
  </si>
  <si>
    <t>2YTDV461421706</t>
  </si>
  <si>
    <t>Rejected by ECH00100.  Comments: please confirm you accept the condition of the item in your justification since and resubmit-CH.</t>
  </si>
  <si>
    <t>2YTDV461421708</t>
  </si>
  <si>
    <t>2YTDV461421707</t>
  </si>
  <si>
    <t>THE EVANSVILLE POLICE DEPARTMENT WOULD LIKE TO USE THIS TO STORE AND SECURE EQUIPMENT FOR OUR RIVER PATROL UNIT.</t>
  </si>
  <si>
    <t>Rejected by ECH00100.  Comments: no longer available, not is our cycle-CH.</t>
  </si>
  <si>
    <t>2YTDV461351704</t>
  </si>
  <si>
    <t>THE EVANSVILLE POLICE DEPARTMENT WOULD LIKE TO USE THIS TO STORE AND SECURE POLICE DOG TRAINING EQUIPMENT.</t>
  </si>
  <si>
    <t>2YTDV461351703</t>
  </si>
  <si>
    <t>2YTDV461351702</t>
  </si>
  <si>
    <t>2YTDV461351705</t>
  </si>
  <si>
    <t>THE EVANSVILLE POLICE DEPARTMENT REQUESTS THIS KIT FOR OUR IT DEPARTMENT.  THEY REGULARLY REPLACE PARTS AND ARE MOBILE ABOUT MULTIPLE LOCATIONS.</t>
  </si>
  <si>
    <t xml:space="preserve">
Sales Order #: 2289497073
RTD Screening Code: DOD
Reason for Rejection: Y9</t>
  </si>
  <si>
    <t>2YTDV461351427</t>
  </si>
  <si>
    <t>THE EVANSVILLE POLICE DEPARTMENT WOULD USE THESE FOR OVERWATCH OF LARGE SCALE FESTIVALS.  WE ALSO USE DRONES FOR SEARCHES OF FLEEING DANGEROUS FELONY SUSPECTS.</t>
  </si>
  <si>
    <t xml:space="preserve">
Sales Order #: 2289686833
RTD Screening Code: DOD
Reason for Rejection: BQ</t>
  </si>
  <si>
    <t>2YTDV461351384</t>
  </si>
  <si>
    <t>I ACCEPT THE CONDITION CODE A, THE RANDOLPH COUNTY SHERIFF'S OFFICE WILL USE THIS ITEM FOR NIGHT SEARCH AND RESCUE OPERATIONS AND NIGHT SWAT OPERATIONS.</t>
  </si>
  <si>
    <t xml:space="preserve">
Sales Order #: 2289369050
RTD Screening Code: DOD
Reason for Rejection: Y9</t>
  </si>
  <si>
    <t>2YTJ2X61421330</t>
  </si>
  <si>
    <t>TO BE USED BY THE LAKEVILLE POLICE DEPARTMENT AND ISSUED TO OFFICERS TO BE ABLE TO CARRY ADDITIONAL MAGAZINES AND EQUIPMENT ON THEIR PERSON DURING DRUG INVESTIGATIONS AND ACTIVE SHOOTER SITUATIONS</t>
  </si>
  <si>
    <t xml:space="preserve">
Sales Order #: 2288443414
RTD Screening Code: DOD
Reason for Rejection: Y9</t>
  </si>
  <si>
    <t>CHESTRIG</t>
  </si>
  <si>
    <t>2YTGG761280364</t>
  </si>
  <si>
    <t xml:space="preserve">
Sales Order #: 2288478212
RTD Screening Code: DOD
Reason for Rejection: Y9</t>
  </si>
  <si>
    <t>2YTJ2X61280404</t>
  </si>
  <si>
    <t>I ACCEPT CONDITION CODE B, THE RANDOLPH COUNTY SHERIFF'S OFFICE WILL USE THIS ITEMS FOR SEARCH AND RESCUE OPERATIONS DURING NIGHT OR LOW LIGHT TIMES TO AID OFFICERS IN LOCATING SUBJECTS OR IDENTIFYING DANGERS</t>
  </si>
  <si>
    <t xml:space="preserve">
Sales Order #: 2288222569
RTD Screening Code: DOD
Reason for Rejection: Y9</t>
  </si>
  <si>
    <t>2YTJ2X61219686</t>
  </si>
  <si>
    <t>THE EVANSVILLE POLICE DEPARTMENT WOULD USE THIS TO MAKE PUBLIC SAFETY ANNOUNCEMENTS AT LARGE FESTIVALS.  OUR SWAT TEAM COULD USE IT ON BARRICADED GUNMAN CALLS.  OUR MOBILE FIELD FORCE TEAM COULD USE IT TO GIVE DISPERSAL ORDERS.  WE COULD ALSO USE AT PUBLIC DEMONSTRATIONS FOR PUBLIC OUTREACH AND COMMUNITY POLICING.</t>
  </si>
  <si>
    <t>Rejected by ECH00100.  Comments: no days left, can't approve-CH.</t>
  </si>
  <si>
    <t>2YTDV461210539</t>
  </si>
  <si>
    <t>THIS ITEM IS BEING REQUESTED BY THE EATON POLICE DEPARTMENT TO BE USED BY OFFICERS FOR LAW ENFORCEMENT PURPOSES. THE REQUESTED CASE WILL BE UTILIZED BY OFFICERS FOR TRAINING NEEDS, SEARCH AND RESCUE IN AUSTERE CONDITIONS, PROTECTION OF EQUIPMENT, AND THE PROTECTION OF LIFE.</t>
  </si>
  <si>
    <t xml:space="preserve">
Sales Order #: 2287171215
RTD Screening Code: DOD
Reason for Rejection: YG</t>
  </si>
  <si>
    <t>2YTDL961078542</t>
  </si>
  <si>
    <t xml:space="preserve">
Sales Order #: 2287362065
RTD Screening Code: DOD
Reason for Rejection: YG</t>
  </si>
  <si>
    <t>2YTDL961078541</t>
  </si>
  <si>
    <t xml:space="preserve">
Sales Order #: 2287362076
RTD Screening Code: DOD
Reason for Rejection: YG</t>
  </si>
  <si>
    <t>2YTDL961078540</t>
  </si>
  <si>
    <t xml:space="preserve">
Sales Order #: 2287362073
RTD Screening Code: DOD
Reason for Rejection: YG</t>
  </si>
  <si>
    <t>2YTDL961078539</t>
  </si>
  <si>
    <t xml:space="preserve">
Sales Order #: 2287171205
RTD Screening Code: DOD
Reason for Rejection: YG</t>
  </si>
  <si>
    <t>2YTDL961078538</t>
  </si>
  <si>
    <t xml:space="preserve">
Sales Order #: 2287171209
RTD Screening Code: DOD
Reason for Rejection: YG</t>
  </si>
  <si>
    <t>2YTDL961078536</t>
  </si>
  <si>
    <t xml:space="preserve">
Sales Order #: 2287171210
RTD Screening Code: DOD
Reason for Rejection: YG</t>
  </si>
  <si>
    <t>2YTDL961078535</t>
  </si>
  <si>
    <t>I ACCEPT THE CONDITION CODE F THE RANDOLPH COUNTY SHERIFF'S OFFICE WILL USE THIS ITEM FOR SEARCH AND RESCUE OPERATIONS AND NIGHT SWAT OPERATIONS.</t>
  </si>
  <si>
    <t xml:space="preserve">
Sales Order #: 2288582694
RTD Screening Code: DOD
Reason for Rejection: Y9</t>
  </si>
  <si>
    <t>2YTJ2X61210226</t>
  </si>
  <si>
    <t xml:space="preserve">
Sales Order #: 2288248782
RTD Screening Code: DOD
Reason for Rejection: Y9</t>
  </si>
  <si>
    <t>2YTJ2X61210225</t>
  </si>
  <si>
    <t xml:space="preserve">
Sales Order #: 2288248765
RTD Screening Code: DOD
Reason for Rejection: Y9</t>
  </si>
  <si>
    <t>2YTJ2X61210223</t>
  </si>
  <si>
    <t>I ACCEPT CONDITION CODE B, THE RANDOLPH COUNTY SHERIFF'S OFFICE WILL USE THIS ITEM FOR SEARCH AND RESCUE OPERATIONS AND NIGHT SWAT OPERATIONS.</t>
  </si>
  <si>
    <t>2YTJ2X61280227</t>
  </si>
  <si>
    <t>I ACCEPT THE CONDITION CODE B, THE RANDOLPH COUNTY SHERIFF'S OFFICE WILL USE THIS ITEM FOR SEARCH AND RESCUE OPERATIONS TO ENSURE OFFICER SAFETY, PUBLIC SAFETY AND SUSPECT SAFETY DURING CRIMINAL INVESTIGATIONS OR SWAT OPERATIONS.</t>
  </si>
  <si>
    <t xml:space="preserve">
Sales Order #: 2288582705
RTD Screening Code: DOD
Reason for Rejection: Y9</t>
  </si>
  <si>
    <t>2YTJ2X61280222</t>
  </si>
  <si>
    <t xml:space="preserve">
Sales Order #: 2288582715
RTD Screening Code: DOD
Reason for Rejection: Y9</t>
  </si>
  <si>
    <t>2YTJ2X61280221</t>
  </si>
  <si>
    <t>I ACCEPT CONDITION CODE F, THE RANDOLPH COUNTY SHERIFF'S DEPARTMENT WILL USE THESE ITEMS TO ISSUE TO SWAT OPERATORS TO USE FOR NIGHT OPERATIONS TO AID IN RECON AND PID.</t>
  </si>
  <si>
    <t xml:space="preserve">
Sales Order #: 2287949709
RTD Screening Code: DOD
Reason for Rejection: Y9</t>
  </si>
  <si>
    <t>2YTJ2X61149165</t>
  </si>
  <si>
    <t>THIS ITEM IS BEING REQUESTED BY THE EATON POLICE DEPARTMENT TO BE USED BY OFFICERS FOR LAW ENFORCEMENT PURPOSES. THE REQUESTED RACK WILL BE UTILIZED BY OFFICERS FOR TRAINING NEEDS, SEARCH AND RESCUE OPERATIONS, AND THE PROTECTION OF LIFE.</t>
  </si>
  <si>
    <t xml:space="preserve">
Sales Order #: 2287801415
RTD Screening Code: DOD
Reason for Rejection: Y9</t>
  </si>
  <si>
    <t>2YTDL961149061</t>
  </si>
  <si>
    <t>I ACCEPT THE CONDITION CODE H. THE RANDOLPH COUNTY SHERIFF'S OFFICE WILL USE THIS ITEM TO ISSUE TO SWAT MEMBERS TO USE FOR SEARCH AND RESCUE OPERATIONS AND NIGHT SWAT OPERATIONS TO AID IN OFFICER SAFETY.</t>
  </si>
  <si>
    <t>2YTJ2X61149918</t>
  </si>
  <si>
    <t>2YTJ2X61149914</t>
  </si>
  <si>
    <t>2YTJ2X61149917</t>
  </si>
  <si>
    <t>2YTJ2X61149916</t>
  </si>
  <si>
    <t>2YTJ2X61149915</t>
  </si>
  <si>
    <t>I ACCEPT THE CONDITION CODE B, THE RANDOLPH COUNTY SHERIFFS OFFICE WILL USE THIS ITEM FOR SEARCH AND RESCUE OPERATIONS DURING NIGHTTIME HOURS OR LOW LIGHT TIME TO ASSIST OFFICERS IN LOCATING SUBJECTS OR IDENTIFIYING POSSIBLE DANGERS</t>
  </si>
  <si>
    <t xml:space="preserve">
Sales Order #: 2288222533
RTD Screening Code: DOD
Reason for Rejection: Y9</t>
  </si>
  <si>
    <t>2YTJ2X61219685</t>
  </si>
  <si>
    <t>I ACCEPT THE CONDITION CODE H. THE RANDOLPH COUNTY SHERIFF'S OFFICE WILL USE THIS ITEM FOR OUR GYM TO AID IN OFFICER FITNESS AND WELLBEING</t>
  </si>
  <si>
    <t xml:space="preserve">
Sales Order #: 2287150404
RTD Screening Code: DOD
Reason for Rejection: YG</t>
  </si>
  <si>
    <t>2YTJ2X61078224</t>
  </si>
  <si>
    <t xml:space="preserve">
Sales Order #: 2287150410
RTD Screening Code: DOD
Reason for Rejection: YG</t>
  </si>
  <si>
    <t>2YTJ2X61078222</t>
  </si>
  <si>
    <t>THIS ITEM IS BEING REQUESTED BY THE EATON POLICE DEPARTMENT TO BE USED BY LAW ENFORCEMENT AND LIFE SAVING PURPOSES. THE REQUESTED BELTS WILL BE USED FOR TRAINING, LIFE SAVING, SEARCH AND RESCUE, AND LAW ENFORCEMENT.</t>
  </si>
  <si>
    <t xml:space="preserve">
Sales Order #: 2286373309
RTD Screening Code: DOD
Reason for Rejection: YG</t>
  </si>
  <si>
    <t>2YTDL960937193</t>
  </si>
  <si>
    <t xml:space="preserve">
Sales Order #: 2286373301
RTD Screening Code: GSA
Reason for Rejection: YG</t>
  </si>
  <si>
    <t>2YTDL960937192</t>
  </si>
  <si>
    <t xml:space="preserve">
Sales Order #: 2286505986
RTD Screening Code: GSA
Reason for Rejection: YG</t>
  </si>
  <si>
    <t>2YTDL960937191</t>
  </si>
  <si>
    <t xml:space="preserve">
Sales Order #: 2286373315
RTD Screening Code: DOD
Reason for Rejection: YG</t>
  </si>
  <si>
    <t>2YTDL960937190</t>
  </si>
  <si>
    <t xml:space="preserve">
Sales Order #: 2286373303
RTD Screening Code: DOD
Reason for Rejection: YG</t>
  </si>
  <si>
    <t>2YTDL960937189</t>
  </si>
  <si>
    <t xml:space="preserve">
Sales Order #: 2286505987
RTD Screening Code: DOD
Reason for Rejection: YG</t>
  </si>
  <si>
    <t>2YTDL960937188</t>
  </si>
  <si>
    <t xml:space="preserve">
Sales Order #: 2286373298
RTD Screening Code: GSA
Reason for Rejection: YG</t>
  </si>
  <si>
    <t>2YTDL960937187</t>
  </si>
  <si>
    <t xml:space="preserve">
Sales Order #: 2286505978
RTD Screening Code: DOD
Reason for Rejection: YG</t>
  </si>
  <si>
    <t>2YTDL960937186</t>
  </si>
  <si>
    <t xml:space="preserve">
Sales Order #: 2286373311
RTD Screening Code: DOD
Reason for Rejection: YG</t>
  </si>
  <si>
    <t>2YTDL960937185</t>
  </si>
  <si>
    <t>THIS ITEM IS BEING REQUESTED BY THE EATON POLICE DEPARTMENT TO BE USED BY LAW ENFORCEMENT AND LIFE SAVING PURPOSES. THE REQUESTED CASE WILL BE USED FOR TRAINING, LIFE SAVING, SEARCH AND RESCUE, AND LAW ENFORCEMENT.</t>
  </si>
  <si>
    <t xml:space="preserve">
Sales Order #: 2286505974
RTD Screening Code: DOD
Reason for Rejection: YG</t>
  </si>
  <si>
    <t>2YTDL960867184</t>
  </si>
  <si>
    <t xml:space="preserve">
Sales Order #: 2286505980
RTD Screening Code: DOD
Reason for Rejection: YG</t>
  </si>
  <si>
    <t>2YTDL960867183</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</si>
  <si>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SHIRTS WILL BE UTILIZED BY OFFICERS FOR TRAINING NEEDS AND THE PROTECTION OF LIFE.</t>
  </si>
  <si>
    <t xml:space="preserve">
Sales Order #: 2286115559
Reason for Rejection: YG</t>
  </si>
  <si>
    <t>2YTDL960584401</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</si>
  <si>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TOWBAR WILL BE UTILIZED BY OFFICERS FOR TRAINING NEEDS AND THE PROTECTION OF LIFE.</t>
  </si>
  <si>
    <t xml:space="preserve">
Sales Order #: 2286115551
Reason for Rejection: YG</t>
  </si>
  <si>
    <t>TOWBAR,MOTOR VEHICLE</t>
  </si>
  <si>
    <t>2YTDL960584400</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</si>
  <si>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DRAWERS WILL BE UTILIZED BY OFFICERS FOR TRAINING NEEDS AND THE PROTECTION OF LIFE.</t>
  </si>
  <si>
    <t xml:space="preserve">
Sales Order #: 2286115554
RTD Screening Code: DON
Reason for Rejection: YG</t>
  </si>
  <si>
    <t>2YTDL960584399</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</si>
  <si>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GENERATOR WILL BE UTILIZED BY OFFICERS FOR TRAINING NEEDS AND THE PROTECTION OF LIFE.</t>
  </si>
  <si>
    <t xml:space="preserve">
Sales Order #: 2286115553
RTD Screening Code: DON
Reason for Rejection: YG</t>
  </si>
  <si>
    <t>2YTDL960584397</t>
  </si>
  <si>
    <t>I ACCEPT THE CONDITION CODE H THE RANDOLPH COUNTY SHERIFF'S OFFICE WILL USE THIS ITEM FOR OUR GYM TO AID IN OFFICER FITNESS AND WELLBEING</t>
  </si>
  <si>
    <t xml:space="preserve">
Sales Order #: 2287949699
RTD Screening Code: DOD
Reason for Rejection: Y9</t>
  </si>
  <si>
    <t>2YTJ2X61079164</t>
  </si>
  <si>
    <t>I ACCEPT CONDITION CODE H, THE RANDOLPH COUNTY SHERIFF'S DEPARTMENT SWAT TEAM WILL USE THIS ITEM FOR NIGHT OPERATIONS TO INSURE OPERATOR SAFTEY.</t>
  </si>
  <si>
    <t xml:space="preserve">
Sales Order #: 2287543579
RTD Screening Code: DOD
Reason for Rejection: Y9</t>
  </si>
  <si>
    <t>2YTJ2X61078718</t>
  </si>
  <si>
    <t>I ACCEPT THE CONDITION CODE H, THE RANDOLPH COUNTY SHERIFF'S OFFICE WILL USE THIS ITEM FOR OUR SWAT TEAM DURING NIGHT OPERATIONS TO INSURE OPERATOR SAFETY</t>
  </si>
  <si>
    <t xml:space="preserve">
Sales Order #: 2287543583
RTD Screening Code: DOD
Reason for Rejection: Y9</t>
  </si>
  <si>
    <t>2YTJ2X61078717</t>
  </si>
  <si>
    <t xml:space="preserve">
Sales Order #: 2287150416
RTD Screening Code: DOD
Reason for Rejection: Y9</t>
  </si>
  <si>
    <t>2YTJ2X61078225</t>
  </si>
  <si>
    <t>THIS ITEM IS BEING REQUESTED BY THE EATON POLICE DEPARTMENT TO BE USED BY OFFICERS FOR LAW ENFORCEMENT PURPOSES. THE REQUESTED UNMANNED AIRCRAFT SYSTEM WILL BE UTILIZED BY OFFICERS FOR TRAINING NEEDS, SEARCH AND RESCUE OPERATIONS, AND THE PROTECTION OF LIFE.</t>
  </si>
  <si>
    <t xml:space="preserve">
Sales Order #: 2287652767
RTD Screening Code: DOD
Reason for Rejection: Y9</t>
  </si>
  <si>
    <t>2YTDL961078782</t>
  </si>
  <si>
    <t xml:space="preserve">
Sales Order #: 2287652754
RTD Screening Code: DOD
Reason for Rejection: Y9</t>
  </si>
  <si>
    <t>2YTDL961078781</t>
  </si>
  <si>
    <t xml:space="preserve">
Sales Order #: 2287652757
RTD Screening Code: DOD
Reason for Rejection: Y9</t>
  </si>
  <si>
    <t>2YTDL961078780</t>
  </si>
  <si>
    <t xml:space="preserve">
Sales Order #: 2287362071
RTD Screening Code: DOD
Reason for Rejection: Y9</t>
  </si>
  <si>
    <t>2YTDL961078517</t>
  </si>
  <si>
    <t>I ACCEPT CONDITION CODE H, THE RANDOLPH COUNTY SHERIFF DEPARTMENT WILL USE THESE ITEMS FOR SEARCH AND RESCUE OPERATIONS AND NIGHT OPERATIONS.</t>
  </si>
  <si>
    <t xml:space="preserve">
Sales Order #: 2287801414
RTD Screening Code: DOD
Reason for Rejection: Y9</t>
  </si>
  <si>
    <t>2YTJ2X61149166</t>
  </si>
  <si>
    <t>I ACCEPT THE CONDITION CODE OF H, THE RANDOLPH COUNTY SHERIFF'S DEPARTMENT WILL USE THIS ITEM FOR SEARCH AND RESCUE OPERATIONS ALONG WITH NIGHT OPERATIONS AS WE DO NOT HAVE CURRENTLY ANY NIGHT VISION OR THERMAL OPTION FOR NIGHT OPERATIONS.</t>
  </si>
  <si>
    <t xml:space="preserve">
Sales Order #: 2287652759
RTD Screening Code: DOD
Reason for Rejection: Y9</t>
  </si>
  <si>
    <t>2YTJ2X61078766</t>
  </si>
  <si>
    <t xml:space="preserve">THIS ITEM IS BEING REQUESTED BY THE EATON POLICE DEPARTMENT TO BE USED BY OFFICERS FOR LAW ENFORCEMENT PURPOSES. THE REQUESTED SIGHT WILL BE UTILIZED BY OFFICERS FOR TRAINING NEEDS AND THE PROTECTION OF LIFE. LEA HAS CONFIRMED SITE HAS BEEN CONTACTED AND ACCEPT CONDITION OF PROPERTY.
</t>
  </si>
  <si>
    <t xml:space="preserve">
Sales Order #: 2287150405
RTD Screening Code: DOD
Reason for Rejection: Y9</t>
  </si>
  <si>
    <t>2YTDL961358313</t>
  </si>
  <si>
    <t xml:space="preserve">
Sales Order #: 2287150409
RTD Screening Code: DOD
Reason for Rejection: Y9</t>
  </si>
  <si>
    <t>2YTDL961358310</t>
  </si>
  <si>
    <t>THIS ITEM IS BEING REQUESTED BY THE EATON POLICE DEPARTMENT TO BE USED BY OFFICERS FOR LAW ENFORCEMENT PURPOSES. THE REQUESTED SIGHT WILL BE UTILIZED BY OFFICERS FOR TRAINING NEEDS AND THE PROTECTION OF LIFE. LEA HAS CONFIRMED SITE HAS BEEN CONTACTED AND ACCEPT CONDITION OF PROPERTY.</t>
  </si>
  <si>
    <t xml:space="preserve">
Sales Order #: 2287185051
RTD Screening Code: DOD
Reason for Rejection: Y9</t>
  </si>
  <si>
    <t>2YTDL960938131</t>
  </si>
  <si>
    <t>THIS ITEM IS BEING REQUESTED BY THE EATON POLICE DEPARTMENT TO BE USED BY OFFICER FOR LAW ENFORCEMENT PURPOSES AND FOR THE PROTECTION OF LIFE. THE REQUESTED GENERATOR WILL BE USED FOR SEARCH AND RESCUE TO PROTECT LIFE.</t>
  </si>
  <si>
    <t xml:space="preserve">
Sales Order #: 2286058878
RTD Screening Code: GSA
Reason for Rejection: YG</t>
  </si>
  <si>
    <t>2YTDL960796820</t>
  </si>
  <si>
    <t xml:space="preserve">
Sales Order #: 2287150408
RTD Screening Code: DOD
Reason for Rejection: Y9</t>
  </si>
  <si>
    <t>2YTDL961078308</t>
  </si>
  <si>
    <t>I ACCEPT THE CONDITION CODE THE RANDOLPH COUNTY SHERIFFS DEPARTMENT WILL USE THIS ITEM TO PROVIDED TO OUR SHARP SHOOTER TO USE FOR NIGHT OPERATIONS</t>
  </si>
  <si>
    <t xml:space="preserve">
Sales Order #: 2286656107
RTD Screening Code: DOD
Reason for Rejection: YG</t>
  </si>
  <si>
    <t>2YTJ2X61007581</t>
  </si>
  <si>
    <t>I ACCEPT THE CONDITION CODE OF H, THE RANDOLPH COUNTY SHERIFF'S OFFICE WILL USE THIS ITEM AS WE ARE TRYING TO EQUIP ANOTHER SNIPER ON OUR SWAT TEAM. THIS WILL AID THE SNIPER IN RANGING TARGETS.</t>
  </si>
  <si>
    <t>2YTJ2X61078775</t>
  </si>
  <si>
    <t>I ACCEPT THE CONDITION CODE OF B, THE RANDOLPH COUNTY SHERIFF'S DEPARTMENT WILL USE THESE ITEMS FOR SEARCH AND RESCUE NIGHT OPERATIONS ALONG WITH SWAT NIGHT OPERATIONS AS WE DO NOT CURRENTLY HAVE ANY NIGHT VISION OR THERMAL OPTION FOR NIGHT OPERATIONS.</t>
  </si>
  <si>
    <t>2YTJ2X61078769</t>
  </si>
  <si>
    <t>8465014955058THIS ITEM IS BEING REQUESTED BY THE EATON POLICE DEPARTMENT TO BE USED BY OFFICERS FOR LAW ENFORCEMENT PURPOSES. THE REQUESTED BAGS WILL BE UTILIZED BY OFFICERS FOR TRAINING NEEDS, SEARCH AND RESCUE OPERATIONS, AND THE PROTECTION OF LIFE.</t>
  </si>
  <si>
    <t>2YTDL961078789</t>
  </si>
  <si>
    <t>THIS ITEM IS BEING REQUESTED BY THE EATON POLICE DEPARTMENT TO BE USED BY OFFICERS FOR LAW ENFORCEMENT PURPOSES. THE REQUESTED KIT WILL BE UTILIZED BY OFFICERS FOR TRAINING, AND MAINTENANCE TO SUPPORT SEARCH AND RESCUE, AND LAW ENFORCEMENT.</t>
  </si>
  <si>
    <t xml:space="preserve">
Sales Order #: 2286718144
RTD Screening Code: DOD
Reason for Rejection: YG</t>
  </si>
  <si>
    <t>TOOL KIT,AUTOMOTIVE MECHANIC'S</t>
  </si>
  <si>
    <t>2YTDL960937260</t>
  </si>
  <si>
    <t>THIS ITEM IS BEING REQUESTED BY THE EATON POLICE DEPARTMENT TO BE USED BY OFFICERS FOR LAW ENFORCEMENT PURPOSES. THE REQUESTED TRAILER WILL BE UTILIZED BY OFFICERS FOR TRAINING NEEDS AND THE PROTECTION OF LIFE.</t>
  </si>
  <si>
    <t xml:space="preserve">
Sales Order #: 2286115563
Reason for Rejection: YG</t>
  </si>
  <si>
    <t>2YTDL960654502</t>
  </si>
  <si>
    <t>THIS ITEM IS BEING REQUESTED BY THE EATON POLICE DEPARTMENT TO BE USED BY OFFICERS FOR LAW ENFORCEMENT PURPOSES. THE REQUESTED XXXX WILL BE UTILIZED BY OFFICERS FOR TRAINING NEEDS AND THE PROTECTION OF LIFE.THIS ITEM IS BEING REQUESTED BY THE EATON POLICE DEPARTMENT TO BE USED BY OFFICERS FOR LAW ENFORCEMENT PURPOSES. THE REQUESTED POUCHES WILL BE UTILIZED BY OFFICERS FOR TRAINING NEEDS AND THE PROTECTION OF LIFE.</t>
  </si>
  <si>
    <t xml:space="preserve">
Sales Order #: 2286115558
Reason for Rejection: YG</t>
  </si>
  <si>
    <t>POUCH,M4 TWO MAG</t>
  </si>
  <si>
    <t>2YTDL960584164</t>
  </si>
  <si>
    <t xml:space="preserve">
Sales Order #: 2286115552
Reason for Rejection: YG</t>
  </si>
  <si>
    <t>2YTDL960584163</t>
  </si>
  <si>
    <t>THIS ITEM IS BEING REQUESTED BY THE EATON POLICE DEPARTMENT TO BE USED BY OFFICERS FOR LAW ENFORCEMENT PURPOSES. THE REQUESTED RACK WILL BE UTILIZED BY OFFICERS FOR TRAINING NEEDS AND THE PROTECTION OF LIFE.</t>
  </si>
  <si>
    <t xml:space="preserve">
Sales Order #: 2286115555
RTD Screening Code: DON
Reason for Rejection: YG</t>
  </si>
  <si>
    <t>2YTDL960584142</t>
  </si>
  <si>
    <t xml:space="preserve">
Sales Order #: 2287185061
RTD Screening Code: DOD
Reason for Rejection: Y9</t>
  </si>
  <si>
    <t>2YTDL961358312</t>
  </si>
  <si>
    <t xml:space="preserve">
Sales Order #: 2287150415
RTD Screening Code: DOD
Reason for Rejection: Y9</t>
  </si>
  <si>
    <t>2YTDL961358311</t>
  </si>
  <si>
    <t xml:space="preserve">
Sales Order #: 2287150414
RTD Screening Code: DOD
Reason for Rejection: Y9</t>
  </si>
  <si>
    <t>2YTDL961358309</t>
  </si>
  <si>
    <t xml:space="preserve">
Sales Order #: 2287150406
RTD Screening Code: DOD
Reason for Rejection: Y9</t>
  </si>
  <si>
    <t>2YTDL960938133</t>
  </si>
  <si>
    <t xml:space="preserve">
Sales Order #: 2287185058
RTD Screening Code: DOD
Reason for Rejection: Y9</t>
  </si>
  <si>
    <t>2YTDL960938132</t>
  </si>
  <si>
    <t xml:space="preserve">
Sales Order #: 2287185055
RTD Screening Code: DOD
Reason for Rejection: Y9</t>
  </si>
  <si>
    <t>2YTDL960938130</t>
  </si>
  <si>
    <t>I ACCEPT THE CONDITION CODE F, THE RANDOLPH COUNTY SHERIFF'S OFFICE WILL USE THESE ITEMS TO ISSUE TO SWAT TEAM MEMBERS TO USE DURING NIGHT OPERATIONS AND FOR SEARCH AND RESCUE PURPOSES.</t>
  </si>
  <si>
    <t xml:space="preserve">
Sales Order #: 2286920609
RTD Screening Code: DOD
Reason for Rejection: Y9</t>
  </si>
  <si>
    <t>2YTJ2X60938026</t>
  </si>
  <si>
    <t>I ACCEPT THE CONDITION CODE, THE RANDOLPH COUNTY SHERIFF'S OFFICE WILL USE THIS ITEM AND ISSUE TO MEMBERS ON THE SWAT TEAM TO AID IN NIGHT OPERATIONS.</t>
  </si>
  <si>
    <t xml:space="preserve">
Sales Order #: 2286718141
RTD Screening Code: DOD
Reason for Rejection: Y9</t>
  </si>
  <si>
    <t>2YTJ2X60937485</t>
  </si>
  <si>
    <t>2YTDL960938134</t>
  </si>
  <si>
    <t>2YTDL960938129</t>
  </si>
  <si>
    <t>THIS ITEM IS BEING REQUESTED BY THE EATON POLICE DEPARTMENT TO BE USED BY LAW ENFORCEMENT AND LIFE SAVING PURPOSES. THE REQUESTED ENSEMBLES WILL BE USED FOR TRAINING, LIFE SAVING, SEARCH AND RESCUE, AND LAW ENFORCEMENT.</t>
  </si>
  <si>
    <t xml:space="preserve">
Sales Order #: 2286505976
RTD Screening Code: DOD
Reason for Rejection: Y9</t>
  </si>
  <si>
    <t>2YTDL960937177</t>
  </si>
  <si>
    <t>THIS ITEM IS BEING REQUESTED BY THE EATON POLICE DEPARTMENT TO BE USED BY LAW ENFORCEMENT AND LIFE SAVING PURPOSES. THE REQUESTED CASES WILL BE USED FOR TRAINING, LIFE SAVING, SEARCH AND RESCUE, AND LAW ENFORCEMENT.</t>
  </si>
  <si>
    <t xml:space="preserve">
Sales Order #: 2286459450
RTD Screening Code: DOD
Reason for Rejection: Y9</t>
  </si>
  <si>
    <t>2YTDL960937119</t>
  </si>
  <si>
    <t>I ACCEPT THE CONDITION CODE H, THE RANDOLPH COUNTY SHERIFF'S OFFICE WILL USE THESE ITEMS WILL USE TO PLACE ON SCOPED DMR'S FOR CLOSE RANGE PID.</t>
  </si>
  <si>
    <t xml:space="preserve">
Sales Order #: 2286698865
RTD Screening Code: DOD
Reason for Rejection: Y9</t>
  </si>
  <si>
    <t>2YTJ2X60937480</t>
  </si>
  <si>
    <t>ITEM TO BE USED BY THE FULTON POLICE DEPARTMENT. I AM AWARE OF THE DISTANCE FROM THE LEA TO THE DISPOSITION SITE AND I AM WILLING TO PICK UP ITEM.</t>
  </si>
  <si>
    <t>CYCLE - LEAs cannot request items in GSA Cycle.</t>
  </si>
  <si>
    <t>2YTEEE61775014</t>
  </si>
  <si>
    <t>FULTON POLICE DEPT (2YTEEE)</t>
  </si>
  <si>
    <t>2YTEEE61775013</t>
  </si>
  <si>
    <t>FOR USE AT CRTF. I HAVE CONTACTED THE SITE AND CONFIRMED THE CONDITION OF THE ITEMS. THEY ARE IN SUITABLE CONDITION FOR THE INDENTED PURPOSES.</t>
  </si>
  <si>
    <t xml:space="preserve">
Sales Order #: 2289086347
RTD Screening Code: DOD
Reason for Rejection: YG</t>
  </si>
  <si>
    <t>2YTMRF61350832</t>
  </si>
  <si>
    <t>DOJ/FBI CHICAGO (2YTMRF)</t>
  </si>
  <si>
    <t>FOR USE AT CRTF. I HAVE CONTACTED THE SITE AND CONFIRMED THE CONDITION OF THE ITEM. THEY ARE IN SUITABLE CONDITION FOR THE INDENTED PURPOSES.</t>
  </si>
  <si>
    <t xml:space="preserve">
Sales Order #: 2288642196
RTD Screening Code: DOD
Reason for Rejection: YG</t>
  </si>
  <si>
    <t>2YTMRF61280830</t>
  </si>
  <si>
    <t>ITEM TO BE USED BY THE FULTON POLICE DEPARTMENT FOR POLICE RESCUE OPERATIONS.</t>
  </si>
  <si>
    <t xml:space="preserve">
Sales Order #: 2291866805
RTD Screening Code: DOD
Reason for Rejection: Y9</t>
  </si>
  <si>
    <t>2YTEEE61774279</t>
  </si>
  <si>
    <t>THE DFG WILL PROVIDE OFFICERS WITH ENHANCED NIGHT VISION AND THERMAL IMAGING CAPABILITIES FOR SEARCH AND RESCUE OPERATIONS, RURAL PATROL, SUSPECT APPREHENSION, CRITICAL INCIDENT RESPONSE, AND OFFICER SAFETY MISSIONS CONDUCTED IN LOW LIGHT OR NO LIGHT ENVIRONMENTS.  THE FUSED THERMAL AND IMAGE INTENSIFIED TECHNOLOGY IMPROVED DETECTION AND IDENTIFICATION CAPABILITIES WHILE REDUCING RISK TO OFFICERS AND THE PUBLIC WHILE DRIVING THE BAE CAIMAN II MRAP WE HAVE.</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</si>
  <si>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statements need to be in the justification comment box.</t>
  </si>
  <si>
    <t>2YTKB561774231</t>
  </si>
  <si>
    <t>ROCHELLE POLICE DEPT (2YTKB5)</t>
  </si>
  <si>
    <t>THE NORTHLAKE POLICE DEPARTMENT IS PART OF THE WEST SUBURBAN SPECIAL RESPONSE TEAM.  WE DESPERATELY NEED NIGHT VISION FOR OUR OPERATORS.</t>
  </si>
  <si>
    <t>2YTPK361774230</t>
  </si>
  <si>
    <t>NORTHLAKE PD (2YTPK3)</t>
  </si>
  <si>
    <t>TRAILER EQUIPPED WITH A TELESCOPING TOWER USED FOR SPECIAL EVENTS, SURVEILLANCE, AND EMERGENCY COMMUNICATIONS. PROVIDES ELEVATED CAMERA OR ANTENNA PLACEMENT TO SUPPORT PUBLIC SAFETY, SITUATIONAL AWARENESS, AND INTEROPERABILITY DURING INCIDENTS. DEPLOYABLE QUICKLY TO ENHANCE VISIBILITY OR RESTORE COMMS WHEN NEEDED.</t>
  </si>
  <si>
    <t xml:space="preserve">
Sales Order #: 2286616572
RTD Screening Code: DOD
Reason for Rejection: YH</t>
  </si>
  <si>
    <t>PREFABRICATED TOWER STRUCTURES</t>
  </si>
  <si>
    <t>DSPREFABT</t>
  </si>
  <si>
    <t>2YTC8P61078371</t>
  </si>
  <si>
    <t>THERMAL CAMERA WOULD BE USED TO LOCATE MISSING PERSONS, ENDANGERED SUBJECTS, FLEEING SUSPECTS, AND EVIDENCE DURING LOW LIGHT AND NIGHTTIME OPERATIONS  THE DEVICE ENHANCES OFFICER SAFETY, IMPROVES SEARCH AND RESCUE CAPABILITIES, AND INCREASES OPERATIONAL EFFECTIVENESS DURING CRITICAL INCIDENTS AND EMERGENCY RESPONSES.</t>
  </si>
  <si>
    <t xml:space="preserve">
Sales Order #: 2291647007
RTD Screening Code: DOD
Reason for Rejection: Y9</t>
  </si>
  <si>
    <t>2YTKB561774006</t>
  </si>
  <si>
    <t>SUPPORT LAW ENFORCEMENT OPERATIONS CONDUCTED DURING LOW-LIGHT AND NIGHTTIME CONDITIONS.  THIS DEVICE WILL ENHANCE TARGET IDENTIFICATION, IMPROVE OFFICER SAFETY, AND INCREASE OPERATIONAL EFFECTIVENESS DURING TACTICAL DEPLOYMENTS. SEARCH WARRANTS, PERIMETER SECURITY, AND CRITICAL INCIDENT RESPONSE.  THE EQUIPMENT WILL BE ASSIGNED, CONTROLLED, AND MAINTAINED IN ACCORDANCE WITH DEPARTMENTAL POLICY.  ACQUISITION SUPPORTS THE AGENCY'S MISSION TO PROTECT THE PUBLIC.</t>
  </si>
  <si>
    <t>2YTKB561704190</t>
  </si>
  <si>
    <t>THESE WILL BE USED PERSONNEL DURING LOW-LIGHT AND NIGHTTIME OPERATIONS, INCLUDING SEARCHES, BUILDING CLEARANCES, HIGH-RISK WARRANT SERVICE, RURAL PATROL ACTIVITIES, AND OFFICER SAFETY INCIDENTS.  THE DEVICE ENHANCES TARGET IDENTIFICATION, SITUATIONAL AWARENESS, AND PUBLIC SAFETY PROTECTING OFFICERS AND THE COMMUNITY.</t>
  </si>
  <si>
    <t>2YTKB561774226</t>
  </si>
  <si>
    <t>FOR USE AT CRTF AS BACKUP SOURCE FOR TRAINING AND OPERATIONAL NEEDS. I HAVE CHECKED THE CONDITION OF THE ITEMS AND CONFIRMED THEY WILL MEET THE REQUIREMENTS FOR THE INTENDED PURPOSES.</t>
  </si>
  <si>
    <t xml:space="preserve">
Sales Order #: 2289086337
RTD Screening Code: DOD
Reason for Rejection: YH</t>
  </si>
  <si>
    <t>2YTMRF61350769</t>
  </si>
  <si>
    <t>NIGHT OPERATIONS WITH MISSING PEOPLE, SUSPECTS IN THE DARK, ERT OPERATIONS.</t>
  </si>
  <si>
    <t>2YTKB561703666</t>
  </si>
  <si>
    <t>FOR USE WITH DEPARTMENT RIFLES.</t>
  </si>
  <si>
    <t>2YTKB561703637</t>
  </si>
  <si>
    <t>USED FOR NIGHT OPERATIONS FOR SEARCHING FOR SUBJECTS IN THE DARK TO INCLUDE LOST CHILDREN, SUSPECTS, ELDERLY PEOPLE AND ERT TEAM OPERATIONS</t>
  </si>
  <si>
    <t xml:space="preserve">
Sales Order #: 2291227230
RTD Screening Code: DOD
Reason for Rejection: BQ</t>
  </si>
  <si>
    <t>2YTKB561703570</t>
  </si>
  <si>
    <t>ITEMS TO BE USED BY THE FULTON POLICE DEPARTMENT FOR PATROL OPERATIONS ON THE MISSISSIPPI RIVER</t>
  </si>
  <si>
    <t xml:space="preserve">
Sales Order #: 2289007179
RTD Screening Code: RTD2
Reason for Rejection: YG</t>
  </si>
  <si>
    <t>OUTBOARD ENGINE</t>
  </si>
  <si>
    <t>2YTEEE61210647</t>
  </si>
  <si>
    <t>I AM REQUESTING THESE ITEMS FOR OFFICIAL LEA PURPOSES ON BEHALF OF THE CHAMPAIGN POLICE DEPARTMENT. I AM REQUESTING THESE ITEMS SO THEY CAN BE UTILIZED DURING NATURAL DISASTER RECOVERY OPERATIONS AS WELL AS HIGH RISK NARCOTICS TRAFFICKING BASED WARRANT SERVICES. WE ARE AWARE OF THE CONDITION AND HAVE MEANS TO REPAIR UNITS IF NEEDED.</t>
  </si>
  <si>
    <t xml:space="preserve">
Sales Order #: 2285178145
RTD Screening Code: DOD
Reason for Rejection: Y9</t>
  </si>
  <si>
    <t>2YTB6760654645</t>
  </si>
  <si>
    <t>THIS WILL BE USED FOR EVENTS FOR TACTICAL PURPOSES, MISSING PERSONS WHERE OUR SQUADS CAN'T REACH, TRAIN CRASHES WITH PEDESTRIANS DOWN THE LINE.</t>
  </si>
  <si>
    <t>2YTKB561633115</t>
  </si>
  <si>
    <t>THE PEKIN PARK DISTRICT POLICE DEPARTMENT IS RESPONSIBLE FOR PATROLLING AND PROTECTING MORE THAN 2,600 ACRES OF PARKLAND, INCLUDING EXTENSIVE TRAIL SYSTEMS, WOODED AREAS, CAMPGROUNDS, RECREATIONAL FACILITIES, AND OTHER REMOTE LOCATIONS THAT ARE OFTEN INACCESSIBLE TO CONVENTIONAL PATROL VEHICLES. A UTV WOULD GREATLY ENHANCE OUR ABILITY TO CONDUCT PROACTIVE PATROLS, RESPOND RAPIDLY TO EMERGENCIES, AND SUPPORT SEARCH AND RESCUE OPERATIONS. THE VEHICLE WOULD BE PARTICULARLY VALUABLE FOR ACCESSING TR</t>
  </si>
  <si>
    <t>2YTJHD61633086</t>
  </si>
  <si>
    <t>PEKIN PARK DISTRICT POLICE DEPT (2YTJHD)</t>
  </si>
  <si>
    <t xml:space="preserve">
CONTAINER NEEDED FOR JUMP PACK, CHARGING EQUIPMENT AND IMPOUNDED SECURE VEHICLE KEY STORAGE FOR THE KANE COUNTY SHERIFFS OFFICE VEHICLE IMPOUND AND EVIDENCE STORAGE LOT.  IT WILL ALSO BE USED TO REPAIR HYDRAULIC HOSES FOR SHERIFFS OFFICE VEHICLES.</t>
  </si>
  <si>
    <t>CONTAIN,FMTV COMPAT</t>
  </si>
  <si>
    <t>2YTF3G61543015</t>
  </si>
  <si>
    <t>THE WAYNE COUNTY SHERIFF'S OFFICE WILL UTILIZE THESE RIFLES FOR PATROL USE IN OUR RURAL COMMUNITY. WE CANNOT AFFORD TO PURCHASE RIFLES LIKE THIS AT THIS TIME DUE TO THE HIGH COST. I HAVE A CONTACT THAT IS A PROFESSIONAL GUNSMITH IF THESE NEED NEW BARRELS. 
I HAVE CONFIRMED AND ACCEPTED THE CONDITION OF THESE RIFLES.</t>
  </si>
  <si>
    <t>Justification-This property is only barrels. If you are requesting actual small arms contact the LESO small arms specialist for details on acquiring small arms.</t>
  </si>
  <si>
    <t>2YTNDJ61562827</t>
  </si>
  <si>
    <t>WAYNE COUNTY SHERIFFS OFFICE (2YTNDJ)</t>
  </si>
  <si>
    <t>USE WITH OUR TACTICAL TEAM SNIPER UNIT.</t>
  </si>
  <si>
    <t xml:space="preserve">
Sales Order #: 2290446734
RTD Screening Code: DOD
Reason for Rejection: Y9</t>
  </si>
  <si>
    <t>2YTKB561562654</t>
  </si>
  <si>
    <t>THE DELAVAN POLICE DEPARTMENT REQUESTS A TIRE MOUNTING SYSTEM TO SUPPORT ROUTINE MAINTENANCE OF DEPARTMENT VEHICLES. WITH A LIMITED FLEET BUDGET, THE ABILITY TO MOUNT AND SERVICE TIRES IN-HOUSE REDUCES DOWNTIME, LOWERS REPAIR COSTS, AND ENSURES VEHICLES REMAIN OPERATIONAL FOR EMERGENCY RESPONSE. THIS EQUIPMENT IMPROVES EFFICIENCY, SUPPORTS OFFICER SAFETY, AND ENHANCES FLEET READINESS FOR DAILY PATROL AND CRITICAL INCIDENTS.</t>
  </si>
  <si>
    <t xml:space="preserve">
Sales Order #: 2288152847
RTD Screening Code: DOD
Reason for Rejection: YD</t>
  </si>
  <si>
    <t>2YTC8P61219484</t>
  </si>
  <si>
    <t>THIS VEHICLE WOULD BE USED BY DELAVAN POLICE OFFICERS OF THE DELAVAN POLICE DEPARTMENT FOR SPECIAL OPERATIONS.  THIS WOULD BE USED FOR SPECIAL EVENTS AS WELL AS SEARCH AND RESCUE OPERATIONS.  WE ARE AWARE OF THE CONDITION CODE AT TIME OF REQUEST.</t>
  </si>
  <si>
    <t xml:space="preserve">
Sales Order #: 2288152857
RTD Screening Code: DOD
Reason for Rejection: YH</t>
  </si>
  <si>
    <t>2YTC8P61219483</t>
  </si>
  <si>
    <t>FOR PUBLIC SAFETY USE AND FOR SPECIAL EVENT USE.</t>
  </si>
  <si>
    <t>2YT15Y61562684</t>
  </si>
  <si>
    <t>ITEM TO BE USED BY THE CITY OF FULTON POLICE DEPARTMENT FOR PATROL OPERATIONS ON LOCAL WATERWAYS.</t>
  </si>
  <si>
    <t xml:space="preserve">
Sales Order #: 2289324663
RTD Screening Code: DOD
Reason for Rejection: Y6</t>
  </si>
  <si>
    <t>2YTEEE61351135</t>
  </si>
  <si>
    <t xml:space="preserve">
Sales Order #: 2288305551
RTD Screening Code: DOD
Reason for Rejection: YG</t>
  </si>
  <si>
    <t>2YTF3G61219801</t>
  </si>
  <si>
    <t xml:space="preserve">
Sales Order #: 2288305553
RTD Screening Code: DOD
Reason for Rejection: YG</t>
  </si>
  <si>
    <t>2YTF3G61219800</t>
  </si>
  <si>
    <t xml:space="preserve">
Sales Order #: 2288305558
RTD Screening Code: DOD
Reason for Rejection: YG</t>
  </si>
  <si>
    <t>2YTF3G61219799</t>
  </si>
  <si>
    <t xml:space="preserve">
Sales Order #: 2288642198
RTD Screening Code: DOD
Reason for Rejection: Y9</t>
  </si>
  <si>
    <t>2YTMRF61350764</t>
  </si>
  <si>
    <t>FORKLIFT WITH ENCLOSED CAB NEEDED TO SERVICE THE KANE COUNTY SHERIFFS OFFICE NEW IMPOUND LOT.  THE ENCLOSED CAN WILL MAKE UTILIZING THE EQUIPMENT MORE TOLERABLE DURING THE HARSH ILLINOIS WINTERS.</t>
  </si>
  <si>
    <t xml:space="preserve">
Sales Order #: 2289544621
RTD Screening Code: DOD
Reason for Rejection: Y9</t>
  </si>
  <si>
    <t>2YTF3G61421305</t>
  </si>
  <si>
    <t xml:space="preserve">
Sales Order #: 2288642193
RTD Screening Code: DOD
Reason for Rejection: Y9</t>
  </si>
  <si>
    <t>2YTMRF61280831</t>
  </si>
  <si>
    <t>THE DELAVAN POLICE DEPARTMENT IS REQUESTING A PUBLIC ADDRESS PA SYSTEM TO ENHANCE COMMUNICATION CAPABILITIES FOR DELAVAN POLICE OFFICERS DURING EMERGENCIES, LARGE EVENTS, AND CRITICAL INCIDENTS. THIS SYSTEM WILL ALLOW CLEAR, AMPLIFIED INSTRUCTIONS OVER LARGE AREAS, IMPROVING CROWD CONTROL, EVACUATION EFFORTS, OFFICER SAFETY, AND SUPPORTING DE-ESCALATION.</t>
  </si>
  <si>
    <t xml:space="preserve">
Sales Order #: 2289210601
RTD Screening Code: DOD
Reason for Rejection: Y9</t>
  </si>
  <si>
    <t>2YTC8P61280787</t>
  </si>
  <si>
    <t>MOBILITY CASTER SETS NEEDED TO MAKE MOVING THE KANE COUNTY SHERIFFS OFFICE EVIDENCE OVERFLOW STORAGE SHIPPING CONTAINERS EASIER TO MOVE AROUND OUR FACILITY.</t>
  </si>
  <si>
    <t xml:space="preserve">
Sales Order #: 2287807608
RTD Screening Code: DOD
Reason for Rejection: YG</t>
  </si>
  <si>
    <t>2YTF3G61149194</t>
  </si>
  <si>
    <t>THE DELAVAN POLICE DEPARTMENT REQUESTS EXPANDING LADDERS TO SUPPORT EMERGENCY RESPONSE, SEARCH OPERATIONS, AND ACCESS TO ELEVATED AREAS DURING INCIDENTS. THESE LADDERS PROVIDE A COMPACT, PORTABLE SOLUTION FOR PATROL VEHICLES, ALLOWING OFFICERS TO SAFELY REACH WINDOWS, ROOFTOPS, OR CONFINED SPACES WHEN NEEDED. THIS EQUIPMENT ENHANCES OFFICER SAFETY, IMPROVES RESPONSE CAPABILITY, AND SUPPORTS EFFICIENT OPERATIONS IN A VARIETY OF EMERGENCY SITUATIONS.</t>
  </si>
  <si>
    <t xml:space="preserve">
Sales Order #: 2288020868
RTD Screening Code: DOD
Reason for Rejection: Y9</t>
  </si>
  <si>
    <t>2YTC8P61219491</t>
  </si>
  <si>
    <t>THIS VEHICLE WOULD BE USED BY POLICE OFFICERS OF THE DELAVAN POLICE DEPARTMENT FOR PATROL OPERATIONS AND COMMAND OPERATIONS. IT WOULD ALSO BE USED FOR DAILY PATROL OPERATIONS, ACT AS A SPARE VEHICLE FOR SPECIAL EVENTS, AND BE USED BY POLICE OFFICERS TO TRAVEL FOR TRAINING, PROVIDING A MUCH-NEEDED RESOURCE OUR DEPARTMENT LACKS CURRENTLY.</t>
  </si>
  <si>
    <t xml:space="preserve">
Sales Order #: 2288137168
RTD Screening Code: DOD
Reason for Rejection: Y9</t>
  </si>
  <si>
    <t>2YTC8P61219489</t>
  </si>
  <si>
    <t xml:space="preserve">
Sales Order #: 2288152853
RTD Screening Code: DOD
Reason for Rejection: Y9</t>
  </si>
  <si>
    <t>2YTC8P61219488</t>
  </si>
  <si>
    <t xml:space="preserve">
Sales Order #: 2288235652
RTD Screening Code: DOD
Reason for Rejection: Y9</t>
  </si>
  <si>
    <t>2YTC8P61219487</t>
  </si>
  <si>
    <t>THIS VEHICLE WOULD BE USED BY OFFICERS OF THE POLICE DEPARTMENT FOR PATROL OPERATIONS AND COMMAND OPERATIONS. IT WOULD ALSO BE USED FOR DAILY PATROL OPERATIONS, ACT AS A SPARE VEHICLE FOR SPECIAL EVENTS, AND BE USED BY POLICE OFFICERS TO TRAVEL FOR TRAINING, PROVIDING A MUCH-NEEDED RESOURCE OUR DEPARTMENT LACKS CURRENTLY.</t>
  </si>
  <si>
    <t xml:space="preserve">
Sales Order #: 2288137179
RTD Screening Code: DOD
Reason for Rejection: Y9</t>
  </si>
  <si>
    <t>2YTC8P61219486</t>
  </si>
  <si>
    <t>THE WAYNE COUNTY SHERIFFS OFFICE WILL UTILIZE THE RIFLE SCOPES ON PATROL RIFLES IN WAYNE COUNTY. WE WOULD LIKE THE ABILITY TO HAVE HIGH POWER RIFLE SCOPES TO HELP IDENTIFY THREATS BUT DUE TO THE HIGH PRICE OF THESE OPTICS WE CURRENTLY ARE NOT ABLE TO. I HAVE CONFIRMED AND ACCEPTED THE CONDITION OF THE SCOPES.</t>
  </si>
  <si>
    <t xml:space="preserve">
Sales Order #: 2288415403
RTD Screening Code: DOD
Reason for Rejection: Y9</t>
  </si>
  <si>
    <t>2YTNDJ61280438</t>
  </si>
  <si>
    <t>OUR DEPARTMENT IS IN NEED OF A GATOR FOR BUILDING UPKEEP, AND REANGE UP KEEP. THIS UNIT WILL WORK VERY WELL IN THAT ROLE.</t>
  </si>
  <si>
    <t xml:space="preserve">
Sales Order #: 2288706330
RTD Screening Code: DOD
Reason for Rejection: Y9</t>
  </si>
  <si>
    <t>2YTRLY61280278</t>
  </si>
  <si>
    <t>OUR DEPARTMENT HAS A SEARCH AND RESUE NEED FOR THESE SMALL UTVS. OUR VILLAGE HAS MANY HUNDREDS OF ACRES OF SMALL TRAILS AND WOODS MAKING REGULAR VEHICLES TOO LARGE TO USE.</t>
  </si>
  <si>
    <t xml:space="preserve">
Sales Order #: 2288524657
RTD Screening Code: DOD
Reason for Rejection: Y9</t>
  </si>
  <si>
    <t>2YTRLY61280272</t>
  </si>
  <si>
    <t>THESE GRIPS CAN BE UTILIZED FOR OFFICER PATROL RIFLES TO INCREASE EFFICIENCY AND ACCURACY.</t>
  </si>
  <si>
    <t xml:space="preserve">
Sales Order #: 2287541274
RTD Screening Code: DOD
Reason for Rejection: YH</t>
  </si>
  <si>
    <t>2YT15Y61078649</t>
  </si>
  <si>
    <t xml:space="preserve">
Sales Order #: 2288152854
RTD Screening Code: DOD
Reason for Rejection: Y9</t>
  </si>
  <si>
    <t>2YTC8P61219480</t>
  </si>
  <si>
    <t>GENERATOR CAN BE USED TO POWER ACTIVE POLICE INCIDENTS, SPECIAL EVENTS, AND POWER OUTAGES.</t>
  </si>
  <si>
    <t xml:space="preserve">
Sales Order #: 2287589487
RTD Screening Code: FEPP
Reason for Rejection: YH</t>
  </si>
  <si>
    <t>2YT15Y61149051</t>
  </si>
  <si>
    <t>THE DELAVAN POLICE DEPARTMENT REQUESTS A CAMERA TURRET TO ENHANCE SAFETY AND MONITORING AT PUBLIC PARKS AND COMMUNITY EVENTS. THIS SYSTEM PROVIDES REAL-TIME SITUATIONAL AWARENESS ACROSS WIDE-SPREAD AREAS DURING HIGH-TRAFFIC GATHERINGS, ASSISTING WITH CROWD MANAGEMENT, INCIDENT RESPONSE, AND DETERRENCE OF UNLAWFUL ACTIVITY. IT SERVES AS A FORCE MULTIPLIER, IMPROVING OFFICER SAFETY AND OPERATIONAL EFFICIENCY THROUGH LAWFUL, INCIDENT-BASED DEPLOYMENT.</t>
  </si>
  <si>
    <t xml:space="preserve">
Sales Order #: 2288152849
RTD Screening Code: DOD
Reason for Rejection: Y6</t>
  </si>
  <si>
    <t>TURRET,OPTICAL RECOONNAISSANCE</t>
  </si>
  <si>
    <t>2YTC8P61219494</t>
  </si>
  <si>
    <t>THE DELAVAN POLICE DEPARTMENT REQUESTS A GROUND-BASED PERSISTENT SURVEILLANCE SYSTEM TO ENHANCE SITUATIONAL AWARENESS DURING CRITICAL INCIDENTS, LARGE EVENTS, AND SEARCHES. THIS SYSTEM SERVES AS A FORCE MULTIPLIER FOR A SMALL AGENCY, IMPROVING OFFICER SAFETY AND RESPONSE EFFICIENCY. THIS ITEM WAS PREVIOUSLY APPROVED UNDER LESO REQUEST 2YTC8P61148923, CANCELLED Y9 AND IS NOW BEING AVAILABLE AGAIN.</t>
  </si>
  <si>
    <t xml:space="preserve">
Sales Order #: 2288137171
Reason for Rejection: Z2</t>
  </si>
  <si>
    <t>2YTC8P61149479</t>
  </si>
  <si>
    <t>TRACTOR NEEDED TO SUPPORT CAMPUS MAINTENANCE FOR THE KANE COUNTY SHERIFFS OFFICE AND OUTDOOR SHOOTING RANGE.  THE SHERIFFS OFFICE CAMPUS IS OVER FORTY ACERS IN SIZE AND IS NEED OF CONSTANT CARE.</t>
  </si>
  <si>
    <t xml:space="preserve">
Sales Order #: 2287729131
RTD Screening Code: DOD
Reason for Rejection: Y9</t>
  </si>
  <si>
    <t>2YTF3G61149025</t>
  </si>
  <si>
    <t>ITEM TO BE USED BY FULTON POLICE DEPARTMENT SEARCH AND RESCUE ON THE MISSISSIPPI RIVER.</t>
  </si>
  <si>
    <t xml:space="preserve">
Sales Order #: 2288020873
RTD Screening Code: DOD
Reason for Rejection: Y9</t>
  </si>
  <si>
    <t>2YTEEE61219557</t>
  </si>
  <si>
    <t>THESE CAN BE USED FOR OUR SPECIAL WEAPONS AND TACTICS TEAM DURING TRAINING AND FOR ACTIVE INCIDENTS.</t>
  </si>
  <si>
    <t xml:space="preserve">
Sales Order #: 2286616562
RTD Screening Code: DOD
Reason for Rejection: YH</t>
  </si>
  <si>
    <t>GOGGLES,SUN,WIND AN</t>
  </si>
  <si>
    <t>2YT15Y61078315</t>
  </si>
  <si>
    <t>ITEMS TO BE USED BY THE FULTON POLICE DEPARTMENT FOR CIVIL DISTURBANCE AND TACTICAL OPERATIONS.</t>
  </si>
  <si>
    <t xml:space="preserve">
Sales Order #: 2287180805
RTD Screening Code: DOD
Reason for Rejection: YH</t>
  </si>
  <si>
    <t>2YTEEE61079142</t>
  </si>
  <si>
    <t>THESE GOGGLES CAN BE DISTRIBUTED TO OUR DEPARTMENT OF 27 OFFICERS AND OUR EXTENDED SWAT TEAM WITH AN ADDITIONAL 40 OPERATORS.</t>
  </si>
  <si>
    <t xml:space="preserve">
Sales Order #: 2287446893
RTD Screening Code: DOD
Reason for Rejection: Y9</t>
  </si>
  <si>
    <t>2YT15Y61078756</t>
  </si>
  <si>
    <t>TRAILER NEEDED FOR STORAGE AND TRANSPORTATION OF EQUIPMENT FOR THE KANE COUNTY SHERIFFS OFFICE CRITICAL INCIDENT TEAM.</t>
  </si>
  <si>
    <t xml:space="preserve">
Sales Order #: 2287589494
RTD Screening Code: DOD
Reason for Rejection: Y9</t>
  </si>
  <si>
    <t>2YTF3G61149052</t>
  </si>
  <si>
    <t xml:space="preserve">
Sales Order #: 2286335302
RTD Screening Code: DOD
Reason for Rejection: Y9</t>
  </si>
  <si>
    <t>2YTC8P61078366</t>
  </si>
  <si>
    <t>GENERATOR UNIT CAN BE USED TO FACILITATE ACTIVE SCENES, SPECIAL EVENTS, AND NATURAL DISASTERS AND POWER OUTAGES.</t>
  </si>
  <si>
    <t xml:space="preserve">
Sales Order #: 2287589484
RTD Screening Code: DOD
Reason for Rejection: Y9</t>
  </si>
  <si>
    <t>2YT15Y61079050</t>
  </si>
  <si>
    <t>USED FOR NIGHT OPERATIONS AND OFFICER EFFICIENCY AND ACCURACY IN LOW-LIGHT SETTINGS.</t>
  </si>
  <si>
    <t xml:space="preserve">
Sales Order #: 2287514530
RTD Screening Code: DOD
Reason for Rejection: Y9</t>
  </si>
  <si>
    <t>2YT15Y61078656</t>
  </si>
  <si>
    <t xml:space="preserve">
Sales Order #: 2287695594
RTD Screening Code: DOD
Reason for Rejection: Y9</t>
  </si>
  <si>
    <t>2YTC8P61148923</t>
  </si>
  <si>
    <t>TRUCK AND TRACTOR ATTACHMENT NEEDED TO SUPPORT CAMPUS MAINTENANCE FOR THE KANE COUNTY SHERIFFS OFFICE AND OUTDOOR SHOOTING RANGE.  THE SHERIFFS OFFICE CAMPUS IS OVER FORTY ACERS IN SIZE AND IS NEED OF CONSTANT CARE.</t>
  </si>
  <si>
    <t xml:space="preserve">
Sales Order #: 2287729137
RTD Screening Code: DOD
Reason for Rejection: Y9</t>
  </si>
  <si>
    <t>2YTF3G61149026</t>
  </si>
  <si>
    <t>THIS TRAILER WOULD BE USED FOR THE DELAVAN POLICE DEPARTMENT AND DELAVAN POLICE OFFICERS FOR INCIDENT RESPONSE AND EMERGENCY OPERATIONS.  NO POLICE DEPARTMENT IN OUR AREA HAS A COMMAND TRAILER LIKE THIS RESOURCE SO IT WOULD PROVIDE A RESOURCE WE DO NOT CURRENTLY HAVE ACCESS TO CURRENTLY.</t>
  </si>
  <si>
    <t xml:space="preserve">
Sales Order #: 2285459913
Reason for Rejection: YH</t>
  </si>
  <si>
    <t>2YTC8P60795884</t>
  </si>
  <si>
    <t>THESE RECON SCOUT XT WOULD BE USED BY THE DELAVAN POLICE DEPARTMENT AND POLICE OFFICERS TO SUPPORT PATROL, SEARCH AND RESCUE, AND EMERGENCY RESPONSE AND IT ENHANCES OFFICER SAFETY.  ACQUISITION THROUGH LESO IS FISCALLY RESPONSIBLE AND FILLS AN OPERATIONAL GAP.</t>
  </si>
  <si>
    <t xml:space="preserve">
Sales Order #: 2283314539
RTD Screening Code: DOD
Reason for Rejection: YG</t>
  </si>
  <si>
    <t>2YTC8P60512899</t>
  </si>
  <si>
    <t>ITEMS TO BE USED BY THE FULTON POLICE DEPARTMENT FOR CIVIL UNREST AND TACTICAL OPERATIONS.</t>
  </si>
  <si>
    <t>2YTEEE61079140</t>
  </si>
  <si>
    <t>THE INVESTIGATIONS UNIT IS IN NEED OF DESK AND CHAIRS FOR OPERATIONAL ABILITIES.</t>
  </si>
  <si>
    <t xml:space="preserve">
Sales Order #: 2287033878
RTD Screening Code: DOD
Reason for Rejection: YG</t>
  </si>
  <si>
    <t>MODULAR FURNATURE</t>
  </si>
  <si>
    <t>DSMODULAR</t>
  </si>
  <si>
    <t>2YT15Y61007744</t>
  </si>
  <si>
    <t>POLICE USE FOR SPECIAL EVENTS, OUR SWAT TEAM, AND FOR EMERGENCY MANAGEMENT SERVICES.</t>
  </si>
  <si>
    <t xml:space="preserve">
Sales Order #: 2287033877
RTD Screening Code: DOD
Reason for Rejection: YG</t>
  </si>
  <si>
    <t>2YT15Y61007740</t>
  </si>
  <si>
    <t>DELAVAN POLICE DEPARTMENT REQUEST FOR USE BY DELAVAN POLICE OFFICERS. THIS MAST SYSTEM WILL BE UTILIZED TO ELEVATE CAMERAS, LIGHTING, OR COMMUNICATION EQUIPMENT DURING INCIDENTS, TRAINING, AND EMERGENCY OPERATIONS. IT ENHANCES SITUATIONAL AWARENESS, IMPROVES SCENE MANAGEMENT, AND SERVES AS A FORCE MULTIPLIER FOR A SMALL AGENCY WITH LIMITED STAFFING.</t>
  </si>
  <si>
    <t>MAST</t>
  </si>
  <si>
    <t>2YTC8P61148927</t>
  </si>
  <si>
    <t>2YTC8P61148926</t>
  </si>
  <si>
    <t>DELAVAN POLICE DEPARTMENT REQUEST FOR USE BY DELAVAN POLICE OFFICERS. THIS WORKSTATION WILL BE USED FOR DIGITAL EVIDENCE REVIEW, REPORT PREPARATION, AND INVESTIGATIVE CASE MANAGEMENT. IT SUPPORTS TIMELY PROCESSING OF INFORMATION, ENHANCES ACCURACY, AND IMPROVES CASE OUTCOMES WHILE MAINTAINING SECURE HANDLING OF LAW ENFORCEMENT DATA.</t>
  </si>
  <si>
    <t xml:space="preserve">
Sales Order #: 2287675980
RTD Screening Code: DOD
Reason for Rejection: Y9</t>
  </si>
  <si>
    <t>2YTC8P61078928</t>
  </si>
  <si>
    <t>TRUCK AND TRUCK TRACTOR NEEDED TO SUPPORT THE KANE COUNTY SHERIFFS OFFICE WITH ON SCENE OPERATIONS FOR EMERGENCIES, NATURAL DISASTERS, SUMMER FESTIVALS AND SEARCH AND RESCUE OPERATIONS.  THE KANE COUNTY SHERIFFS OFFICE WILL ARRANGE FOR OFFSHORE SHIPPING OF THIS EQUIPMENT FROM ITS CURRENT LOCATION TO FLORIDA, WE HAVE DONE SO WITH OTHER ITEMS IN THE PAST THAT HAVE BEEN ACQUIRED THROUGH THE LESO PROGRAM.</t>
  </si>
  <si>
    <t>Property located in Puerti Rico</t>
  </si>
  <si>
    <t>2YTF3G61149028</t>
  </si>
  <si>
    <t>Cancelled: Approved 1ea under DTID M9737060230001</t>
  </si>
  <si>
    <t>2YTC8P61078924</t>
  </si>
  <si>
    <t>THERMOMETERS NEEDED FOR THE KANE COUNTY SHERIFFS OFFICE NEW FORENSICS LABORATORY. HAVING DISPOSABLE THERMOMETERS FOR THE LAB WILL HELP OFFSET EXPENSES THAT WE WILL BE INCURRING THROUGHOUT THE LAB OPERATIONS.</t>
  </si>
  <si>
    <t xml:space="preserve">
Sales Order #: 2285840403
Reason for Rejection: YG</t>
  </si>
  <si>
    <t>THERMOMETER, LAB - NO MERCURY</t>
  </si>
  <si>
    <t>DSTHERMO1</t>
  </si>
  <si>
    <t>2YTF3G60725893</t>
  </si>
  <si>
    <t>POLICE USE FOR ACTIVE SHOOTER SCENE, CRIMINAL INVESTIGATIONS, AND SPECIAL EVENTS.</t>
  </si>
  <si>
    <t xml:space="preserve">
Sales Order #: 2287033875
RTD Screening Code: DOD
Reason for Rejection: Y9</t>
  </si>
  <si>
    <t>2YT15Y61007738</t>
  </si>
  <si>
    <t>THE DELAVAN POLICE DEPARTMENT AND ITS POLICE OFFICERS WOULD USE THIS LIFT TRUCK TO MAINTAIN AND INSTALL THE CITYWIDE CAMERA SURVEILLANCE SYSTEM MOUNTED HIGH ON POLES THAT MONITOR SUSPICIOUS AND DRUG ACTIVITY. ACQUIRING THIS LIFT TRUCK WOULD ALLOW OFFICERS TO MAINTAIN AND INSTALL THE SYSTEM INDEPENDENTLY, ENHANCING OUR ABILITY TO MONITOR AND RESPOND TO CRIMINAL ACTIVITY EFFICIENTLY.</t>
  </si>
  <si>
    <t xml:space="preserve">
Sales Order #: 2286796079
RTD Screening Code: DOD
Reason for Rejection: Y9</t>
  </si>
  <si>
    <t>2YTC8P61007777</t>
  </si>
  <si>
    <t>VEHICLE WILL BE UTILIZED FOR SPECIAL WEAPONS AND TACTICS TRAINING AND OFFICER DEPLOYMENT. VEHICLE CAN ALSO BE USED TO EXTRACT LARGE GROUPS OF CITIZENS DURING NATURAL DISASTER EVENTS.</t>
  </si>
  <si>
    <t>Property is in Rota Spain.</t>
  </si>
  <si>
    <t>2YT15Y61148655</t>
  </si>
  <si>
    <t xml:space="preserve">
Sales Order #: 2286335315
RTD Screening Code: DOD
Reason for Rejection: Y9</t>
  </si>
  <si>
    <t>2YTC8P61078370</t>
  </si>
  <si>
    <t>OUR DEPARTMENT HAS A NEED FOR THESE SMALLER CARTS TO HELP FACILITATE OUR IN TOWN EVENTS.  WE HAVE NEEDS FOR THESE TO ASSIST WITH SEARCH AND RESCUES, OUR VILLAGE HAS MANY SMALL PONDS, AND WOODED AREAS NOT ACCESSIBLE BY CAR.</t>
  </si>
  <si>
    <t xml:space="preserve">
Sales Order #: 2286598958
RTD Screening Code: DOD
Reason for Rejection: Y9</t>
  </si>
  <si>
    <t>2YTRLY60937284</t>
  </si>
  <si>
    <t>THIS VEHICLE WOULD BE USED BY DELAVAN POLICE OFFICERS OF THE DELAVAN POLICE DEPARTMENT FOR PATROL OPERATIONS AND COMMAND OPERATIONS. IT WOULD ALSO BE USED FOR DAILY PATROL OPERATIONS, ACT AS A SPARE VEHICLE FOR SPECIAL EVENTS, AND BE USED BY POLICE OFFICERS TO TRAVEL FOR TRAINING, PROVIDING A MUCH-NEEDED RESOURCE OUR DEPARTMENT LACKS CURRENTLY.</t>
  </si>
  <si>
    <t xml:space="preserve">
Sales Order #: 2286317846
RTD Screening Code: DOD
Reason for Rejection: Y9</t>
  </si>
  <si>
    <t>2YTC8P60937032</t>
  </si>
  <si>
    <t xml:space="preserve">
Sales Order #: 2286288939
RTD Screening Code: DOD
Reason for Rejection: Y9</t>
  </si>
  <si>
    <t>2YTC8P60937031</t>
  </si>
  <si>
    <t>LANDSCAPE RAKE TO BE UTILIZED BY THE KANE COUNTY SHERIFFS OFFICE TO MAINTAIN OUR JOINT OUTDOOR RANGE AND ROUTINE MAINTENANCE OF SHERIFFS OFFICE FACILITY GROUNDS.</t>
  </si>
  <si>
    <t xml:space="preserve">
Sales Order #: 2285163526
RTD Screening Code: DOD
Reason for Rejection: YD</t>
  </si>
  <si>
    <t>2YTF3G60655426</t>
  </si>
  <si>
    <t>THESE MONITOR DISPLAYS WOULD BE USED IN THE DELAVAN POLICE EMERGENCY OPERATIONS CENTER TO DISPLAY CRITICAL INCIDENT INFORMATION.  POLICE OFFICERS WILL USE THESE DISPLAYS  TO DISPLAY POLICE DEPLOYED SECURITY CAMERAS WITHIN POLICE OFFICE AND INCIDENT CENTER.</t>
  </si>
  <si>
    <t xml:space="preserve">
Sales Order #: 2286317842
RTD Screening Code: DOD
Reason for Rejection: Y9</t>
  </si>
  <si>
    <t>2YTC8P60937029</t>
  </si>
  <si>
    <t>DELAVAN POLICE DEPARTMENT REQUEST FOR USE BY DELAVAN POLICE OFFICERS THIS GOLF CART TO SUPPORT SPECIAL EVENTS, CROWD MANAGEMENT, PARK PATROL, AND DISASTER RESPONSE OPERATIONS. THE VEHICLE ENHANCES MOBILITY IN RESTRICTED OR PEDESTRIAN-HEAVY AREAS, ALLOWING OFFICERS TO TRANSPORT PERSONNEL AND EQUIPMENT EFFICIENTLY WHILE IMPROVING VISIBILITY, RESPONSE TIMES, AND COMMUNITY ENGAGEMENT.</t>
  </si>
  <si>
    <t xml:space="preserve">
Sales Order #: 2285176961
RTD Screening Code: DOD
Reason for Rejection: YD</t>
  </si>
  <si>
    <t>2YTC8P60724951</t>
  </si>
  <si>
    <t>THESE COMPUTERS WOULD BE USED FOR OUR PATROL AND INVESTIGATIONS DIVISIONS TO REPLACE BROKEN COMPUTERS AT A COST SAVINGS TO OUR AGENCY.</t>
  </si>
  <si>
    <t xml:space="preserve">
Sales Order #: 2291818295
RTD Screening Code: DOD
Reason for Rejection: Y9</t>
  </si>
  <si>
    <t>2YTCMH61703680</t>
  </si>
  <si>
    <t xml:space="preserve">
Sales Order #: 2291780246
RTD Screening Code: DOD
Reason for Rejection: Y9</t>
  </si>
  <si>
    <t>2YTCMH61703679</t>
  </si>
  <si>
    <t>THE SHERIFFS OFFICE WILL USE THE GENERATORS TO SET UP CRITICAL INCIDENT SCENES.</t>
  </si>
  <si>
    <t xml:space="preserve">
Sales Order #: 2289879866
RTD Screening Code: GSA
Reason for Rejection: YG</t>
  </si>
  <si>
    <t>2YTPTR61421597</t>
  </si>
  <si>
    <t>JEROME COUNTY SHERIFF WOULD LIKE TO USE THIS VEHICLE TO ENFORCE DRUG AND HUMAN TRAFFICKING IN OUR JURISDICTION.</t>
  </si>
  <si>
    <t>2YTFY461482856</t>
  </si>
  <si>
    <t>A TOTAL CONTAINMENT VESSEL ALLOWS THE IDAHO FALLS BOMB SQUAD TO SAFELY CONTAIN AND TRANSPORT EXPLOSIVE DEVICES, REDUCING RISK TO THE PUBLIC, OFFICERS, AND CRITICAL INFRASTRUCTURE. A TCV MINIMIZES EVACUATIONS, ROAD CLOSURES, AND PROPERTY DAMAGE WHILE ENHANCING REGIONAL RESPONSE CAPABILITIES, INTEROPERABILITY, AND PREPAREDNESS FOR EVOLVING EXPLOSIVE THREATS THROUGHOUT EASTERN IDAHO.</t>
  </si>
  <si>
    <t>2YTF0Y61492820</t>
  </si>
  <si>
    <t>IDAHO FALLS POLICE DEPARTMENT (2YTF0Y)</t>
  </si>
  <si>
    <t>THIS FORKLIFT WOULD BE USED TO MOVE HEAVY EQUIPMENT OR ITEMS ON THE POLICE DEPARTMENT CAMPUS.  WE CURRENTLY DO NOT HAVE A FORKLIFT AND HAVE TO BORROW ONE TO MOVE AMMO OR HEAVY ITEMS ON THE PD CAMPUS.</t>
  </si>
  <si>
    <t xml:space="preserve">
Sales Order #: 2289879857
RTD Screening Code: DOD
Reason for Rejection: Y9</t>
  </si>
  <si>
    <t>2YTCMH61491833</t>
  </si>
  <si>
    <t>THIS WEAPONS WASHER WOULD BE USED TO CLEAN SHERIFF'S OFFICE FIREARMS FOR PATROL, JAIL, DETECTIVES, AND THE SWAT TEAM.</t>
  </si>
  <si>
    <t xml:space="preserve">
Sales Order #: 2288158062
RTD Screening Code: DOD
Reason for Rejection: YG</t>
  </si>
  <si>
    <t>2YTGAF61219438</t>
  </si>
  <si>
    <t>THIS FORK LIFT WOULD BE USED TO LOAD AND UNLOAD HEAVY LAW ENFORCEMENT EQUIPMENT AT THE SHERIFF'S OFFICE FACILITIES.</t>
  </si>
  <si>
    <t xml:space="preserve">
Sales Order #: 2288152846
RTD Screening Code: DOD
Reason for Rejection: YG</t>
  </si>
  <si>
    <t>2YTGAF61219441</t>
  </si>
  <si>
    <t>THIS TRUCK WOULD BE USED BY THE SHERIFF'S OFFICE TO TRANSPORT LARGE LAW ENFORCEMENT EQUIPMENT TO AND FROM COUNTY FACILITIES.</t>
  </si>
  <si>
    <t xml:space="preserve">
Sales Order #: 2287150370
RTD Screening Code: DOD
Reason for Rejection: YG</t>
  </si>
  <si>
    <t>2YTGAF61078266</t>
  </si>
  <si>
    <t>THIS PLOW WOULD BE USED TO CLEAR PARKING LOTS ON SHERIFF'S OFFICE PROPERTY WHICH STORE LAW ENFORCEMENT EQUIPMENT.</t>
  </si>
  <si>
    <t xml:space="preserve">
Sales Order #: 2288235655
RTD Screening Code: DOD
Reason for Rejection: Y9</t>
  </si>
  <si>
    <t>SNOWPLOW,TRUCK MOUNTED</t>
  </si>
  <si>
    <t>2YTGAF61219436</t>
  </si>
  <si>
    <t>THIS CAR WOULD BE USED BY SHERIFF'S OFFICE LAW ENFORCEMENT AND SUPPORT PERSONNEL TO DRIVE TO AND FROM LOCAL TRAININGS.</t>
  </si>
  <si>
    <t xml:space="preserve">
Sales Order #: 2288235663
RTD Screening Code: DOD
Reason for Rejection: Y9</t>
  </si>
  <si>
    <t>2YTGAF61219442</t>
  </si>
  <si>
    <t>THIS GYM EQUIPMENT WOULD GO INTO THE SHERIFF'S OFFICE GYM WE ARE TRYING TO BUILD BUT DO NOT HAVE SUFFICIENT FUNDS TO ACCOMPLISH THE TASK.  FOR LAW ENFORCEMENT PURPOSES.</t>
  </si>
  <si>
    <t xml:space="preserve">
Sales Order #: 2287612266
RTD Screening Code: DOD
Reason for Rejection: Y9</t>
  </si>
  <si>
    <t>2YTGAF61148835</t>
  </si>
  <si>
    <t>THIS DUMP TRUCK WOULD BE USED AS A LAW ENFORCEMENT SUPPORT VEHICLE FOR THE SHERIFFS OFFICE.</t>
  </si>
  <si>
    <t xml:space="preserve">
Sales Order #: 2287150366
RTD Screening Code: DOD
Reason for Rejection: YH</t>
  </si>
  <si>
    <t>2YTGAF61078276</t>
  </si>
  <si>
    <t>THIS CRANE WOULD BE USED TO LIFT LAW ENFORCEMENT EQUIPMENT FROM TRUCKS AND TRAILERS OWNED AND OPERATED BY THE SHERIFF'S OFFICE.</t>
  </si>
  <si>
    <t xml:space="preserve">
Sales Order #: 2286802326
RTD Screening Code: DOD
Reason for Rejection: YG</t>
  </si>
  <si>
    <t>CRANE,FLOOR,PORTABL</t>
  </si>
  <si>
    <t>2YTGAF61007659</t>
  </si>
  <si>
    <t>THIS TCV WOULD BE USED BY SHERIFF'S OFFICE MEMBERS FOR CONTAINMENT OF EXPLOSIVES FREQUENTLY FOUND DURING LAW ENFORCEMENT OPERATIONS.</t>
  </si>
  <si>
    <t xml:space="preserve">
Sales Order #: 2285117361
RTD Screening Code: DOD
Reason for Rejection: YG</t>
  </si>
  <si>
    <t>2YTGAF61005265</t>
  </si>
  <si>
    <t>THIS FORKLIFT WOULD BE USED BY SHERIFF'S OFFICE MAINTENANCE PERSONNEL TO LOAD AND UNLOAD LAW ENFORCEMENT EQUIPMENT.</t>
  </si>
  <si>
    <t xml:space="preserve">
Sales Order #: 2287612283
RTD Screening Code: DOD
Reason for Rejection: Y9</t>
  </si>
  <si>
    <t>2YTGAF61148840</t>
  </si>
  <si>
    <t xml:space="preserve">
Sales Order #: 2287612276
RTD Screening Code: DOD
Reason for Rejection: Y9</t>
  </si>
  <si>
    <t>2YTGAF61148832</t>
  </si>
  <si>
    <t xml:space="preserve">
Sales Order #: 2287612258
RTD Screening Code: DOD
Reason for Rejection: Y9</t>
  </si>
  <si>
    <t>2YTGAF61148829</t>
  </si>
  <si>
    <t xml:space="preserve">
Sales Order #: 2287612261
RTD Screening Code: DOD
Reason for Rejection: Y9</t>
  </si>
  <si>
    <t>2YTGAF61148837</t>
  </si>
  <si>
    <t xml:space="preserve">
Sales Order #: 2287612277
RTD Screening Code: DOD
Reason for Rejection: Y9</t>
  </si>
  <si>
    <t>2YTGAF61148834</t>
  </si>
  <si>
    <t xml:space="preserve">
Sales Order #: 2287612278
RTD Screening Code: DOD
Reason for Rejection: Y9</t>
  </si>
  <si>
    <t>2YTGAF61148831</t>
  </si>
  <si>
    <t xml:space="preserve">
Sales Order #: 2287612272
RTD Screening Code: DOD
Reason for Rejection: Y9</t>
  </si>
  <si>
    <t>2YTGAF61148830</t>
  </si>
  <si>
    <t>THESE TRAILERS WOULD BE USED TO TRANSPORT LAW ENFORCEMENT SPECIALIZED EQUIPMENT BELONGING TO THE SHERIFF'S OFFICE.</t>
  </si>
  <si>
    <t xml:space="preserve">
Sales Order #: 2287150392
RTD Screening Code: DOD
Reason for Rejection: Y9</t>
  </si>
  <si>
    <t>2YTGAF61078270</t>
  </si>
  <si>
    <t>This property is located overseas</t>
  </si>
  <si>
    <t>2YTGAF61018838</t>
  </si>
  <si>
    <t>THIS TOTAL CONTAINMENT VESSEL WILL INCREASE OUR EOD TEAM'S OPERATIONAL READINESS AND ALLOW FOR BETTER SERVICE TO OUR COMMUNITY AND THE SURROUNDING AREAS THAT WE ASSIST WITH EOD SERVICES.</t>
  </si>
  <si>
    <t xml:space="preserve">
Sales Order #: 2285180207
RTD Screening Code: DOD
Reason for Rejection: Y9</t>
  </si>
  <si>
    <t>2YTF0Y60584786</t>
  </si>
  <si>
    <t>UTILIZATION BY OUR EOD TEAM, THAT SERVES OUR COMMUNITY AND THE SURROUNDING AREA.</t>
  </si>
  <si>
    <t xml:space="preserve">
Sales Order #: 2285179937
RTD Screening Code: DOD
Reason for Rejection: Y9</t>
  </si>
  <si>
    <t>2YTF0Y60584781</t>
  </si>
  <si>
    <t>THIS FORKLIFT WOULD BE USED TO LIFT HEAVY EQUIPMENT SHIPPED TO AND FROM THE SHERIFF'S OFFICE.  THIS EQUIPMENT IS FOR LAW ENFORCEMENT PURPOSES AT LAW ENFORCEMENT FACILITIES.</t>
  </si>
  <si>
    <t xml:space="preserve">
Sales Order #: 2286708814
RTD Screening Code: DOD
Reason for Rejection: Y9</t>
  </si>
  <si>
    <t>2YTGAF61007661</t>
  </si>
  <si>
    <t>THESE WOULD BE USED IN THE SHERIFF'S OFFICE GYM SO LAW ENFORCEMENT PERSONNEL CAN PHYSICALLY TRAIN</t>
  </si>
  <si>
    <t xml:space="preserve">
Sales Order #: 2287150378
RTD Screening Code: DOD
Reason for Rejection: Y9</t>
  </si>
  <si>
    <t>2YTGAF61078282</t>
  </si>
  <si>
    <t>THIS VAN WOULD BE USED TO MOVE LAW ENFORCEMENT MATERIALS IN BETWEEN FACILITIES.</t>
  </si>
  <si>
    <t xml:space="preserve">
Sales Order #: 2286802345
RTD Screening Code: DOD
Reason for Rejection: Y9</t>
  </si>
  <si>
    <t>2YTGAF60937282</t>
  </si>
  <si>
    <t>THE JEROME COUNTY SHERIFF'S OFFICE WOULD LIKE THIS VEHICLE TO USE IN ENFORCING AND INVESTIGATING DRUG AND HUMAN TRAFFICKING IN OUR JURISDICTION.</t>
  </si>
  <si>
    <t xml:space="preserve">
Sales Order #: 2286335442
RTD Screening Code: DOD
Reason for Rejection: Y9</t>
  </si>
  <si>
    <t>2YTFY460937157</t>
  </si>
  <si>
    <t>THE JEROME COUNTY SHERIFF'S OFFICE WOULD LIKE THIS VEHICLE TO ENFORCE DRUG AND HUMAN TRAFFICKING INVESTIGATIONS IN OUR JURISDICTION.</t>
  </si>
  <si>
    <t xml:space="preserve">
Sales Order #: 2286325397
RTD Screening Code: DOD
Reason for Rejection: Y9</t>
  </si>
  <si>
    <t>2YTFY460937156</t>
  </si>
  <si>
    <t>THIS ENGINE WOULD BE USED ON A SHERIFF'S OFFICE VESSEL FOR LAW ENFORCEMENT PURPOSES.</t>
  </si>
  <si>
    <t xml:space="preserve">
Sales Order #: 2285870128
RTD Screening Code: DOD
Reason for Rejection: YH</t>
  </si>
  <si>
    <t>2YTGAF60866117</t>
  </si>
  <si>
    <t xml:space="preserve">
Sales Order #: 2285761807
RTD Screening Code: DOD
Reason for Rejection: YH</t>
  </si>
  <si>
    <t>2YTGAF60866115</t>
  </si>
  <si>
    <t>THE FORT DODGE POLICE DEPARTMENT NEEDS THIS NIGHT VISION IMAGE INTENSIFIER TO IMPROVE OFFICER SAFETY DURING LOW-LIGHT SERT OPERATIONS, RURAL SEARCHES, BARRICADED SUBJECTS, SEARCH WARRANTS, AND RESCUE CALLS. IT ENHANCES VISIBILITY IN DARKNESS, HELPING OFFICERS IDENTIFY THREATS, LOCATE FLEEING INDIVIDUALS, AND COORDINATE SAFELY WHILE REDUCING THE RISK OF MISIDENTIFICATION.</t>
  </si>
  <si>
    <t>2YTD7W61774236</t>
  </si>
  <si>
    <t>FORT DODGE POLICE DEPT (2YTD7W)</t>
  </si>
  <si>
    <t>THE FORT DODGE POLICE DEPARTMENT NEEDS THIS LONG-RANGE SURVEILLANCE SYSTEM TO IMPROVE OFFICER AND PUBLIC SAFETY DURING RURAL SEARCHES, BARRICADED SUBJECTS, MISSING PERSON CALLS, AND HIGH-RISK INCIDENTS. IT HELPS OFFICERS OBSERVE LARGE AREAS FROM A SAFE DISTANCE, LOCATE FLEEING INDIVIDUALS, ASSESS THREATS, AND PROVIDE COMMAND STAFF WITH BETTER REAL-TIME INFORMATION BEFORE OFFICERS MOVE INTO HAZARDOUS AREAS.</t>
  </si>
  <si>
    <t>SURVEILLANCE SYSTEM,SCOUT,LONG RANGE</t>
  </si>
  <si>
    <t>2YTD7W61773987</t>
  </si>
  <si>
    <t>THE FORT DODGE POLICE DEPARTMENT NEEDS THIS WARRIOR AID AND LITTER KIT TO IMPROVE OFFICER, CITIZEN, AND CASUALTY CARE DURING ACTIVE THREATS, SERT OPERATIONS, RESCUES, DISASTERS, AND MASS CASUALTY INCIDENTS. IT PROVIDES TRAUMA SUPPLIES AND EVACUATION CAPABILITY SO OFFICERS CAN QUICKLY TREAT LIFE-THREATENING INJURIES AND MOVE VICTIMS TO SAFETY BEFORE EMS CAN SAFELY ENTER.</t>
  </si>
  <si>
    <t>2YTD7W61774235</t>
  </si>
  <si>
    <t>THE FORT DODGE POLICE DEPARTMENT NEEDS THIS INFRARED ILLUMINATOR TO IMPROVE OFFICER SAFETY DURING LOW-LIGHT SERT OPERATIONS, RURAL SUSPECT SEARCHES, BARRICADED SUBJECTS, AND SEARCH WARRANTS. WHEN USED WITH NIGHT VISION, IT HELPS OFFICERS IDENTIFY THREATS, MARK LOCATIONS, COORDINATE MOVEMENT, AND REDUCE THE RISK OF MISIDENTIFICATION IN DARK OR HAZARDOUS ENVIRONMENTS.</t>
  </si>
  <si>
    <t>2YTD7W61773910</t>
  </si>
  <si>
    <t>THE FORT DODGE POLICE DEPARTMENT NEEDS THIS NIGHT VISION EQUIPMENT TO IMPROVE OFFICER SAFETY DURING LOW-LIGHT SERT OPERATIONS, RURAL SUSPECT SEARCHES, BARRICADED SUBJECTS, SEARCH WARRANTS, AND RESCUE CALLS. IT ALLOWS OFFICERS TO IDENTIFY THREATS, LOCATE FLEEING INDIVIDUALS, AND SAFELY COORDINATE MOVEMENT IN DARKNESS WHILE REDUCING THE RISK OF MISIDENTIFICATION.</t>
  </si>
  <si>
    <t>2YTD7W61703988</t>
  </si>
  <si>
    <t>2YTD7W61703982</t>
  </si>
  <si>
    <t>THE FORT DODGE POLICE DEPARTMENT NEEDS AN UNMANNED ROBOT TO IMPROVE OFFICER AND CITIZEN SAFETY DURING HIGH-RISK INCIDENTS. IT WOULD BE USED FOR BARRICADED SUBJECTS, ARMED SUSPECT CALLS, SEARCH WARRANTS, SUSPICIOUS PACKAGES, HAZARDOUS ENVIRONMENTS, AND BUILDING SEARCHES. A ROBOT ALLOWS OFFICERS TO GATHER INTELLIGENCE, COMMUNICATE, AND ASSESS THREATS WITHOUT PLACING PERSONNEL DIRECTLY IN DANGER, IMPROVING RESPONSE CAPABILITY AND REDUCING RISK.</t>
  </si>
  <si>
    <t>2YTD7W61703451</t>
  </si>
  <si>
    <t>NIGHT VISION GOGGLES PROVIDE LAW ENFORCEMENT OFFICERS AND TACTICAL TEAMS THE ABILITY TO SAFELY OPERATE IN LOW-LIGHT AND NO-LIGHT ENVIRONMENTS DURING SEARCHES, MANHUNTS, BARRICADED SUBJECT INCIDENTS, RURAL OPERATIONS, AND DISASTER RESPONSE. NVGS IMPROVE OFFICER SAFETY, TARGET IDENTIFICATION, SITUATIONAL AWARENESS, AND MISSION EFFECTIVENESS WHILE REDUCING THE NEED FOR VISIBLE LIGHT THAT COULD COMPROMISE TACTICAL POSITIONS OR ESCALATE THREATS.</t>
  </si>
  <si>
    <t xml:space="preserve">
Sales Order #: 2290317362
RTD Screening Code: DOD
Reason for Rejection: YG</t>
  </si>
  <si>
    <t>2YTDSS61491796</t>
  </si>
  <si>
    <t>2YTD7W61633667</t>
  </si>
  <si>
    <t>THE FORT DODGE POLICE DEPARTMENT NEEDS THIS INFRARED ILLUMINATOR TO IMPROVE OFFICER SAFETY DURING LOW-LIGHT OPERATIONS. IT ALLOWS TRAINED OFFICERS USING NIGHT VISION TO IDENTIFY HAZARDS, MARK LOCATIONS, AND COORDINATE DURING RURAL SUSPECT SEARCHES, SEARCH WARRANTS, BARRICADED SUBJECTS, AND RESCUE OPERATIONS WHILE REDUCING THE RISK OF MISIDENTIFICATION.</t>
  </si>
  <si>
    <t>2YTD7W61703454</t>
  </si>
  <si>
    <t>THE FORT DODGE POLICE DEPARTMENT NEEDS THIS UNMANNED DRONE TO IMPROVE OFFICER AND PUBLIC SAFETY, ESPECIALLY IN RURAL AREAS WHERE SUSPECTS FLEE INTO FIELDS, TIMBER, OR OPEN LAND. IT WOULD HELP QUICKLY SEARCH LARGE AREAS, LOCATE FLEEING INDIVIDUALS, GUIDE OFFICERS SAFELY, REDUCE MANPOWER NEEDS, AND PROVIDE REAL-TIME INFORMATION DURING PURSUITS, MISSING PERSON CALLS, DISASTERS, AND HIGH-RISK INCIDENTS.</t>
  </si>
  <si>
    <t>2YTD7W61703452</t>
  </si>
  <si>
    <t>FOR USE ON LOW LIGHT POLICE OPERATIONS. I HAVE REACHED OUT TO THE AGENCY IN POSSESSION OF THE ITEMS AND I HAVE CONFIRMED THE CONDITION OF THE ITEM. I ACCEPT THE CURRENT CONDITION OF THE ITEMS AND ACCEPT THEM AS THEY ARE.</t>
  </si>
  <si>
    <t xml:space="preserve">
Sales Order #: 2282252812
RTD Screening Code: DOD
Reason for Rejection: Y9</t>
  </si>
  <si>
    <t>2YTB4X60301753</t>
  </si>
  <si>
    <t>LRAD 100X PROVIDES LAW ENFORCEMENT AND SPECIALTY TEAMS WITH A NON-LETHAL TOOL FOR LONG RANGE COMMUNICATION AND CROWD CONTROL. IT DELIVERS CLEAR COMMANDS IN NOISY ENVIRONMENTS, SUPPORTS DE-ESCALATION, AND ENHANCES SAFETY FOR OFFICERS AND THE PUBLIC.</t>
  </si>
  <si>
    <t>2YTDSS61280510</t>
  </si>
  <si>
    <t>2YTDSS61149785</t>
  </si>
  <si>
    <t>THESE ITEMS WILL ASSIST OUR TACTICAL TEAM WITH LOW LIGHT OPERATIONS, ASSISTING WITH VISIBILITY AND PROPER THREAT ID AS WE MOVE TOWARDS AN NV PROGRAM. THESE ITEMS WILL ASSIST IN OFFICER SAFETY AND OVER OPERATIONAL SAFETY. ITEMS WILL BE ASSIGNED TO TACTICAL TEAM MEMBERS AND STORED IN SECURED AREAS.</t>
  </si>
  <si>
    <t xml:space="preserve">
Sales Order #: 2287805900
RTD Screening Code: DOD
Reason for Rejection: Y9</t>
  </si>
  <si>
    <t>2YTNBN61078675</t>
  </si>
  <si>
    <t>WATERLOO POLICE DEPT (2YTNBN)</t>
  </si>
  <si>
    <t>THIS EQUIPMENT WILL ASSIST OUR TACTICAL TEAM WITH LOW LIGHT OPERATIONS AS WE MOVE TOWARDS A NV PROGRAM. IT WILL ASSIST WITH VISUAL CAPABILITIES IN LOW LIGHT AND PROPER THREAT ID, ULTIMATELY MAKING FOR A SAFER OPERATION. THESE ITEMS WILL BE ASSIGNED TO TACTICAL TEAM MEMBERS AND STORED IN SECURED AREAS AT THE AGENCY.</t>
  </si>
  <si>
    <t xml:space="preserve">
Sales Order #: 2287805885
RTD Screening Code: DOD
Reason for Rejection: Y9</t>
  </si>
  <si>
    <t>2YTNBN61078674</t>
  </si>
  <si>
    <t>THESE ITEMS WILL ASSIST OUR AGENCY WITH LOW LIGHT OPERATIONS AND ENHANCE OFFICER SAFETY AS WE MOVE TOWARDS AN NV PROGRAM. THESE ITEMS WILL ALLOW FOR BETTER VISIBILITY AND THREAT ID. ITEMS WILL BE ASSIGNED TO TACTICAL UNIT MEMBERS AND STORED IN SECURED AREAS.</t>
  </si>
  <si>
    <t>2YTNBN61078677</t>
  </si>
  <si>
    <t>OUR AGENCY MULTIJURISDICTIONAL TACTICAL TEAM IS IN NEED OF A OPTIC FOR OUR 40MM LESS LETHAL LAUNCHER.</t>
  </si>
  <si>
    <t>2YTTCG60938064</t>
  </si>
  <si>
    <t>DELAWARE COUNTY SHERIFFS OFFICE (2YTTCG)</t>
  </si>
  <si>
    <t>OUR AGENCY IS PART OF A MULTIJURISDICTIONAL TACTICAL TEAM THAT SPANS 2 COUNTIES AS WELL AS SERVICING OTHERS AT REQUEST. WE ARE ATTEMPTING TO UPFIT OUR DEPARTMENT WITH LASERS AND IR CAPABILITIES IN HOPES OF UTILIZING NIGHT VISION IN THE FUTURE. CURRENTLY THESE LASERS WOULD BE USED IN CONJUNCTION WITH OTHER TEAM CAPABILITIES AS WELL AS UTILIZATION WITH OUR DRONE TEAM AND THE STATE PATROL PLANE.</t>
  </si>
  <si>
    <t>2YTTCG61008117</t>
  </si>
  <si>
    <t>I AM REQUESTING 16 UNITS TO UPFIT OUR MULTIJURISDICTIONAL TACTICAL TEAM WITH AN ULTIMATE GOAL OF UTILIZING WITH NIGHT VISION. OUR TEAM IS PREDOMINANTLY RURAL HOWEVER CROSS UTILIZATION WITH OTHER AREA TEAMS, OUR AGENCY DRONE UNIT AND  USAGE WITH OUR STATE AGENCY PLANE FOR LARGE AREA SEARCHES TACTICAL DEPLOYMENTS AND SEARCH WARRANTS.</t>
  </si>
  <si>
    <t>2YTTCG61008063</t>
  </si>
  <si>
    <t>THE WATERLOO POLICE TACTICAL UNIT IS REQUESTING THIS EQUIPMENT TO BE UTILIZED FOR TACTICAL OPERATIONS AND SEARCH AND RESCUE. OUR DEPARTMENT DOES NOT CURRENTLY HAVE ANY THERMAL CAPABILITIES, WHICH WOULD ENHANCE OUR SUCCESS ON OPERATIONS. MANY OF THESE OPERATIONS OCCUR DURING LOW LIGHT AND NIGHTTIME, HINDERING OUR ABILITIES AND JEOPARDIZING OFFICER SAFETY. THIS EQUIPMENT WOULD BE SECURED IN LOCKED SAFES WHEN NOT IN USE.</t>
  </si>
  <si>
    <t>2YTNBN61008025</t>
  </si>
  <si>
    <t>THE WILLACOOCHEE POLICE DEPARTMENT IS NEED OF PATROL TRUCK TO UTILIZE TO BE ABLE TO MOVE AROUND DIRT ROADS THAT OUR CURRENT PATROL VEHICLES ARE UNABLE TO.  THE CURRENT PATROL VEHICLES IN OUR FLEET ARE ILL-SUITED FOR NAVIGATING THE AREA'S UNPAVED AND RUGGED DIRT ROADS, WHICH HAMPERS OUR ABILITY TO RESPOND EFFECTIVELY IN CERTAIN SITUATIONS.</t>
  </si>
  <si>
    <t xml:space="preserve">
Sales Order #: 2292054240
RTD Screening Code: DOD
Reason for Rejection: Y9</t>
  </si>
  <si>
    <t>2YTNPQ61844336</t>
  </si>
  <si>
    <t xml:space="preserve">
Sales Order #: 2292054250
RTD Screening Code: DOD
Reason for Rejection: Y9</t>
  </si>
  <si>
    <t>2YTNPQ61844335</t>
  </si>
  <si>
    <t xml:space="preserve">
Sales Order #: 2292077628
RTD Screening Code: DOD
Reason for Rejection: Y9</t>
  </si>
  <si>
    <t>2YTNPQ61844333</t>
  </si>
  <si>
    <t>THE CCPD IS REQUESTING THIS TRUCK.IT WILL BE USED IN BY CCPD FOR LAW ENFORCEMENT FOR OUR HELICOPTER UNIT.VEHICLE WILL BE USED DAILY TO STORE AND REFUEL HELICOPTERS FOR POLICE PATROL. IT IS DESPERATELY NEEDED TO REPLACE OUR CURRENT 1973 TANKER AND HEMTT TANKER THAT ARE NOT OPERATIONAL DUE TO PARTS. MAINT HAS STIPULATED THAT BOTH VEHICLES ARE UNFEASIBLE TO BE MAINTAINED.DUE TO BUDGET, REPAIR AND REPLACEMENT IS NOT FEASIBLE.THIS TRUCK WILL ENABLE THE CCPD TO CONTINUE SAFE AND CRITICAL LE OPERATIONS</t>
  </si>
  <si>
    <t xml:space="preserve">
Sales Order #: 2291312731
RTD Screening Code: GSA
Reason for Rejection: YG</t>
  </si>
  <si>
    <t>2YTCHK61703630</t>
  </si>
  <si>
    <t>CLAYTON COUNTY POLICE DEPARTMENT (2YTCHK)</t>
  </si>
  <si>
    <t xml:space="preserve">HE CCPD IS REQUESTING THIS TRUCK.IT WILL BE USED FOR LAW ENFORCEMENT FOR OUR HELICOPTER UNIT.THE VEHICLE WILL BE USED DAILY TO STORE AND REFUEL HELICOPTERS FOR POLICE PATROL. IT IS DESPERATELY NEEDED TO REPLACE OUR CURRENT 1978 TANKER AND NONE WORKING HEMTT. MAINT HAS STIPULATED THAT THE VEHICLES ARE UNFEASIBLE TO BE MAINTAINED DUE TO AGE, SAFETY AND MAINT COSTS.DUE TO BUDGET, REPAIR AND REPLACEMENT IS NOT FEASIBLE.THIS TRUCK WILL ENABLE THE CCPD TO CONTINUE SAFE AND CRITICAL LE OPERATIONS.
</t>
  </si>
  <si>
    <t xml:space="preserve">
Sales Order #: 2291227223
RTD Screening Code: GSA
Reason for Rejection: YG</t>
  </si>
  <si>
    <t>2YTCHK61703503</t>
  </si>
  <si>
    <t>TO PROVIDE A MOBILE MAINTENANCE TRAILER FOR THE MIDVILLE PD. THIS COULD PROVIDE ASSISTANCE FIXING OR CUSTOMIZING PATROL VEHICLES, LIKE ADDING PUSH BUMPERS OR HEAVY DUTY MOUNTS, UPFITTING OR ALTERING SPECIFIC RESCUE VEHICLES TO ASSIST IN DISASTERS.</t>
  </si>
  <si>
    <t>Rejected by EOL0097.</t>
  </si>
  <si>
    <t>WELDING SHOP,MARINE CORPS TACTICAL</t>
  </si>
  <si>
    <t>2YTHQD61914879</t>
  </si>
  <si>
    <t>THE MIDVILLE POLICE DEPARTMENT COULD BENEFIT FROM THIS TRACTOR FOR ASSISTANT WITH MOVING HEAVY DEBRIS, REMOVING BARRICADES, AND IN NATURAL DISASTERS, SUCH AS FLOODS OR TORNADOES, THIS COULD BE USED FOR MOVING FALLEN TREES, CLEARING ROADS TO REACH TRAPPED VICTIMS, OR TRANSPORTING SPECIALIZED SEARCH AND RESCUE GEAR.</t>
  </si>
  <si>
    <t xml:space="preserve">
Sales Order #: 2291860153
RTD Screening Code: DOD
Reason for Rejection: Y9</t>
  </si>
  <si>
    <t>2YTHQD61774044</t>
  </si>
  <si>
    <t>FOR USE BY LAW ENFORCEMENT AGENCY WITH TRANSPORT AND CONTAINMENT OF LAW ENFORCEMENT K9S. ALSO FOR USE WITH K9 TRAINING, MAINTAINING K9S IN A HOT ENVIRONMENT, AND ANY OTHER K9 TRANSPORT NEEDS.</t>
  </si>
  <si>
    <t xml:space="preserve">
Sales Order #: 2291661089
RTD Screening Code: DOD
Reason for Rejection: Y9</t>
  </si>
  <si>
    <t>2YTE6D61774170</t>
  </si>
  <si>
    <t>THIS WILL BE USED BY THE SHERIFF'S OFFICE AS A FIRING RANGE INSTRUCTION BUILDING TO BE PLACED AT THE FIRING RANGE FOR TRAINING PURPOSES.</t>
  </si>
  <si>
    <t xml:space="preserve">
Sales Order #: 2292011138
RTD Screening Code: DOD
Reason for Rejection: Y9</t>
  </si>
  <si>
    <t>2YTA6K61774259</t>
  </si>
  <si>
    <t>WILLACOOCHEE POLICE DEPARTMENT IS SEEKING A TRACTOR TO SUPPORT BOTH THE CONSTRUCTION AND ONGOING MAINTENANCE OF OUR FIREARM RANGE. THIS TRACTOR WILL BE ESSENTIAL FOR TASKS SUCH AS LEVELING THE GROUND, TRANSPORTING MATERIALS, AND MANAGING LANDSCAPING AROUND THE SHOOTING RANGE.</t>
  </si>
  <si>
    <t xml:space="preserve">
Sales Order #: 2290146504
RTD Screening Code: DOD
Reason for Rejection: YG</t>
  </si>
  <si>
    <t>2YTNPQ61492107</t>
  </si>
  <si>
    <t xml:space="preserve">
Sales Order #: 2290146492
RTD Screening Code: DOD
Reason for Rejection: YG</t>
  </si>
  <si>
    <t>2YTNPQ61492106</t>
  </si>
  <si>
    <t>THE NASHVILLE POLICE DEPARTMENT IS REQUESTING A TRACTOR TO ASSIST WITH CONSTRUCTION AND MAINTENANCE OF A FUTURE TRAINING RANGE, DISASTER RESPONSE OPERATIONS, STORM DEBRIS REMOVAL, AND OTHER PUBLIC SAFETY NEEDS. THIS EQUIPMENT WILL IMPROVE EMERGENCY PREPAREDNESS, SUPPORT SPECIAL PROJECTS, AND ALLOW OFFICERS TO BETTER MAINTAIN DEPARTMENT PROPERTY AND CRITICAL INFRASTRUCTURE DURING EMERGENCIES AND COMMUNITY EVENTS.</t>
  </si>
  <si>
    <t xml:space="preserve">
Sales Order #: 2290542472
RTD Screening Code: DOD
Reason for Rejection: YG</t>
  </si>
  <si>
    <t>2YT1BK61492747</t>
  </si>
  <si>
    <t>TO BE ISSUED TO THE LEA'S CERTIFIED DEPUTIES FOR USE ON THEIR DEPARTMENT ISSUE LONG GUNS.</t>
  </si>
  <si>
    <t>2YTH2G61913935</t>
  </si>
  <si>
    <t>MORGAN CSD (2YTH2G)</t>
  </si>
  <si>
    <t>THE MIDVILLE PD COULD USES THIS LOWBOY TRAILER FOR HEAVY, OVERSIZED CARGO FOR SAFE AND LEGALLY TRANSPORT. MPD COULD BENEFIT FROM THIS THIS SPECIALIZED TRAILER TO HAUL HEAVY EQUIPMENT SUCH AS SKID STEERS, GENERATORS, ROAD SWEEPERS, OR ANY OTHER HEAVY EQUIPMENT WHILE MAINTAINING A LOW CENTER OF GRAVITY.</t>
  </si>
  <si>
    <t xml:space="preserve">
Sales Order #: 2291909344
RTD Screening Code: DOD
Reason for Rejection: BQ</t>
  </si>
  <si>
    <t>2YTHQD61774255</t>
  </si>
  <si>
    <t>THIS WILL BE USED BY THE SHERIFF'S OFFICE TO TRANSPORT OUR HEAVY EQUIPMENT TO AND FROM THE RANGE, EMERGENCY RESPONSES AND TO GET EQUIPMENT FOR THE SHERIFF'S OFFICE.</t>
  </si>
  <si>
    <t>Cancelled per agency request</t>
  </si>
  <si>
    <t>2YTA6K61774258</t>
  </si>
  <si>
    <t>THIS ITEM IS BEING REQUESTED BY THE SCREVEN COUNTY SHERIFFS OFFICE TO BE USED BY DEPUTIES FOR LAW ENFORCEMENT PURPOSES. THE TRUCK WILL BE USED BY DEPUTIES TO PROVIDE ARMORED TRANSPORTTATION IN TACTICAL LAW ENFORCEMENT SITUATIONS.</t>
  </si>
  <si>
    <t>2YTKVK61703676</t>
  </si>
  <si>
    <t>THIS ITEM IS BEING REQUESTED BY THE SCREVEN COUNTY SHERIFFS OFFICE TO BE USED BY DEPUTIES FOR LAW ENFORCEMENT PURPOSES. THE GENERATORS WILL BE USED BY DEPUTIES TO PROVIDE EMERGENCY POWER DURING NATURAL DISASTERS.</t>
  </si>
  <si>
    <t xml:space="preserve">
Sales Order #: 2289864080
RTD Screening Code: DON
Reason for Rejection: YG</t>
  </si>
  <si>
    <t>2YTKVK61421683</t>
  </si>
  <si>
    <t>THE TRAILER WILL IMPROVE THE NASHVILLE POLICE DEPARTMENT ABILITY TO SUPPORT EMERGENCY OPERATIONS AND COMMUNITY NEEDS. THIS EQUIPMENT WILL BE USED TO TRANSPORT VEHICLES, SUPPLIES, AND LARGE ITEMS DURING NATURAL DISASTERS AND RELIEF EFFORTS. IT WILL ALSO ALLOW THE DEPARTMENT TO SAFELY RETRIEVE AND TRANSPORT LESO PROPERTY SO EQUIPMENT CAN BE PLACED INTO SERVICE QUICKLY TO SUPPORT PUBLIC SAFETY OPERATIONS.</t>
  </si>
  <si>
    <t xml:space="preserve">
Sales Order #: 2290637233
RTD Screening Code: DOD
Reason for Rejection: YH</t>
  </si>
  <si>
    <t>2YT1BK61562873</t>
  </si>
  <si>
    <t>THE NASHVILLE POLICE DEPARTMENT IS REQUESTING A MILITARY HUMVEE TO SUPPORT RANGE CONTROL OPERATIONS, SPECIAL EVENT SECURITY, AND EMERGENCY RESPONSE ACTIVITIES. THE VEHICLE'S OFF ROAD CAPABILITY AND RELIABILITY MAKE IT IDEAL FOR TRANSPORTING PERSONNEL AND EQUIPMENT ACROSS ROUGH TERRAIN DURING TRAINING AND PUBLIC EVENTS. THE HUMVEE WILL ALSO PROVIDE SUPPORT DURING NATURAL DISASTERS AND SEVERE WEATHER INCIDENTS.</t>
  </si>
  <si>
    <t xml:space="preserve">
Sales Order #: 2290385393
RTD Screening Code: DOD
Reason for Rejection: YH</t>
  </si>
  <si>
    <t>2YT1BK61492743</t>
  </si>
  <si>
    <t>THIS WILL BE USED BY THE SHERIFF'S OFFICE TO MAINTAIN THE FIRING RANGE AND SHERIFF'S OFFICE GROUNDS.</t>
  </si>
  <si>
    <t>EXCAVATOR,MULTIPURPOSE,CRAWLER MOUNTED</t>
  </si>
  <si>
    <t>2YTA6K61773836</t>
  </si>
  <si>
    <t>THE MIDVILLE POLICE DEPARTMENT COULD BENEFIT FROM THIS MINI EXCAVATOR MACHINE BECAUSE IT'S HIGHLY EFFECTIVE FOR CLEARING DOWNED TREES, MOVING CONCRETE BARRIERS, AND REMOVING IMPROVISED ROADBLOCKS DURING CIVIL UNREST OR NATURAL DISASTERS.</t>
  </si>
  <si>
    <t>2YTHQD61773791</t>
  </si>
  <si>
    <t>ATKINSON COUNTY HAS OVER 300 MILES OF RURAL DIRT ROADS AND VAST TRACTS OF UNDEVELOPED WILDERNESS. THIS WOULD BE USED TO ACCESS THOSE RURAL AREAS IN ORDER TO INVESTIGATE CRIMES AND FURTHER LAW ENFORCEMENT ACTIVITIES INCLUDING BUT NOT LIMITED TO DRUG ENFORCEMENT.</t>
  </si>
  <si>
    <t>2YTAP461703698</t>
  </si>
  <si>
    <t>THIS ITEM WILL ASSIST THE UNION COUNTY SHERIFFS OFFICE SERT SAFELY REMOVE DOWNED OFFICERS AND OR VICTIMS DURING EMERGENCY SITUATIONS.</t>
  </si>
  <si>
    <t xml:space="preserve">
Sales Order #: 2289007181
RTD Screening Code: RTD2
Reason for Rejection: YH</t>
  </si>
  <si>
    <t>2YTL5R61350828</t>
  </si>
  <si>
    <t>TO BE USED BY THE LEA ON AGENCY ISSUED RIFLES</t>
  </si>
  <si>
    <t xml:space="preserve">
Sales Order #: 2288617701
RTD Screening Code: DOD
Reason for Rejection: YG</t>
  </si>
  <si>
    <t>2YTH2G61350382</t>
  </si>
  <si>
    <t>THIS DEVICE WILL ALLOW THE MIDVILLE PD OFFICERS TO SEE THREATS, HAZARDS, AND OBSTACLES CLEARLY IN THE DARK, REDUCING THE RISK OF ACCIDENTS AND IMPROVING DECISION MAKING. NIGHT VISION HELPS LOCATE MISSING PERSONS QUICKLY IN THE DARK.</t>
  </si>
  <si>
    <t>2YTHQD61703596</t>
  </si>
  <si>
    <t>THIS ITEM IS BEING REQUESTED BY THE SCREVEN COUNTY SHERIFFS OFFICE TO BE USED BY DEPUTIES FOR LAW ENFORCEMENT PURPOSES. THE FORKLIFT WILL BE USED BY DEPUTIES TO UNLOAD NECESSARY SUPPLIES AT SHERIFFS OFFICE AND RANGE.</t>
  </si>
  <si>
    <t xml:space="preserve">
Sales Order #: 2290475962
RTD Screening Code: DOD
Reason for Rejection: Y9</t>
  </si>
  <si>
    <t>2YTKVK61562659</t>
  </si>
  <si>
    <t xml:space="preserve">
Sales Order #: 2290389846
RTD Screening Code: DOD
Reason for Rejection: Y9</t>
  </si>
  <si>
    <t>2YTJTD61562612</t>
  </si>
  <si>
    <t>TO BE USED BY LAW ENFORCEMENT OFFICERS TO CLEAN ISSUED FIREARMS AFTER TRAINING AND AS ROUTINE MAINTENANCE.</t>
  </si>
  <si>
    <t xml:space="preserve">
Sales Order #: 2290389852
RTD Screening Code: DOD
Reason for Rejection: Y9</t>
  </si>
  <si>
    <t>2YTEZF61562606</t>
  </si>
  <si>
    <t>TO BE USED BY LAW ENFORCEMENT OFFICERS FOR THE MOVEMENT OF MATERIALS AND OFFICERS AT THE POLICE FIREARMS TRAINING RANGE.</t>
  </si>
  <si>
    <t xml:space="preserve">
Sales Order #: 2290389844
RTD Screening Code: DOD
Reason for Rejection: Y9</t>
  </si>
  <si>
    <t>2YTEZF61562609</t>
  </si>
  <si>
    <t>TO BE USED BY LAW ENFORCEMENT OFFICERS AT THE AGENCY TRAINING LOCATION TO MOVE MATERIALS AND PERSONS.</t>
  </si>
  <si>
    <t xml:space="preserve">
Sales Order #: 2290373577
RTD Screening Code: DOD
Reason for Rejection: Y9</t>
  </si>
  <si>
    <t>2YTEZF61562607</t>
  </si>
  <si>
    <t>GRADY COUNTY SHERIFF'S OFFICE REQUESTS FOLDING LADDERS FOR SWAT OPERATIONS TO SUPPORT ELEVATED ACCESS DURING WARRANT SERVICE, BARRICADED SUSPECT INCIDENTS, TACTICAL ENTRY, ROOF ACCESS, AND RESCUE OPERATIONS. EQUIPMENT WILL IMPROVE OFFICER SAFETY, MOBILITY, AND OPERATIONAL CAPABILITY DURING HIGH RISK LAW ENFORCEMENT MISSIONS.</t>
  </si>
  <si>
    <t xml:space="preserve">
Sales Order #: 2288702220
RTD Screening Code: GSA
Reason for Rejection: YG</t>
  </si>
  <si>
    <t>2YTEPE61280373</t>
  </si>
  <si>
    <t>TO BE USED BY LAW ENFORCEMENT FOR THE TRANSPORTATION OF PERSONNEL AND EQUIPMENT IN VARIOUS ROLES. THIS WOULD INCLUDE TRAINING AND REAL WORLD APPLICATIONS.</t>
  </si>
  <si>
    <t>2YTEZF61633224</t>
  </si>
  <si>
    <t>THE COCHRAN POLICE DEPARTMENT WOULD BENEFIT GREATLY FROM THIS VEHICLE DUE TO IT'S ARMOR IN HIGH RISK SITUATIONS WHERE OFFICERS COULD BE EXPOSED TO VIOLENT CRIMINAL ELEMENTS. THIS VEHICLE WOULD BE ABLE TO SAFELY DEPLOY AND EXTRACT OFFICERS FROM HIGH RISK SITUATIONS AND PROVIDE COVER WHEN DEALING WITH VIOLENT CRIMINAL OFFENDERS.</t>
  </si>
  <si>
    <t xml:space="preserve">
Sales Order #: 2290385172
RTD Screening Code: DOD
Reason for Rejection: Y9</t>
  </si>
  <si>
    <t>2YTCL761492095</t>
  </si>
  <si>
    <t>COCHRAN POLICE DEPARTMENT (2YTCL7)</t>
  </si>
  <si>
    <t>THIS ITEM IS BEING REQUESTED BY THE CLAXTON POLICE DEPARTMENT TO USE BY OFFICERS FOR LAW ENFORCEMENT PURPOSES. THE REQUESTED DRONES WILL BE UTILIZED BY A CERTIFIED OFFICER WITH A  LICENSE TO OPERATE DURING SEARCH AND RESCUE AND HIGH RISK WARRANT SEARCHES TO INSURE THE SAFETY OF SRT TEAM MEMBERS</t>
  </si>
  <si>
    <t xml:space="preserve">
Sales Order #: 2290395548
RTD Screening Code: DOD
Reason for Rejection: Y9</t>
  </si>
  <si>
    <t>2YTCGM61562625</t>
  </si>
  <si>
    <t>GRADY COUNTY SHERIFF'S OFFICE WILL USE THE FORD EXPLORER AS A PATROL VEHICLE FOR LAW ENFORCEMENT OPERATIONS INCLUDING PATROL EMERGENCY RESPONSE SUSPECT TRANSPORT AND RURAL COVERAGE. THE VEHICLE WILL BE REPAIRED AND PLACED INTO SERVICE TO REPLACE AGING UNITS IMPROVE RELIABILITY AND ENHANCE OFFICER SAFETY AND RESPONSE TIMES FOR CALLS FOR SERVICE.</t>
  </si>
  <si>
    <t xml:space="preserve">
Sales Order #: 2288159228
RTD Screening Code: DOD
Reason for Rejection: YG</t>
  </si>
  <si>
    <t>2YTEPE61219511</t>
  </si>
  <si>
    <t>TO BE USED BY LAW ENFORCEMENT FOR SURVEILLANCE AND EVENT OPERATIONS TO MONITOR CROWDS AND SAFELY VIEW SCENES</t>
  </si>
  <si>
    <t>2YTEZF61491741</t>
  </si>
  <si>
    <t xml:space="preserve">
Sales Order #: 2289210603
RTD Screening Code: DOD
Reason for Rejection: Y9</t>
  </si>
  <si>
    <t>TRUCK,AIRCRAFT FUELING-DEFUELING</t>
  </si>
  <si>
    <t>2YTCHK61351063</t>
  </si>
  <si>
    <t>GRADY COUNTY SHERIFF'S OFFICE WILL USE SMALL UNMANNED AIRCRAFT SYSTEMS FOR SEARCH AND RESCUE, MISSING PERSONS, SUSPECT SEARCHES, CRIME SCENE DOCUMENTATION, DISASTER RESPONSE, AND OFFICER SAFETY OVERWATCH. DRONES IMPROVE SITUATIONAL AWARENESS, REDUCE RISK TO PERSONNEL, AND INCREASE OPERATIONAL EFFICIENCY IN RURAL AND HAZARDOUS ENVIRONMENTS.</t>
  </si>
  <si>
    <t xml:space="preserve">
Sales Order #: 2289188632
RTD Screening Code: DOD
Reason for Rejection: BQ</t>
  </si>
  <si>
    <t>2YTEPE61350878</t>
  </si>
  <si>
    <t xml:space="preserve">
Sales Order #: 2289117951
RTD Screening Code: DOD
Reason for Rejection: BQ</t>
  </si>
  <si>
    <t>2YTEPE61350877</t>
  </si>
  <si>
    <t>THE WILLACOOCHEE POLICE DEPARTMENT IS SEEKING TO ACQUIRE A RELIABLE VEHICLE SPECIFICALLY DESIGNATED FOR THE PURPOSE OF TRANSPORTING OFFICERS TO AND FROM THEIR TRAINING SESSIONS AT THE GEORGIA PUBLIC SAFETY TRAINING CENTER</t>
  </si>
  <si>
    <t xml:space="preserve">
Sales Order #: 2288263886
RTD Screening Code: DOD
Reason for Rejection: Y9</t>
  </si>
  <si>
    <t>2YTNPQ61219695</t>
  </si>
  <si>
    <t xml:space="preserve">
Sales Order #: 2287785599
RTD Screening Code: DOD
Reason for Rejection: Y9</t>
  </si>
  <si>
    <t>2YTEPE61219509</t>
  </si>
  <si>
    <t xml:space="preserve">
Sales Order #: 2288222570
RTD Screening Code: DOD
Reason for Rejection: Y9</t>
  </si>
  <si>
    <t>2YTA6K61219411</t>
  </si>
  <si>
    <t>THE WILLACOOCHEE POLICE DEPARTMENT IS ACTIVELY SEEKING AN ALL-TERRAIN VEHICLE TO ENHANCE OUR CAPABILITIES IN SEARCH AND RESCUE OPERATIONS. CURRENTLY, OUR EXISTING PATROL VEHICLES ARE LIMITED IN ACCESSING RUGGED OR REMOTE AREAS, WHICH CAN HINDER OUR RESPONSE TIMES AND EFFECTIVENESS IN EMERGENCIES.</t>
  </si>
  <si>
    <t xml:space="preserve">
Sales Order #: 2288337746
RTD Screening Code: DOD
Reason for Rejection: Y9</t>
  </si>
  <si>
    <t>2YTNPQ61219772</t>
  </si>
  <si>
    <t>FOR USE BY THE HART COUNTY SHERIFFS OFFICE TO RESPOND TO INCIDENTS IN AREA NOT ACCESSIBLE BY STANDARD PATROL VEHICLES, INCLUDING WOODED TERRAIN, FARMLAND, LAKEFRONT PROPERTY, AND LOCATIONS IMPACTED BY SEVERE WEATHER. DEPUTIES REGULARLY ENCOUNTER SITUATIONS WHERE RAPID ACCESS IF CRITICAL AND SUCH VEHICLE WILL ASSIST WITH THAT.</t>
  </si>
  <si>
    <t xml:space="preserve">
Sales Order #: 2288152852
RTD Screening Code: DOD
Reason for Rejection: Y9</t>
  </si>
  <si>
    <t>2YTE6D61219552</t>
  </si>
  <si>
    <t xml:space="preserve">
Sales Order #: 2288137188
RTD Screening Code: DOD
Reason for Rejection: Y9</t>
  </si>
  <si>
    <t>2YTE6D61219551</t>
  </si>
  <si>
    <t>GRADY COUNTY SHERIFF'S OFFICE WILL USE THIS 4 SEAT ALL TERRAIN UTILITY VEHICLE FOR PATROL SUPPORT, SEARCH AND RESCUE, DISASTER RESPONSE, CRIME SCENE ACCESS, AND TACTICAL OPERATIONS IN REMOTE OR UNIMPROVED TERRAIN. VEHICLE WILL TRANSPORT DEPUTIES AND EQUIPMENT IN AREAS INACCESSIBLE TO STANDARD PATROL VEHICLES AND SUPPORT EMERGENCY RESPONSE, RURAL LAW ENFORCEMENT MISSIONS, AND OFFICER SAFETY OPERATIONS.</t>
  </si>
  <si>
    <t xml:space="preserve">
Sales Order #: 2288524662
RTD Screening Code: DOD
Reason for Rejection: Y9</t>
  </si>
  <si>
    <t>2YTEPE61280269</t>
  </si>
  <si>
    <t xml:space="preserve">
Sales Order #: 2288706337
RTD Screening Code: DOD
Reason for Rejection: Y9</t>
  </si>
  <si>
    <t>2YTEPE61280267</t>
  </si>
  <si>
    <t>THE WILLACOOCHEE POLICE DEPARTMENT IS SEEKING THE ACQUISITION OF A TRACTOR TO FACILITATE THE COMPLETION OF A FIRING RANGE. THIS TRACTOR WILL BE ESSENTIAL FOR VARIOUS TASKS, INCLUDING LAND PREPARATION, GRADING, AND ONGOING MAINTENANCE OF THE FACILITY.</t>
  </si>
  <si>
    <t xml:space="preserve">
Sales Order #: 2288563098
RTD Screening Code: DOD
Reason for Rejection: Y9</t>
  </si>
  <si>
    <t>2YTNPQ61280422</t>
  </si>
  <si>
    <t>FOR USE BY LAW ENFORCEMENT AGENCY TO CLEAR TREES AND OTHER DEBRIS FROM ROADWAYS DURING SEVERE WEATHER EVENTS AND ANY OTHER EMERGENCY EVENTS WHERE ACCESS IS NEEDED.</t>
  </si>
  <si>
    <t xml:space="preserve">
Sales Order #: 2288393784
RTD Screening Code: DOD
Reason for Rejection: Y9</t>
  </si>
  <si>
    <t>2YTE6D61219833</t>
  </si>
  <si>
    <t>THIS WILL BE USED BY THE SHERIFF'S OFFICE TO PULL AND HAUL EMERGENCY EQUIPMENT DURING EMERGENCY SITUATIONS SUCH AS STORMS, DISASTERS AND EMERGENCY RESPONSE.</t>
  </si>
  <si>
    <t xml:space="preserve">
Sales Order #: 2283697703
RTD Screening Code: DOD
Reason for Rejection: YH</t>
  </si>
  <si>
    <t>TRUCK,STAKE</t>
  </si>
  <si>
    <t>2YTA6K60584020</t>
  </si>
  <si>
    <t>TO PROVIDE LAW ENFORCEMENT OFFICERS WITH PERSONAL PROTECTIVE EQUIPMENT WHILE DOING THEIR DUTIES.</t>
  </si>
  <si>
    <t xml:space="preserve">
Sales Order #: 2287761624
RTD Screening Code: DOD
Reason for Rejection: YH</t>
  </si>
  <si>
    <t>2YTPNA61148974</t>
  </si>
  <si>
    <t>OCONEE COUNTY SHERIFF OFFICE (2YTPNA)</t>
  </si>
  <si>
    <t>TO BE ISSUED BY THE LEA TO MEMBERS OF THE SHERIFF'S RESCUE TEAM FOR USE IN RESCUE SITUATIONS</t>
  </si>
  <si>
    <t xml:space="preserve">
Sales Order #: 2288637356
RTD Screening Code: DOD
Reason for Rejection: Y9</t>
  </si>
  <si>
    <t>2YTH2G61280372</t>
  </si>
  <si>
    <t>GRADY COUNTY SHERIFF'S OFFICE REQUESTS URBAN OPERATIONS TOOL KITS FOR SWAT AND SEARCH AND RESCUE USE DURING WARRANT SERVICE, BREACHING, DISASTER RESPONSE, STRUCTURAL COLLAPSE, VICTIM RESCUE, AND EMERGENCY ENTRY OPERATIONS. EQUIPMENT WILL SUPPORT TACTICAL MISSIONS, RURAL RESCUE INCIDENTS, AND CRITICAL RESPONSE NEEDS WHILE IMPROVING SAFETY AND OPERATIONAL CAPABILITY.</t>
  </si>
  <si>
    <t xml:space="preserve">
Sales Order #: 2288637352
RTD Screening Code: DOD
Reason for Rejection: Y9</t>
  </si>
  <si>
    <t>2YTEPE61280371</t>
  </si>
  <si>
    <t>GRADY COUNTY SHERIFF'S OFFICE WILL USE THE CHEVY BOLT AS AN UNMARKED VEHICLE FOR INVESTIGATIONS AND UNDERCOVER OPERATIONS. IT WILL BE USED FOR SURVEILLANCE PLAIN CLOTHES ASSIGNMENTS AND COVERT RESPONSE WITHOUT DETECTION. THIS SUPPORTS LAW ENFORCEMENT OPERATIONS BY IMPROVING INVESTIGATIVE CAPABILITIES RELIABILITY AND OFFICER SAFETY DURING SENSITIVE CASES.</t>
  </si>
  <si>
    <t xml:space="preserve">
Sales Order #: 2287785591
RTD Screening Code: DOD
Reason for Rejection: Y9</t>
  </si>
  <si>
    <t>2YTEPE61219512</t>
  </si>
  <si>
    <t>TO ASSIST LAW ENFORCEMENT OFFICERS WHILE SEARCHING FOR MISSING PERSONS, DOING SURVEILLANCE, AND OTHER DUES THAT ARRIVE.</t>
  </si>
  <si>
    <t xml:space="preserve">
Sales Order #: 2287761633
RTD Screening Code: DOD
Reason for Rejection: Y9</t>
  </si>
  <si>
    <t>2YTPNA61148972</t>
  </si>
  <si>
    <t>TO PROVIDE LAW ENFORCEMENT WITH PERSONAL PROTECTIVE EQUIPMENT WHILE PERFORMING THEIR DUTIES.</t>
  </si>
  <si>
    <t xml:space="preserve">
Sales Order #: 2287761645
RTD Screening Code: DOD
Reason for Rejection: YH</t>
  </si>
  <si>
    <t>DSMEDSUPB</t>
  </si>
  <si>
    <t>2YTPNA61078983</t>
  </si>
  <si>
    <t xml:space="preserve">
Sales Order #: 2287761638
RTD Screening Code: DOD
Reason for Rejection: YH</t>
  </si>
  <si>
    <t>2YTPNA61078981</t>
  </si>
  <si>
    <t xml:space="preserve">
Sales Order #: 2287761622
RTD Screening Code: DOD
Reason for Rejection: YH</t>
  </si>
  <si>
    <t>2YTPNA61078980</t>
  </si>
  <si>
    <t xml:space="preserve">
Sales Order #: 2287761625
RTD Screening Code: DOD
Reason for Rejection: YH</t>
  </si>
  <si>
    <t>2YTPNA61078978</t>
  </si>
  <si>
    <t xml:space="preserve">
Sales Order #: 2287761637
RTD Screening Code: DOD
Reason for Rejection: YH</t>
  </si>
  <si>
    <t>2YTPNA61078977</t>
  </si>
  <si>
    <t>TO BE USED FOR TRANSPORTATION OF OUR SPECIAL RESPONSE TEAM.</t>
  </si>
  <si>
    <t xml:space="preserve">
Sales Order #: 2287568723
RTD Screening Code: DOD
Reason for Rejection: YH</t>
  </si>
  <si>
    <t>2YTPNA61008700</t>
  </si>
  <si>
    <t>WILLACOOCHEE POLICE DEPARTMENT IS NEED OF TRACTOR SO THAT WE CAN BUILD A FIRE ARM RANGE ANTHE WILLACOOCHEE POLICE DEPARTMENT IS SEEKING TO ACQUIRE A TRACTOR TO SUPPORT THE DEVELOPMENT OF A DEDICATED FIREARM RANGE. THIS FACILITY WILL PROVIDE ESSENTIAL TRAINING AND PRACTICE OPPORTUNITIES FOR LAW ENFORCEMENT PERSONNEL.</t>
  </si>
  <si>
    <t>Canceled Item is in poor condition and requires continuous maintenance with only a 5 person LEA.</t>
  </si>
  <si>
    <t>2YTNPQ61148869</t>
  </si>
  <si>
    <t>WILL BE USED BY THE SHERIFF'S OFFICE EMERGENCY RESPONSE TEAM TO USE IN TACTICAL SITUATIONS WHILE MAINTAINING OFFICER SAFETY. THE CURRENT ROBOT WE HAVE IS NOT IN OPERATIONAL CONDITION AND NEEDS TO BE REPLACED.</t>
  </si>
  <si>
    <t xml:space="preserve">
Sales Order #: 2286802340
RTD Screening Code: DOD
Reason for Rejection: Y9</t>
  </si>
  <si>
    <t>2YTA6K61287546</t>
  </si>
  <si>
    <t>GRADY COUNTY SHERIFF'S OFFICE WILL USE THE HMMWV FOR SWAT OPERATIONS AND STORM RESPONSE. IT WILL BE USED TO TRANSPORT PERSONNEL AND EQUIPMENT IN HIGH RISK INCIDENTS DISASTERS AND SEVERE WEATHER WHERE STANDARD VEHICLES CANNOT OPERATE. THIS SUPPORTS LAW ENFORCEMENT OPERATIONS BY IMPROVING MOBILITY RELIABILITY AND OFFICER SAFETY DURING CRITICAL INCIDENTS AND EMERGENCY RESPONSE.</t>
  </si>
  <si>
    <t>Rejected by EOL0097.  Comments: No tactical vehicle application on file.</t>
  </si>
  <si>
    <t>2YTEPE61219514</t>
  </si>
  <si>
    <t xml:space="preserve">
Sales Order #: 2287761642
RTD Screening Code: DOD
Reason for Rejection: Y9</t>
  </si>
  <si>
    <t>2YTPNA61078976</t>
  </si>
  <si>
    <t>WILL BE USED BY THE SHERIFF'S OFFICE FOR HIGH WATER RESCUE DURING STORM OPERATIONS AND TO PULL HEAVY EQUIPMENT FOR EMERGENCY RESPONSE.</t>
  </si>
  <si>
    <t xml:space="preserve">
Sales Order #: 2286802344
RTD Screening Code: DOD
Reason for Rejection: YH</t>
  </si>
  <si>
    <t>2YTA6K61007560</t>
  </si>
  <si>
    <t>THIS WILL BE USED AS A HIGH-WATER RESCUE TRUCK DURING EMERGENCY STORM OPERATIONS AND WILL BE USED TO PULL LARGER EQUIPMENT AND GENERATOR SETS AS NEEDED FOR EMERGENCY RESPONSES.</t>
  </si>
  <si>
    <t xml:space="preserve">
Sales Order #: 2285984634
RTD Screening Code: DOD
Reason for Rejection: YH</t>
  </si>
  <si>
    <t>2YTA6K60866756</t>
  </si>
  <si>
    <t>THE WILLACOOCHEE POLICE DEPARTMENT REQUIRES A WINCH TO ASSIST WITH MECHANICAL WORK.</t>
  </si>
  <si>
    <t xml:space="preserve">
Sales Order #: 2287612271
RTD Screening Code: DOD
Reason for Rejection: Y9</t>
  </si>
  <si>
    <t>2YTNPQ61148872</t>
  </si>
  <si>
    <t>WE ARE REQUESTING A GOLF CART FOR THE POLICE DEPARTMENT TO USE DURING SPECIALIZED EVENTS. IT WILL HELP OFFICERS MOVE QUICKLY, IMPROVE RESPONSE TIMES, AND SUPPORT EVENT OPERATIONS.</t>
  </si>
  <si>
    <t xml:space="preserve">
Sales Order #: 2285990919
RTD Screening Code: GSA
Reason for Rejection: YG</t>
  </si>
  <si>
    <t>2YT1BK60796622</t>
  </si>
  <si>
    <t>TO BE USED BY SHERIFFS OFFICE SPECIAL RESPONSE TEAM DEPUTIES DURING NIGHT TIME OPERATIONS</t>
  </si>
  <si>
    <t>Rejected by EOL0097.  Comments: Please contact the DRMO and assess the condition of the sights and resubmit with a statement that you accept the condition of the sights.  These may not be functional..</t>
  </si>
  <si>
    <t>2YTNEX61078776</t>
  </si>
  <si>
    <t>THIS ITEM IS BEING REQUESTED BY THE CLAXTON POLICE DEPARTMENT TO BE US BY OFFICERS FOR LAW ENFORCEMENT PURPOSES.THE REQUESTED MULE WIL BE UTILIZED BY OFFICERS TO PATROL EVENTS OR RESPOND TO CALL OF SERVICE WHILE OUT AT THE EVENTS WHERE THERE IS A  LARGE CIVILIAN PRESENCE.</t>
  </si>
  <si>
    <t>Rejected by EOL0097.  Comments: Can only approve items in DOD Cycle.</t>
  </si>
  <si>
    <t>2YTCGM61008765</t>
  </si>
  <si>
    <t>2YTCGM61008763</t>
  </si>
  <si>
    <t>WILL BE USED BY THE POLICE DEPARTMENT FOR PATROL AND COMMUNITY OUTREACH.</t>
  </si>
  <si>
    <t xml:space="preserve">
Sales Order #: 2287033089
RTD Screening Code: DOD
Reason for Rejection: Y9</t>
  </si>
  <si>
    <t>2YT1BK61008019</t>
  </si>
  <si>
    <t>THE ODUM POLICE DEPARTMENT IS IN NEED OF A CARGO TRILER TO HAUL ITEMS SUCH AS CONES AND A MOTORCYCLE AND WHAT EVER ELSE MIGHT NEED TO BE HAULED FOR THE POLICE DEPARTMENT</t>
  </si>
  <si>
    <t xml:space="preserve">
Sales Order #: 2286425668
RTD Screening Code: GSA
Reason for Rejection: YH</t>
  </si>
  <si>
    <t>2YTTAP60937225</t>
  </si>
  <si>
    <t>THESE UNITS WILL ASSIST THE UNION COUNTY SHERIFF'S OFFICE WITH ASSISTING DEPUTIES WITH FIRST AID DURING AN EMERGENCY LIFE SAVING INCIDENT.</t>
  </si>
  <si>
    <t xml:space="preserve">
Sales Order #: 2285233718
RTD Screening Code: DOD
Reason for Rejection: YH</t>
  </si>
  <si>
    <t>2YTL5R60725437</t>
  </si>
  <si>
    <t>WOULD BE USED FOR PATROL ACTIVITIES ON DIRT ROADS AND ROUGH TERRAIN</t>
  </si>
  <si>
    <t xml:space="preserve">
Sales Order #: 2286598951
RTD Screening Code: DOD
Reason for Rejection: YH</t>
  </si>
  <si>
    <t>2YT1YR60937349</t>
  </si>
  <si>
    <t>WOULD BE MOUNTED TO PATROL RIFLES FOR DEPUTIES TO USE WHILE SERVING HIGH RISK WARRANTS</t>
  </si>
  <si>
    <t xml:space="preserve">
Sales Order #: 2286598946
RTD Screening Code: DOD
Reason for Rejection: YH</t>
  </si>
  <si>
    <t>2YT1YR60867229</t>
  </si>
  <si>
    <t>THE ODUM POLICE DEPARTMENT IS IN NEED OF A FORK LIFT TO PICK UP CERTAIN THINGS FROM TIME TO TIME SUCH AS STORAGE CONTAINERS AND TO UNLOAD FREIGHT THAT COMES IN ON A TRUCK</t>
  </si>
  <si>
    <t xml:space="preserve">
Sales Order #: 2286425673
RTD Screening Code: DOD
Reason for Rejection: YH</t>
  </si>
  <si>
    <t>2YTTAP60937236</t>
  </si>
  <si>
    <t xml:space="preserve">
Sales Order #: 2286425677
RTD Screening Code: DOD
Reason for Rejection: Y9</t>
  </si>
  <si>
    <t>2YTCGM60937232</t>
  </si>
  <si>
    <t>WILL BE USED BY THE SHERIFF'S OFFICE AS A OFF ROAD VEHICLE TO SEARCH FOR MISSING OR FLEEING SUBJECTS AND OFF ROAD PATROL.</t>
  </si>
  <si>
    <t xml:space="preserve">
Sales Order #: 2286505981
RTD Screening Code: DOD
Reason for Rejection: Y9</t>
  </si>
  <si>
    <t>2YTA6K60937275</t>
  </si>
  <si>
    <t>THIS ITEM IS BEING REQUESTED BY THE SCREVEN COUNTY SHERIFFS OFFICE TO BE USED BY DEPUTIES FOR LAW ENFORCEMENT PURPOSES. THE PALLET JACK WILL BE USED BY DEPUTIES TO LOAD SUPPLIES AT THE JAIL.</t>
  </si>
  <si>
    <t xml:space="preserve">
Sales Order #: 2286708811
RTD Screening Code: DOD
Reason for Rejection: Y9</t>
  </si>
  <si>
    <t>2YTKVK61007764</t>
  </si>
  <si>
    <t>SIGHTS WILL BE MOUNTED ON PATROL RIFLES OR PISTOLS</t>
  </si>
  <si>
    <t xml:space="preserve">
Sales Order #: 2286708815
RTD Screening Code: DOD
Reason for Rejection: Y9</t>
  </si>
  <si>
    <t>2YT1YR60937520</t>
  </si>
  <si>
    <t>ISSUE TO PATROL DEPUTIES, THEY CAN STORE GEAR IN THEIR PATROL CARS</t>
  </si>
  <si>
    <t xml:space="preserve">
Sales Order #: 2286598947
RTD Screening Code: DOD
Reason for Rejection: Y9</t>
  </si>
  <si>
    <t>2YT1YR60937400</t>
  </si>
  <si>
    <t>2YTEPE61007960</t>
  </si>
  <si>
    <t>THE POLK COUNTY SHERIFF'S OFFICE WILL USE THE REQUESTED PROPERTY DURING SEARCH AND RESCUE OPERATIONS AND DISASTER-RELATED RESPONSE, RECOVERY AND RELIEF OPERATIONS DURING HURRICANES AND OTHER NATURAL DISASTERS.</t>
  </si>
  <si>
    <t xml:space="preserve">
Sales Order #: 2290802640
RTD Screening Code: GSA
Reason for Rejection: YH</t>
  </si>
  <si>
    <t>GENERATOR DISTRIBUTOR</t>
  </si>
  <si>
    <t>DSDISTRIB</t>
  </si>
  <si>
    <t>2YTJS061633011</t>
  </si>
  <si>
    <t xml:space="preserve">
Sales Order #: 2288202706
RTD Screening Code: DOD
Reason for Rejection: YH</t>
  </si>
  <si>
    <t>2YTM3061219592</t>
  </si>
  <si>
    <t xml:space="preserve">
Sales Order #: 2288202700
Reason for Rejection: YH</t>
  </si>
  <si>
    <t>2YTM3061149593</t>
  </si>
  <si>
    <t>THE POLK COUNTY SHERIFF'S OFFICE WILL USE THE REQUESTED PROPERTY TO MOVE AND POSITION EQUIPMENT, MATERIALS AND SUPPLIES DURING DISASTER RELATED EMERGENCIES, SEARCH AND RESCUE OPERATIONS AND EVENT SAFETY AND SECURITY OPERATIONS.</t>
  </si>
  <si>
    <t>2YTJS061633009</t>
  </si>
  <si>
    <t>2YTJS061633008</t>
  </si>
  <si>
    <t>THE POLK COUNTY SHERIFF'S OFFICE WILL USE THE REQUESTED PROPERTY TO MAINTAIN AND REPAIR EQUIPMENT AND VEHICLES DEPLOYED AND USED DURING DISASTER RELATED RESPONSE, RECOVERY AND RELIEF OPERATIONS.</t>
  </si>
  <si>
    <t>2YTJS061543010</t>
  </si>
  <si>
    <t xml:space="preserve">
Sales Order #: 2288421470
Reason for Rejection: YG</t>
  </si>
  <si>
    <t>2YTM3061219861</t>
  </si>
  <si>
    <t xml:space="preserve">
Sales Order #: 2288421484
RTD Screening Code: DOD
Reason for Rejection: YH</t>
  </si>
  <si>
    <t>2YTM3061219860</t>
  </si>
  <si>
    <t>TO BE USED BY FISH AND WILDLIFE LAW ENFORCEMENT TO CONDUCT SURVEILLANCE EQUIPMENT MAINTENANCE-INSTALLATIONS THROUGHOUT THE STATE.</t>
  </si>
  <si>
    <t xml:space="preserve">
Sales Order #: 2289324669
RTD Screening Code: DOD
Reason for Rejection: Y9</t>
  </si>
  <si>
    <t>2YTD3M61351127</t>
  </si>
  <si>
    <t>THE BAY COUNTY SHERIFF'S OFFICE NEEDS THIS TRACTOR TO REPLACE OUR OLDER TRACTOR THAT HAS RECENTLY BECOME NON-REPAIRABLE. WE NEED THIS TRACTOR TO MAINTAIN OUR TRAINING GROUNDS CONSISTING OF OVER 100 ACRES AS WELL AS THE PROPERTY SURROUNDING OUR JAIL FACILITY CONSISTING OF OVER 40 ACRES.</t>
  </si>
  <si>
    <t>2YTAYW61351086</t>
  </si>
  <si>
    <t>BAY COUNTY SHERIFF'S OFFICE (2YTAYW)</t>
  </si>
  <si>
    <t>2YTD3M61351069</t>
  </si>
  <si>
    <t xml:space="preserve">
Sales Order #: 2288202702
RTD Screening Code: DOD
Reason for Rejection: Y9</t>
  </si>
  <si>
    <t>2YTM3061219591</t>
  </si>
  <si>
    <t>THE POLK COUNTY SHERIFF'S OFFICE WILL USE THE REQUESTED PROPERTY DURING ACTIVE SHOOTER INCIDENTS, ANTI-TERRORISM PREPAREDNESS, PROTECTION, PREVENTION, RESPONSE, RECOVERY, AND RELIEF OPERATIONS, HOSTAGE INCIDENTS, DISASTER-RELATED EMERGENCIES AND SEARCH AND RESCUE OPERATIONS.</t>
  </si>
  <si>
    <t>MRAPs cannot be requisitioned out of RTD without prior approval. These are condition code H and will not be issued.</t>
  </si>
  <si>
    <t>2YTJS061219764</t>
  </si>
  <si>
    <t>2YTM3061149590</t>
  </si>
  <si>
    <t>2YTJS061219524</t>
  </si>
  <si>
    <t>2YTM3061079168</t>
  </si>
  <si>
    <t xml:space="preserve">
Sales Order #: 2287224009
RTD Screening Code: DOD
Reason for Rejection: Y9</t>
  </si>
  <si>
    <t>2YTM3061078396</t>
  </si>
  <si>
    <t>THE SUMTER COUNTY SHERIFF REQUESTS THIS VEHICLE TO BE USED AS A MOBILE COMMAND.  THIS IS A RESOURCE WE DESPERATELY NEED IN TIMES SUCH AS NATURAL DISASTERS. THE SUMTER COUNTY SHERIFF'S OFFICE REQUESTS THIS TO BE USED BY LAW ENFORCEMENT OFFICERS IN LAW ENFORCEMENT LIFESAVING MISSIONS AND CRITICAL INCIDENTS.</t>
  </si>
  <si>
    <t>Property located in Puerto Rico</t>
  </si>
  <si>
    <t>2YTLLK61149006</t>
  </si>
  <si>
    <t>REQUESTED FOR USE FOR SPECIAL OPERATIONS WITHIN THE POLICE DEPARTMENT AND FOR DEPARTMENTAL USE.</t>
  </si>
  <si>
    <t>Justification is not persuasive</t>
  </si>
  <si>
    <t>2YTLJF61149039</t>
  </si>
  <si>
    <t>STUART POLICE DEPARTMENT (2YTLJF)</t>
  </si>
  <si>
    <t>THIS ITEM IS BEING REQUESTED BY THE WINTER GARDEN POLICE DEPARTMENT TO BE USED BY SWORN OFFICERS FOR LAW ENFORCEMENT PURPOSES ONLY. SPECIFICALLY, THESE WILL BE USED BY MEMBERS ASSIGNED TO SWAT AND PAIRED WITH NIGHT VISION TO ENABLE LOW OR NO LIGHT TACTICAL OPERATIONS. THESE DEVICES ARE ESSENTIAL AND REQUIRED FOR THE LOW OR NO LIGHT ENVIRONMENT AS THE SWAT TEAM CURRENTLY HAS ACCESS TO NVGS BUT NO ASSOCIATED DEVICE TO FULLY UTILIZE THEM WITHOUT GOING BACK TO USING THEIR FLASHLIGHTS.</t>
  </si>
  <si>
    <t xml:space="preserve">
Sales Order #: 2287223996
RTD Screening Code: DOD
Reason for Rejection: Y9</t>
  </si>
  <si>
    <t>2YTNT961078399</t>
  </si>
  <si>
    <t>WINTER GARDEN POLICE DEPT (2YTNT9)</t>
  </si>
  <si>
    <t xml:space="preserve">
Sales Order #: 2287229019
RTD Screening Code: DOD
Reason for Rejection: Y9</t>
  </si>
  <si>
    <t>2YTM3061078395</t>
  </si>
  <si>
    <t>THE SUMTER COUNTY SHERIFF REQUESTS THIS ITEM TO BE USED BY LAW ENFORCEMENT AS A TRAINING AID FOR HOSTAGE RESCUE.</t>
  </si>
  <si>
    <t xml:space="preserve">
Sales Order #: 2285676484
RTD Screening Code: DOD
Reason for Rejection: YH</t>
  </si>
  <si>
    <t>2YTLLK60866646</t>
  </si>
  <si>
    <t xml:space="preserve">
Sales Order #: 2286618469
RTD Screening Code: DOD
Reason for Rejection: YE</t>
  </si>
  <si>
    <t>2YTM3060867403</t>
  </si>
  <si>
    <t>USED BY LAW ENFORCEMENT OFFICERS TO RESPOND TO CRITICAL AND EMERGENCY INCIDENTS ON THE BEACH WHERE PATROL VEHICLES CAN'T ACCESS AS WELL AS DURING HIGH TIDES WHEN THE TOWN FLOODS AND PATROL VEHICLES CAN'T ACCESS THE STREET BECAUSE OF THE HIGH WATER.</t>
  </si>
  <si>
    <t xml:space="preserve">
Sales Order #: 2290249203
RTD Screening Code: DOD
Reason for Rejection: YH</t>
  </si>
  <si>
    <t>2YTD1X61421527</t>
  </si>
  <si>
    <t>USED BY LAW ENFORCEMENT OFFICERS UNDER THEIR UNIFORMS AND VESTS TO KEEP THE OFFICERS COOL DURING EXTREME HEAT AND WARM DURING WINTER MONTHS.  THESE ARE MEDIUM SHIRTS THAT WILL FIT SEVERAL OFFICERS.  THESE SHIRTS WILL COVER A MONTHLONG SHIFTS FOR THE OFFICERS</t>
  </si>
  <si>
    <t>Rejected by EMK0354.  Comments: GSA cycle.</t>
  </si>
  <si>
    <t>UNDERSHIRT,MAN'S</t>
  </si>
  <si>
    <t>2YTD1X61703769</t>
  </si>
  <si>
    <t>USED BY LAW ENFORCEMENT OFFICERS UNDER THEIR UNIFORMS AND VESTS TO KEEP THE OFFICERS COOL DURING EXTREME HEAT AND WARM DURING WINTER MONTHS.  THESE ARE XX-LARGE SHIRTS THAT WILL FIT SEVERAL OFFICERS.  THESE SHIRTS WILL COVER A MONTHLONG SHIFTS FOR THE OFFICERS</t>
  </si>
  <si>
    <t>Rejected by EMK0354.</t>
  </si>
  <si>
    <t>2YTD1X61703768</t>
  </si>
  <si>
    <t>USED BY LAW ENFORCEMENT OFFICERS UNDER THEIR UNIFORMS AND VESTS TO KEEP THE OFFICERS COOL DURING EXTREME HEAT AND WARM DURING WINTER MONTHS.  THESE ARE LARGE SHIRTS THAT WILL FIT SEVERAL OFFICERS.  THESE SHIRTS WILL COVER A MONTHLONG SHIFTS FOR THE OFFICERS</t>
  </si>
  <si>
    <t>2YTD1X61703767</t>
  </si>
  <si>
    <t>USED BY LAW ENFORCEMENT OFFICERS TO TIE DOWN AND SECURE PROPERTY AND EQUIPMENT DURING HIGH WINDS AND STORMS TO PREVENT INJURY TO PEDESTRIANS AND DAMAGE TO OTHER PROPERTY</t>
  </si>
  <si>
    <t>2YTD1X61773770</t>
  </si>
  <si>
    <t>USED BY LAW ENFORCEMENT OFFICERS TO LIGHT UP CRIME SCENES AND OTHER EMERGENCY INCIDENTS OR OPERATIONS.  ALSO USED DURING SPECIAL FUNCTIONS AND CHECK POINTS</t>
  </si>
  <si>
    <t xml:space="preserve">
Sales Order #: 2290519244
RTD Screening Code: DOD
Reason for Rejection: YD</t>
  </si>
  <si>
    <t>2YTD1X61492755</t>
  </si>
  <si>
    <t>USED BY LAW ENFORCEMENT TO PATROL ON THE BEACHES AS WELL AS RESPOND TO EMERGENCY SITUATIONS ON THE BEACH WHERE REGULAR PATROL VEHICLES CANNOT ACCESS OR MANEUVER ON THE SAND</t>
  </si>
  <si>
    <t>2YTD1X61703506</t>
  </si>
  <si>
    <t>USED BY LAW ENFORCEMENT OFFICERS TO ILLUMINATE AREAS DURING CHECK POINTS OR DURING INVESTIGATIONS AT NIGHT TIME OR LOW LIGHT TIMES WHERE LIGHTING IS A NECESSITY.</t>
  </si>
  <si>
    <t xml:space="preserve">
Sales Order #: 2289468220
RTD Screening Code: DOD
Reason for Rejection: YH</t>
  </si>
  <si>
    <t>2YTD1X61351143</t>
  </si>
  <si>
    <t xml:space="preserve">
Sales Order #: 2289468224
RTD Screening Code: DOD
Reason for Rejection: YH</t>
  </si>
  <si>
    <t>2YTD1X61351142</t>
  </si>
  <si>
    <t>USED BY LAW ENFORCEMENT OFFICER TO REPLACE OLD, OUTDATED MONITORS IN THE POLICE STATION.  THIS WILL REPLACE 1 OF 8 MONITORS IN OUR DEPARTMENT TO INCLUDE THE SEVERAL IN OUR EMERGENCY OPERATIONS ROOM AND PATROL ROOM.</t>
  </si>
  <si>
    <t xml:space="preserve">
Sales Order #: 2290215994
RTD Screening Code: DOD
Reason for Rejection: Y9</t>
  </si>
  <si>
    <t>2YTD1X61562590</t>
  </si>
  <si>
    <t xml:space="preserve">
Sales Order #: 2290216007
RTD Screening Code: DOD
Reason for Rejection: Y9</t>
  </si>
  <si>
    <t>2YTD1X61562584</t>
  </si>
  <si>
    <t>USED BY LAW ENFORCEMENT OFFICERS TO TIE DOWN AND SECURE HEAVY ITEMS DURING TIMES OF STRONG WINDS AND STORMS TO PREVENT ITEMS FROM DAMAGING PROPERTY AND PROTECTING CIVILIAN PERSONNEL.  REQUESTING 4 STRAPS PER 7 PATROL VEHICLES.</t>
  </si>
  <si>
    <t>2YTD1X61633135</t>
  </si>
  <si>
    <t>USED BY LAW ENFORCEMENT OFFICERS TO TAKE CRIME SCENE PHOTOGRAPHS TO PRESERVE THE CRIME SCENE DIGITALLY FOR FUTURE COURT CASES AND EVIDENCE</t>
  </si>
  <si>
    <t>2YTD1X61633018</t>
  </si>
  <si>
    <t>USED BY LAW ENFORCEMENT OFFICERS TO CHARGE AND MAINTAIN THE BATTERIES OF STANDBY PATROL VEHICLES AS WELL AS JUMP STARTING PATROL VEHICLES WITH LOW BATTERY STATUS</t>
  </si>
  <si>
    <t xml:space="preserve">
Sales Order #: 2288349017
RTD Screening Code: DOD
Reason for Rejection: YH</t>
  </si>
  <si>
    <t>2YTD1X61149843</t>
  </si>
  <si>
    <t xml:space="preserve">
Sales Order #: 2288426918
RTD Screening Code: DOD
Reason for Rejection: YH</t>
  </si>
  <si>
    <t>2YTD1X61149844</t>
  </si>
  <si>
    <t>USED BY LAW ENFORCEMENT TO PROVIDE FIRST AID TO VICTIMS AND INDIVIDUALS INVOLVED IN CRASHES UNTIL THE ARRIVAL OF MEDICAL PERSONNEL.  THESE WILL ALSO BE USED TO REPLACE ITEMS USED DURING THESE EMERGENCY SITUATIONS WHERE THE MEDICAL SUPPLIES MUST BE USED.</t>
  </si>
  <si>
    <t xml:space="preserve">
Sales Order #: 2290155491
RTD Screening Code: DOD
Reason for Rejection: Y9</t>
  </si>
  <si>
    <t>2YTD1X61562592</t>
  </si>
  <si>
    <t xml:space="preserve">
Sales Order #: 2290216001
RTD Screening Code: DOD
Reason for Rejection: Y9</t>
  </si>
  <si>
    <t>2YTD1X61562589</t>
  </si>
  <si>
    <t xml:space="preserve">
Sales Order #: 2290216008
RTD Screening Code: DOD
Reason for Rejection: Y9</t>
  </si>
  <si>
    <t>2YTD1X61562588</t>
  </si>
  <si>
    <t xml:space="preserve">
Sales Order #: 2290335257
RTD Screening Code: DOD
Reason for Rejection: Y9</t>
  </si>
  <si>
    <t>2YTD1X61562587</t>
  </si>
  <si>
    <t xml:space="preserve">
Sales Order #: 2290155482
RTD Screening Code: DOD
Reason for Rejection: Y9</t>
  </si>
  <si>
    <t>2YTD1X61562586</t>
  </si>
  <si>
    <t xml:space="preserve">
Sales Order #: 2290155481
RTD Screening Code: DOD
Reason for Rejection: Y9</t>
  </si>
  <si>
    <t>2YTD1X61562585</t>
  </si>
  <si>
    <t xml:space="preserve">
Sales Order #: 2290155490
RTD Screening Code: DOD
Reason for Rejection: Y9</t>
  </si>
  <si>
    <t>2YTD1X61562583</t>
  </si>
  <si>
    <t>USED BY LAW ENFORCEMENT OFFICERS TO STORE ALL EMERGENCY EQUIPMENT WITH THE ABILITY TO TRANSFER IT TO EMERGENCY SITUATIONS IN ONE VEHICLE.</t>
  </si>
  <si>
    <t xml:space="preserve">
Sales Order #: 2290249205
RTD Screening Code: DOD
Reason for Rejection: Y9</t>
  </si>
  <si>
    <t>2YTD1X61421428</t>
  </si>
  <si>
    <t>USED BY LAW ENFORCEMENT OFFICERS TO LISTEN TO INTERVIEWS AND STATEMENTS MADE BY OFFENDERS AND VICTIMS FOR A CLEARER AUDIO.</t>
  </si>
  <si>
    <t>Not in approved cycle</t>
  </si>
  <si>
    <t>SPEAKERS, COMPUTER, SET</t>
  </si>
  <si>
    <t>DSSPEAKE3</t>
  </si>
  <si>
    <t>2YTD1X61311157</t>
  </si>
  <si>
    <t>USED BY LAW ENFORCEMENT OFFICER TO PROTECT THEIR EYES WHILE AT THE RANGE FROM SPENT CASINGS BEING EJECTED FROM WEAPONS.  REQUESTING TWO PAIR PER OFFICER</t>
  </si>
  <si>
    <t xml:space="preserve">
Sales Order #: 2289338616
RTD Screening Code: DOD
Reason for Rejection: Y9</t>
  </si>
  <si>
    <t>2YTD1X61351115</t>
  </si>
  <si>
    <t>USED BY LAW ENFORCEMENT OFFICERS TO PRINT THEIR REPORTS AND DUTY FORMS.  THESE WILL REPLACE ALL OLD, OUTDATED MACHINES CURRENTLY IN THE POLICE DEPARTMENT.</t>
  </si>
  <si>
    <t>2YTD1X61351525</t>
  </si>
  <si>
    <t>USED BY LAW ENFORCEMENT OFFICERS TO MAINTAIN THEIR PHYSICAL FITNESS IN HELPING THEM IN THEIR PERFORMANCE OF THEIR DUTIES AS WELL AS MAINTAINING THEIR HEALTH</t>
  </si>
  <si>
    <t>2YTD1X61351141</t>
  </si>
  <si>
    <t>2YTD1X61351140</t>
  </si>
  <si>
    <t>2YTD1X61351139</t>
  </si>
  <si>
    <t>USED BY LAW ENFORCEMENT OFFICER TO MAINTAIN THE PHYSICAL FITNESS TO HELP IN THEIR DUTY PERFORMANCES AND MAINTAIN THEIR HEALTH.</t>
  </si>
  <si>
    <t>BENCH PRESS</t>
  </si>
  <si>
    <t>DSPRESS00</t>
  </si>
  <si>
    <t>2YTD1X61351110</t>
  </si>
  <si>
    <t>USED BY LAW ENFORCEMENT OFFICERS TO REPLACE OLD OUTDATED COMPUTERS INSIDE THE POLICE DEPARTMENT</t>
  </si>
  <si>
    <t>2YTD1X61351099</t>
  </si>
  <si>
    <t>USED BY LAW ENFORCEMENT OFFICERS TO RESPOND TO AND DURING EMERGENCY OPERATIONS ON THE BEACH.  WILL ALLOW OFFICERS TO RESPOND IN AREAS THAT A PATROL VEHICLE WILL NOT REACH.</t>
  </si>
  <si>
    <t xml:space="preserve">
Sales Order #: 2288637362
RTD Screening Code: DOD
Reason for Rejection: Y9</t>
  </si>
  <si>
    <t>2YTD1X61280238</t>
  </si>
  <si>
    <t xml:space="preserve">
Sales Order #: 2288443109
RTD Screening Code: DOD
Reason for Rejection: Y9</t>
  </si>
  <si>
    <t>2YTD1X61280237</t>
  </si>
  <si>
    <t>USED BY LAW ENFORCEMENT OFFICERS TO MOVE EMERGENCY BARRIERS AND EMERGENCY EQUIPMENT TO AND FROM CRIME SCENES AND EMERGENCY SCENES</t>
  </si>
  <si>
    <t xml:space="preserve">
Sales Order #: 2288349000
RTD Screening Code: DOD
Reason for Rejection: Y9</t>
  </si>
  <si>
    <t>2YTD1X61219842</t>
  </si>
  <si>
    <t>USED BY LAW ENFORCEMENT OFFICERS TO REPLACE OLD AND OUTDATED PRINTERS IN THE POLICE DEPARTMENT IN THE PATROL ROOM, EVIDENCE ROOM AND OFFICES.</t>
  </si>
  <si>
    <t>2YTD1X61219885</t>
  </si>
  <si>
    <t>USED BY LAW ENFORCEMENT OFFICERS TO REPLACE OLD, OUTDATED PRINTER IN THE POLICE DEPARTMENT</t>
  </si>
  <si>
    <t xml:space="preserve">
Sales Order #: 2288349012
RTD Screening Code: DOD
Reason for Rejection: Y9</t>
  </si>
  <si>
    <t>2YTD1X61219841</t>
  </si>
  <si>
    <t>THIS JACKET WILL BE ISSUED TO AN AGENT WHO IS A MEMBER OF OUR ESF 13 TEAM. THEY DEPLOY WITH FEMA TO AUSTERE DISASTER AREAS</t>
  </si>
  <si>
    <t xml:space="preserve">
Sales Order #: 2290155486
RTD Screening Code: GSA
Reason for Rejection: YH</t>
  </si>
  <si>
    <t>2YTSXU61492078</t>
  </si>
  <si>
    <t xml:space="preserve">
Sales Order #: 2289337564
RTD Screening Code: DOD
Reason for Rejection: YD</t>
  </si>
  <si>
    <t>2YTRGK61280817</t>
  </si>
  <si>
    <t xml:space="preserve">
Sales Order #: 2289578571
RTD Screening Code: DOD
Reason for Rejection: Y9</t>
  </si>
  <si>
    <t>2YTRGK61421412</t>
  </si>
  <si>
    <t xml:space="preserve">
Sales Order #: 2289578561
RTD Screening Code: DOD
Reason for Rejection: Y9</t>
  </si>
  <si>
    <t>2YTRGK61421411</t>
  </si>
  <si>
    <t xml:space="preserve">
Sales Order #: 2289606323
RTD Screening Code: DOD
Reason for Rejection: Y9</t>
  </si>
  <si>
    <t>2YTRGK61421410</t>
  </si>
  <si>
    <t xml:space="preserve">
Sales Order #: 2289578570
RTD Screening Code: DOD
Reason for Rejection: Y9</t>
  </si>
  <si>
    <t>2YTRGK61421377</t>
  </si>
  <si>
    <t>FOR USED TO HARDEN SECURITY AT FEDERAL BUILDING FOR CBP</t>
  </si>
  <si>
    <t xml:space="preserve">
Sales Order #: 2289096369
RTD Screening Code: DOD
Reason for Rejection: Y9</t>
  </si>
  <si>
    <t>2YTRGK61350884</t>
  </si>
  <si>
    <t xml:space="preserve">
Sales Order #: 2289376565
RTD Screening Code: DOD
Reason for Rejection: Y9</t>
  </si>
  <si>
    <t>OUTERWEAR, MEN'S</t>
  </si>
  <si>
    <t>DSOUTMENS</t>
  </si>
  <si>
    <t>2YTRGK61350825</t>
  </si>
  <si>
    <t>CLAMSHELTER,AIRCRAF</t>
  </si>
  <si>
    <t>2YTRGK61421334</t>
  </si>
  <si>
    <t>2YTRGK61210567</t>
  </si>
  <si>
    <t xml:space="preserve">
Sales Order #: 2288395708
RTD Screening Code: DOD
Reason for Rejection: Y9</t>
  </si>
  <si>
    <t>2YTRGK61149865</t>
  </si>
  <si>
    <t>THESE BOOTS WILL BE ISSUED TO AN AGENT ON OUR ESF 13 TEAM THAT DEPLOYS WITH FEMA TO DISASTER AREAS</t>
  </si>
  <si>
    <t>2YTSXU61129822</t>
  </si>
  <si>
    <t>THIS HYDRATION PACK WILL BE ISSUED TO AN AGENT WHO IS A MEMBER OF OUR ESF 13 TEAM THEY DEPLOY WITH FEMA TO DISASTER AREAS</t>
  </si>
  <si>
    <t>2YTSXU60937382</t>
  </si>
  <si>
    <t>THIS JACKET WILL BE ISSUED TO AN AGENT WHO IS A MEMBER OF OUR ESF 13 TEAM THEY DEPLOY WITH FEMA TO DISASTER AREAS</t>
  </si>
  <si>
    <t>2YTSXU60937381</t>
  </si>
  <si>
    <t>2YTSXU60937380</t>
  </si>
  <si>
    <t>2YTSXU60937378</t>
  </si>
  <si>
    <t>2YTRGK61219568</t>
  </si>
  <si>
    <t>THESE BOOTS WILL BE ISSUED TO AN AGENT WHO IS A MEMBER OF OUR ESF 13 TEAM THAT DEPLOYS WITH FEMA</t>
  </si>
  <si>
    <t>2YTSXU60867416</t>
  </si>
  <si>
    <t xml:space="preserve">
Sales Order #: 2285908497
RTD Screening Code: RTD2
Reason for Rejection: YH</t>
  </si>
  <si>
    <t>2YTSXU60796728</t>
  </si>
  <si>
    <t xml:space="preserve">
Sales Order #: 2279783715
RTD Screening Code: DOD
Reason for Rejection: Y9</t>
  </si>
  <si>
    <t>2YTRGK53398020</t>
  </si>
  <si>
    <t>FOR THE US CUSTOMS AND BORDER PROTECTION FEDERAL LAW ENFORCEMENT OFFICERS DURING LAW ENFORCEMENT OPERATIONS, EMERGENCIES, CIVIL DISTURBANCE RESPONSE, ACTIVE SHOOTER RESPONSE, AND DISASTER RELIEF MISSIONS.</t>
  </si>
  <si>
    <t xml:space="preserve">
Sales Order #: 2270389106
RTD Screening Code: DOD
Reason for Rejection: Y9</t>
  </si>
  <si>
    <t>2YTRGK53398016</t>
  </si>
  <si>
    <t>FOR THE PROSPECT POLICE DEPARTMENT TO OUTFIT AND ISSUE TO OFFICERS TO USE IN MEDICAL EMERGENCIES TO RENDER AID.</t>
  </si>
  <si>
    <t xml:space="preserve">
Sales Order #: 2291292537
RTD Screening Code: DOD
Reason for Rejection: Y9</t>
  </si>
  <si>
    <t>BAG,MEDICAL AID</t>
  </si>
  <si>
    <t>2YTJYC61703588</t>
  </si>
  <si>
    <t>FOR THE PROSPECT POLICE DEPARTMENT TO USE FOR MARKING IN TACTICAL SITUATIONS AND SEARCHES.</t>
  </si>
  <si>
    <t>2YTJYC61563134</t>
  </si>
  <si>
    <t>FOR THE PROSPECT POLICE DEPARTMENT TO ISSUE TO A K9 HANDLER TO WEAR FOR TRAINING BY AND SPECIAL ASSIGNMENTS.</t>
  </si>
  <si>
    <t xml:space="preserve">
Sales Order #: 2289637137
RTD Screening Code: DOD
Reason for Rejection: Y9</t>
  </si>
  <si>
    <t>2YTJYC61421269</t>
  </si>
  <si>
    <t>FOR THE PROSPECT POLICE DEPARTMENT TO ISSUE TO K9 OFFICERS FOR TRAINING AND SPECIAL ASSIGNMENTS.</t>
  </si>
  <si>
    <t xml:space="preserve">
Sales Order #: 2289686825
RTD Screening Code: DOD
Reason for Rejection: Y9</t>
  </si>
  <si>
    <t>2YTJYC61421268</t>
  </si>
  <si>
    <t>FOR THE PROSPECT POLICE DEPARTMENT TO ISSUE TO OFFICERS TO WEAR WITH THEIR GLOCK 22 PISTOLS.</t>
  </si>
  <si>
    <t xml:space="preserve">
Sales Order #: 2289686826
RTD Screening Code: DOD
Reason for Rejection: Y9</t>
  </si>
  <si>
    <t>INDIVIDUAL HOLSTER</t>
  </si>
  <si>
    <t>DSHOLSTER</t>
  </si>
  <si>
    <t>2YTJYC61351180</t>
  </si>
  <si>
    <t>FOR THE PROSPECT POLICE DEPARTMENT TO USE FOR INFANT FIRST AID TRAINING.</t>
  </si>
  <si>
    <t xml:space="preserve">
Sales Order #: 2289686839
RTD Screening Code: DOD
Reason for Rejection: Y9</t>
  </si>
  <si>
    <t>2YTJYC61350990</t>
  </si>
  <si>
    <t>FOR THE PROSPECT POLICE DEPARTMENT TO ISSUE TO OFFICERS TO WEAR WHEN ON DUTY.</t>
  </si>
  <si>
    <t xml:space="preserve">
Sales Order #: 2289686838
RTD Screening Code: DOD
Reason for Rejection: Y9</t>
  </si>
  <si>
    <t>2YTJYC61350705</t>
  </si>
  <si>
    <t>FOR THE PROSPECT POLICE DEPARTMENT TO ISSUE TO OFFICERS TO USE ON THEIR PATROL RIFLES.</t>
  </si>
  <si>
    <t>2YTJYC61421432</t>
  </si>
  <si>
    <t>FOR THE PROSPECT POLICE DEPARTMENT TO ISSUE TO OFFICERS TO WEAR IN HAZARDOUS WEATHER CONDITIONS.</t>
  </si>
  <si>
    <t>2YTJYC61280855</t>
  </si>
  <si>
    <t>FOR THE PROSPECT POLICE DEPARTMENT TO ISSUE TO OFFICERS TO WEAR ON THEIR PLATE CARRIERS TO CARRY A HYDRATION BLADDER.</t>
  </si>
  <si>
    <t>2YTJYC61350991</t>
  </si>
  <si>
    <t>FOR THE PROSPECT POLICE DEPARTMENT TO ISSUE TO OFFICERS TO USE FOR COMMUNICATION AS WELL AS REPORTING AND DATA MANAGEMENT.</t>
  </si>
  <si>
    <t>2YTJYC61350677</t>
  </si>
  <si>
    <t>FOR THE PROSPECT POLICE DEPARTMENT TO USE TO TRANSPORT OFFICERS AND EQUIPMENT IN EMERGENCIES OFF THE ROAD.</t>
  </si>
  <si>
    <t xml:space="preserve">
Sales Order #: 2288924331
RTD Screening Code: DOD
Reason for Rejection: Y9</t>
  </si>
  <si>
    <t>2YTJYC61280087</t>
  </si>
  <si>
    <t>FOR THE PROSPECT POLICE DEPARTMENT TO USE TO TRANSPORT OFFICERS AND EQUIPMENT IN EMERGENCIES THAT ARE OFF THE ROAD.</t>
  </si>
  <si>
    <t xml:space="preserve">
Sales Order #: 2288535278
RTD Screening Code: DOD
Reason for Rejection: Y9</t>
  </si>
  <si>
    <t>2YTJYC61280086</t>
  </si>
  <si>
    <t>FOR THE PROSPECT POLICE DEPARTMENT TO USE TO TRANSPORT OFFICERS OFF THE ROAD.</t>
  </si>
  <si>
    <t xml:space="preserve">
Sales Order #: 2288358972
RTD Screening Code: DOD
Reason for Rejection: Y9</t>
  </si>
  <si>
    <t>2YTJYC61280084</t>
  </si>
  <si>
    <t xml:space="preserve">
Sales Order #: 2288535287
RTD Screening Code: DOD
Reason for Rejection: Y9</t>
  </si>
  <si>
    <t>2YTJYC61280082</t>
  </si>
  <si>
    <t>FOR THE PROSPECT POLICE DEPARTMENT TO ISSUE TO AN OFFICER TO WEAR FOR POOR WEATHER CONDITIONS.</t>
  </si>
  <si>
    <t xml:space="preserve">
Sales Order #: 2286505982
RTD Screening Code: DOD
Reason for Rejection: YG</t>
  </si>
  <si>
    <t>2YTJYC60867206</t>
  </si>
  <si>
    <t>FOR THE PROSPECT POLICE DEPARTMENT TO ISSUE TO AN OFFICER TO WEAR FOR TRAINING AND SPECIAL ASSIGNMENTS.</t>
  </si>
  <si>
    <t xml:space="preserve">
Sales Order #: 2286502845
RTD Screening Code: DON
Reason for Rejection: YG</t>
  </si>
  <si>
    <t>2YTJYC60867205</t>
  </si>
  <si>
    <t xml:space="preserve">
Sales Order #: 2286502846
RTD Screening Code: DOD
Reason for Rejection: YG</t>
  </si>
  <si>
    <t>BDU KNEEPAD</t>
  </si>
  <si>
    <t>DSBDUKNEE</t>
  </si>
  <si>
    <t>2YTJYC60867204</t>
  </si>
  <si>
    <t>FOR THE PROSPECT POLICE DEPT TO ISSUE TO AN OFFICER TO WEAR IN THE COLD.</t>
  </si>
  <si>
    <t xml:space="preserve">
Sales Order #: 2286053948
RTD Screening Code: DON
Reason for Rejection: YG</t>
  </si>
  <si>
    <t>MITTENS, COLD WEATHER</t>
  </si>
  <si>
    <t>DSMITTENS</t>
  </si>
  <si>
    <t>2YTJYC60866417</t>
  </si>
  <si>
    <t xml:space="preserve">
Sales Order #: 2285676489
RTD Screening Code: DON
Reason for Rejection: YG</t>
  </si>
  <si>
    <t>2YTJYC60866416</t>
  </si>
  <si>
    <t xml:space="preserve">
Sales Order #: 2286053944
RTD Screening Code: DON
Reason for Rejection: YG</t>
  </si>
  <si>
    <t>2YTJYC60866415</t>
  </si>
  <si>
    <t>FOR THE PROSPECT POLICE DEPARTMENT TO ISSUE TO OFFICERS TO USE TO RENDER FIRST AID IN EMERGENCY SITUATIONS.</t>
  </si>
  <si>
    <t xml:space="preserve">
Sales Order #: 2285676488
RTD Screening Code: DON
Reason for Rejection: YG</t>
  </si>
  <si>
    <t>2YTJYC60866414</t>
  </si>
  <si>
    <t>FOR THE PROSPECT POLICE DEPARTMENT TO ISSUE TO AN OFFICER TO CARRY POLICE EQUIPMENT.</t>
  </si>
  <si>
    <t xml:space="preserve">
Sales Order #: 2285676487
RTD Screening Code: DOD
Reason for Rejection: YH</t>
  </si>
  <si>
    <t>2YTJYC60866137</t>
  </si>
  <si>
    <t>FOR THE PROSPECT POLICE DEPT TO USE WHEN MAINTAINING POLICE VEHICLES.</t>
  </si>
  <si>
    <t xml:space="preserve">
Sales Order #: 2286053945
RTD Screening Code: GSA
Reason for Rejection: YG</t>
  </si>
  <si>
    <t>JACK,LEVELING-SUPPORT</t>
  </si>
  <si>
    <t>2YTJYC60796030</t>
  </si>
  <si>
    <t>FOR THE PROSPECT POLICE DEPARTMENT TO ISSUE TO AN OFFICER TO WEAR IN FOUL WEATHER.</t>
  </si>
  <si>
    <t xml:space="preserve">
Sales Order #: 2285676486
RTD Screening Code: GSA
Reason for Rejection: YG</t>
  </si>
  <si>
    <t>2YTJYC60795617</t>
  </si>
  <si>
    <t>FOR THE PROSPECT POLICE DEPT TO USE TO SEARCH FOR PEOPLE IN EMERGENCIES.</t>
  </si>
  <si>
    <t>LEA has 24 overdue pending receipts. Please receipt for property</t>
  </si>
  <si>
    <t>2YTJYC61007905</t>
  </si>
  <si>
    <t>CAMERA,INFRARED,IND</t>
  </si>
  <si>
    <t>2YTJYC61007904</t>
  </si>
  <si>
    <t>THIS ITEM IS BEING REQUESTED BY THE CITY OF GROTON POLICE DEPARTMENT TO BE USED BY OFFICERS FOR LAW ENFORCEMENT PURPOSES. THE REQUESTED PONCHOS WILL BE ISSUED TO OFFICERS TO WEAR DURING IMPLEMENT WEATHER FOR FIREARM TRAINING DAYS AND FOR POSSIBLE CALLOUTS DURING POOR WEATHER. THE PONCHOS WILL ALSO BE ISSUED TO SERT OPERATORS TO USE AS A PROTECTIVE COVER FOR POOR WEATHER CALL OUTS.</t>
  </si>
  <si>
    <t xml:space="preserve">
Sales Order #: 2285413714
RTD Screening Code: DOD
Reason for Rejection: YG</t>
  </si>
  <si>
    <t>2YTEWY60725820</t>
  </si>
  <si>
    <t>CITY OF GROTON POLICE DEPT (2YTEWY)</t>
  </si>
  <si>
    <t>FOR THE PROSPECT POLICE DEPT TO ISSUE TO AN OFFICER TO WEAR IN POOR WEATHER CONDITIONS.</t>
  </si>
  <si>
    <t xml:space="preserve">
Sales Order #: 2285426908
RTD Screening Code: DOD
Reason for Rejection: YG</t>
  </si>
  <si>
    <t>2YTJYC60724962</t>
  </si>
  <si>
    <t xml:space="preserve">
Sales Order #: 2285413712
RTD Screening Code: DOD
Reason for Rejection: YG</t>
  </si>
  <si>
    <t>MITTENS,EXTREME COL</t>
  </si>
  <si>
    <t>2YTJYC60724958</t>
  </si>
  <si>
    <t>FOR THE PROSPECT POLICE DEPARTMENT TO USE TO CARRY EQUIPMENT WHEN ON FOOT, FOR SEARCH AND RESCUE OR OTHER EMERGENCIES.</t>
  </si>
  <si>
    <t xml:space="preserve">
Sales Order #: 2285426906
RTD Screening Code: DOD
Reason for Rejection: YG</t>
  </si>
  <si>
    <t>2YTJYC60724863</t>
  </si>
  <si>
    <t>FOR THE PROSPECT POLICE DEPARTMENT TO ISSUE TO AN OFFICER TO WEAR IN POOR WEATHER CONDITIONS.</t>
  </si>
  <si>
    <t xml:space="preserve">
Sales Order #: 2285413710
RTD Screening Code: DOD
Reason for Rejection: YG</t>
  </si>
  <si>
    <t>2YTJYC60724858</t>
  </si>
  <si>
    <t>CCSO, WOULD REQUEST THIS TRUCK FOR USE BY OUR OFFICE AS A BACKUP VEHICLE FOR OUR DEPUTIES AND OFFICE PERSONAL.
THANK YOU</t>
  </si>
  <si>
    <t xml:space="preserve">
Sales Order #: 2292151344
RTD Screening Code: DOD
Reason for Rejection: Y9</t>
  </si>
  <si>
    <t>2YTC2B61774291</t>
  </si>
  <si>
    <t>CCSO, WOULD REQUEST THESE TIRES FOR THE PURPOSE OF AUGMENTING OUR MOTOR POOL, TIRES ARE A HUGE EXPENSE AND DRAIN ON THE BUDGET THAT ANYTHING WE CAN DO HELPS.
THANK YOU</t>
  </si>
  <si>
    <t>2YTC2B61764575</t>
  </si>
  <si>
    <t>CCSO, WOULD REQUEST THIS ATV FOR USE BY OUR DEPUTIES, DURING OFF ROAD CALLS FOR SERVICE AND POSABLE RANGE WORK.
THANK YOU</t>
  </si>
  <si>
    <t>2YTC2B61774577</t>
  </si>
  <si>
    <t>2YTC2B61774576</t>
  </si>
  <si>
    <t>CCSO, WOULD REQUEST THESE SERVERS FOR USE BY OUR IT DEPARTMENT AS THIS WOULD ALLOW USE TO REPLACE WORN OR OUTDATED EQUIPMENT THAT WE NOW DEPEND ON.
THANK YOU</t>
  </si>
  <si>
    <t xml:space="preserve">
Sales Order #: 2292151325
RTD Screening Code: DOD
Reason for Rejection: Y9</t>
  </si>
  <si>
    <t>NETWORK SERVER</t>
  </si>
  <si>
    <t>DSSERVER2</t>
  </si>
  <si>
    <t>2YTC2B61774285</t>
  </si>
  <si>
    <t>THE LPCSO CURRENTLY HAS TWO 2012 800CC POLARIS RANGERS USED FOR BACK COUNTRY LAW ENFORCEMENT OPERATIONS AND SWAT MISSION SUPPORT.  THE UNIT REQUESTED IS SIGNIFICANTLY NEWER AND HAS A MORE POWERFUL 1000CC ENGINE. WOULD BE A SIGNIFICANT UPGRADE FROM CURRENT MODEL.</t>
  </si>
  <si>
    <t xml:space="preserve">
Sales Order #: 2291712921
RTD Screening Code: DOD
Reason for Rejection: Y9</t>
  </si>
  <si>
    <t>ALL TERRAIN VEHICLE</t>
  </si>
  <si>
    <t>2YTGCG61773897</t>
  </si>
  <si>
    <t>LA PLATA COUNTY SHERIFFS OFFICE (2YTGCG)</t>
  </si>
  <si>
    <t>CCSO, WOULD REQUEST THIS NET FOR USE AS OVERHEAD COVER DURING HOT DAYS,
THANK YOU</t>
  </si>
  <si>
    <t xml:space="preserve">
Sales Order #: 2291023710
Reason for Rejection: Y9</t>
  </si>
  <si>
    <t>2YTC2B61703539</t>
  </si>
  <si>
    <t>CCSO, WOULD REQUEST THESE MAGAZINES FOR USE IN OUR PATROL RIFLES.
THANK YOU</t>
  </si>
  <si>
    <t xml:space="preserve">
Sales Order #: 2291023701
Reason for Rejection: Y9</t>
  </si>
  <si>
    <t>2YTC2B61703538</t>
  </si>
  <si>
    <t>CCSO, WOULD REQUEST THIS SHELTER IN AN EFFORT TO CREATE TACTICAL VEHICLES FOR OUR SPECIAL OPERATIONS TEAMS AND CRIME SCENE INVESTIGATORS.
THANK YOU</t>
  </si>
  <si>
    <t xml:space="preserve">
Sales Order #: 2290347048
Reason for Rejection: Y9</t>
  </si>
  <si>
    <t>2YTC2B61701521</t>
  </si>
  <si>
    <t>CCSO, WOULD REQUEST THIS VEHICLE FOR DAILY USE AS A BACKUP PATROL CAR OR A VEHICLE TO BE USED BY OUR OFFICE PERSONAL FOR ERRANDS OR TRANSPORTATION TO AND FROM GOVERNMENT OFFICES. THANK YOU</t>
  </si>
  <si>
    <t xml:space="preserve">
Sales Order #: 2290475963
RTD Screening Code: DOD
Reason for Rejection: YH</t>
  </si>
  <si>
    <t>2YTC2B61562632</t>
  </si>
  <si>
    <t>CCSO, WOULD REQUEST THIS TRAILER FOR USE BY OUR OFFICE TO MOVE OR RELOCATE LARGE ITEMS THAT WE NOW HAVE OF MAY BE GIFTED BY DLA.
THANK YOU</t>
  </si>
  <si>
    <t xml:space="preserve">
Sales Order #: 2290470833
RTD Screening Code: DOD
Reason for Rejection: YH</t>
  </si>
  <si>
    <t>2YTC2B61562631</t>
  </si>
  <si>
    <t>LOCHBUIE PD IS SMALL WITH LIMITED FUNDS, SO EVERY TOOL MATTERS. A HIGH-QUALITY RIFLE SCOPE WOULD IMPROVE ACCURACY IN CRITICAL INCIDENTS LIKE ACTIVE SHOOTERS OR HOSTAGE SITUATIONS, WHILE ALSO ENHANCING SAFETY AND PRECISION ON REGULAR PATROL. THIS ENSURES OFFICERS CAN RESPOND EFFECTIVELY TO THREATS, PROTECTING BOTH THE COMMUNITY AND THEMSELVES.</t>
  </si>
  <si>
    <t xml:space="preserve">
Sales Order #: 2291712924
RTD Screening Code: DOD
Reason for Rejection: Y9</t>
  </si>
  <si>
    <t>SIGHT,TEPESCOPIC 10</t>
  </si>
  <si>
    <t>2YTGVE61773882</t>
  </si>
  <si>
    <t xml:space="preserve">
Sales Order #: 2291717024
RTD Screening Code: DOD
Reason for Rejection: Y9</t>
  </si>
  <si>
    <t>2YTGVE61773859</t>
  </si>
  <si>
    <t>LOCHBUIE PD IS A SMALL AGENCY WITH A LIMITED BUDGET SO EVERY TOOL MATTERS. AN INFRARED DEVICE WOULD GREATLY ENHANCE PATROL OFFICERS ABILITY TO LOCATE SUSPECTS AT NIGHT, ASSIST IN SEARCH AND RESCUE OPERATIONS, AND IMPROVE OFFICER SAFETY BY DETECTING THREATS IN LOW VISIBILITY, HELPING US PROTECT OUR COMMUNITY MORE EFFECTIVELY.</t>
  </si>
  <si>
    <t xml:space="preserve">
Sales Order #: 2291712920
RTD Screening Code: DOD
Reason for Rejection: Y9</t>
  </si>
  <si>
    <t>2YTGVE61773901</t>
  </si>
  <si>
    <t>CCSO, WOULD REQUEST THIS TRAILER FOR USE BY OUR OFFICE TO MOVE HEAVY ITEMS FROM OUR OFFICE TO OTHER PLACES AND FROM DLA DEPOTS TO OUR OFFICE. 
THANK YOU</t>
  </si>
  <si>
    <t xml:space="preserve">
Sales Order #: 2291192727
RTD Screening Code: DOD
Reason for Rejection: Y9</t>
  </si>
  <si>
    <t>2YTC2B61703548</t>
  </si>
  <si>
    <t>LOCHBUIE PD IS A SMALL AGENCY WITH A LIMITED BUDGET, SO EVERY TOOL MATTERS. THESE TRAINING DUMMIES WOULD BE A HUGE ASSET TO US, ALLOWING US TO TRAIN IN HOSTAGE AND OFFICER RESCUE BY SIMULATING INJURED VICTIMS.  THEY WILL BE USED REGULARLY BY US AND SURROUNDING AGENCIES.</t>
  </si>
  <si>
    <t xml:space="preserve">
Sales Order #: 2291312129
RTD Screening Code: DOD
Reason for Rejection: Y9</t>
  </si>
  <si>
    <t>MANIKIN,RESCUE RANDY</t>
  </si>
  <si>
    <t>2YTGVE61703532</t>
  </si>
  <si>
    <t>THIS CAMERA WILL BE USED BY THE NARCOTICS AND MAJOR CRIMES INVESTIGATION UNITS FOR SURVEILLANCE OF SUSPECTS INVOLVED IN CRIMINAL ACTIVITIES AND ASSIST WITH COLLECTING EVIDENCE FOR PROSECUTION IN COURT CASES.</t>
  </si>
  <si>
    <t>2YTES761633577</t>
  </si>
  <si>
    <t>REQUESTING ACQUISITION OF AN UNMANNED AERIAL SYSTEM TO SUPPORT MULTI-AGENCY TACTICAL AND SEARCH AND RESCUE OPERATIONS. THE PLATFORM WILL PROVIDE REAL-TIME AERIAL INTELLIGENCE, ENHANCE SITUATIONAL AWARENESS, IMPROVE OFFICER SAFETY, SUPPORT SUSPECT LOCATION AND PERIMETER SECURITY, AND ASSIST INCIDENT COMMAND. FOR SEARCH AND RESCUE, IT WILL ENABLE RAPID AREA COVERAGE, LOCATE MISSING PERSONS, AND SUPPORT OPERATIONS IN DIFFICULT TERRAIN WHILE IMPROVING COORDINATION AND RESPONSE EFFECTIVENESS.</t>
  </si>
  <si>
    <t>2YTFHS61703461</t>
  </si>
  <si>
    <t>HOLYOKE POLICE DEPT (2YTFHS)</t>
  </si>
  <si>
    <t>DUE TO LIMITED LIGHTING CONDITIONS THIS AGENCY REQUIRES NIGHT VISION BINOCULARS TO IMPROVE OFFICER SAFETY AND OPERATIONAL EFFECTIVENESS DURING LOW-LIGHT OPERATIONS. THE EQUIPMENT WILL ASSIST PERSONNEL IN CONDUCTING NIGHTTIME SEARCHES FOR SUSPECTS, MISSING PERSONS, AND STRANDED INDIVIDUALS IN RURAL AND UNDEVELOPED TERRAIN. THE BINOCULARS WILL ALSO ENHANCE SITUATIONAL AWARENESS DURING PERIMETER SECURITY, SURVEILLANCE, DISASTER RESPONSE, AND MUTUAL AID OPERATIONS.</t>
  </si>
  <si>
    <t xml:space="preserve">
Sales Order #: 2290347053
RTD Screening Code: DOD
Reason for Rejection: Y9</t>
  </si>
  <si>
    <t>2YTFHS61562515</t>
  </si>
  <si>
    <t>CCSO, WOULD REQUEST THIS LOADER FOR THE PURPOSE OF USING ON OUR FIREARMS AND DRIVING RANGES, FOR MOVING MATERIAL TO CREATE SAFE ZONES AND BACKSTOPS.
THANK YOU</t>
  </si>
  <si>
    <t xml:space="preserve">
Sales Order #: 2290446739
RTD Screening Code: DOD
Reason for Rejection: Y9</t>
  </si>
  <si>
    <t>2YTC2B61562635</t>
  </si>
  <si>
    <t>CCS, WOULD REQUEST THIS TRUCK FOR PULLING ONE OF OUR HEAVY TRAILERS THAT HAS A 5TH WHEEL ATTACHMENT AND EVEN SOME OF OUR SMALLER ONE FOR DAILY USE THANK YOU</t>
  </si>
  <si>
    <t xml:space="preserve">
Sales Order #: 2290475964
RTD Screening Code: DOD
Reason for Rejection: YH</t>
  </si>
  <si>
    <t>TRACTOR,WHEELED,AIR</t>
  </si>
  <si>
    <t>2YTC2B61492126</t>
  </si>
  <si>
    <t>CCSO, WOULD REQUEST THESE CABINS FOR USE BY OUR OFFIXCE FOR THEIR ORIGINAL PURPOSE.
THANK YOU</t>
  </si>
  <si>
    <t xml:space="preserve">
Sales Order #: 2290637051
RTD Screening Code: DOD
Reason for Rejection: BQ</t>
  </si>
  <si>
    <t>2YTC2B61563025</t>
  </si>
  <si>
    <t>CCSO, WOULD LIKE TO REQUEST THIS TRAILER FOR USE BY OFFICE IN THE EVERYDAY FUNCTION OF MOVING LARGE ITEMS IN AND OUTSIDE OUR COUNTY MANY OF THESE ITEMS ARE GIFTED TO US FROM DLA AND MUST BE MOVED FROM COLORADO SPRINGS TO CUSTER COUNTY
THANK YOU</t>
  </si>
  <si>
    <t xml:space="preserve">
Sales Order #: 2290470832
RTD Screening Code: DOD
Reason for Rejection: Y9</t>
  </si>
  <si>
    <t>2YTC2B61492071</t>
  </si>
  <si>
    <t>MONUMENT SWORN OFFICERS WILL USE THE UTV FOR SEARCH AND RESCUE OPERATIONS IN OFF ROAD TERRAIN IN THE AREA, SPECIAL EVENTS WHERE MOTOR VEHICLE ARE UNABLE TO NAVIGATE CROWDS, AND OTHER EMERGENT RESPONSES</t>
  </si>
  <si>
    <t>2YTHZ961422776</t>
  </si>
  <si>
    <t>MONUMENT POLICE DEPT (2YTHZ9)</t>
  </si>
  <si>
    <t>IF THIS VEHICLE RUNS, WE WANT TO CONVERT IT INTO A DROP CAR CAMERA SYSTEM TO BE PLACED OUT REMOTELY FOR INVESTIGATORS TO MONITOR HIGH CRIME AREAS AND TARGETED SUSPECTS FOR ARREST. WE HAVE AN OLD CAR NOW WE ARE USING THAT KEEPS BREAKING DOWN AND NEED TO BE REPLACED ASAP.</t>
  </si>
  <si>
    <t xml:space="preserve">
Sales Order #: 2290446732
RTD Screening Code: DOD
Reason for Rejection: Y9</t>
  </si>
  <si>
    <t>2YTES761562653</t>
  </si>
  <si>
    <t xml:space="preserve">ITEM TO BE UTILIZED BY THE DEPARTMENT OF HOMELAND SECURITY TRAINING OPERATIONS FOR THE DENVER, AOR. ITEM WILL BE USED BY TACTICS AND FIREARMS INSTRUCTORS TO BUILD AND MAINTAIN TRAINING OBSTACLES AND BARRIERS FOR MANDATORY QUARTERLY TRAINING. 
</t>
  </si>
  <si>
    <t xml:space="preserve">
Sales Order #: 2290329620
RTD Screening Code: DOD
Reason for Rejection: YG</t>
  </si>
  <si>
    <t>2YTR6461422254</t>
  </si>
  <si>
    <t>CCSO, WOULD REQUEST THESE SIGHTS TO BE INSTALLED ON OUR FIREARMS AND ISSUED TO OUR DEPUTIES FOR DAILY USE IN THIER LAW ENFORCEMENT DUTIES.
THANK YOU</t>
  </si>
  <si>
    <t>2YTC2B61632624</t>
  </si>
  <si>
    <t>CCSO, WOULD REQUEST THESE SIGHTS FOR USE BY OUR DEPUTIES FOR DAILY PATROLS AND RESPONSE TO ACTION.
THANK YU</t>
  </si>
  <si>
    <t>2YTC2B61631563</t>
  </si>
  <si>
    <t>CCSO, WOULD REQUEST THIS TRACTOR FOR USE ON OUR FIREARMS AND DRIVING RANGES TO MOVE LARGE AMOUNTS OF MATERIAL TO CREATE SAFE ZONES AND BACKDROPS FOR SAFETY.
THANK YOU.</t>
  </si>
  <si>
    <t>2YTC2B61492628</t>
  </si>
  <si>
    <t>CCSO, WOULD LIKE TO REQUEST THESE MEN'S FOOTWEAR ITEMS TO BE USED IN OUR JAIL, AS THIS KIND OF FOOTWEAR IS IDENTICAL TO THE ISSUED SHOWER SHOES USE FOR OUR INMATES. THIS FOOTWEAR WOULD ALLOW A REPLACEMENT FOR OUR OLDER AND WORN OUT ISSUED ITEMS NOW IN CIRCULATION.
THANK YOU</t>
  </si>
  <si>
    <t>CANCELLED: Property can only be used by employees of the requested law enforcement agency.</t>
  </si>
  <si>
    <t>FOOTWEAR, MEN'S</t>
  </si>
  <si>
    <t>DSFOOTWEA</t>
  </si>
  <si>
    <t>2YTC2B61491843</t>
  </si>
  <si>
    <t>CCSO, WOULD REQUEST THESE GENERATORS FOR USE BY OUR OFFICE FOR POWER NEEDS ON A SMALLER SCALE.
THANK YOU</t>
  </si>
  <si>
    <t>This item has moved into the unapproved General Services Administration GSA cycle and cannot be approved to LESO customers</t>
  </si>
  <si>
    <t>2YTC2B61421564</t>
  </si>
  <si>
    <t>CCSO, WOULD REQUEST THIS SHELTER MOUNTING KIT TO ACCOMMODATE THE OTHER SHELTERS THAT WE ARE REQUESTING.
THANK YOU</t>
  </si>
  <si>
    <t>MOUNTING KIT,SHELTE</t>
  </si>
  <si>
    <t>2YTC2B61421520</t>
  </si>
  <si>
    <t>CCSO, WOULD REQUEST THIS BUSH HOG FOR MOWING GRASS AROUND OUR OFFICE AND RANGE FACILITY DURING THE SUMMER MONTHS.
THANK YOU</t>
  </si>
  <si>
    <t>2YTC2B61421519</t>
  </si>
  <si>
    <t>CCSO, WOULD REQUEST THIS PICKUP FOR THE PURPOSE OF SNOW PLOWING OUR ROADS AND RANGE AS THIS TRUCK HAS THE PLOW ATTACHMENT CONNECTED. THIS TRUCK CAN ALSO BE USED FOR TOW HEAVY TRAILERS.
THANK YOU</t>
  </si>
  <si>
    <t>2YTC2B61421518</t>
  </si>
  <si>
    <t>CCSO, WOULD REQUEST THIS TRACTOR FOR USE AT OUR DRIVING AND FIREARMS RANGE FACILITY FOR THE DAILY GROUND AND DIRT WORK AS THIS IS A YEAR ROUND, MAINTENANCE DEMAND.
THANK YOU</t>
  </si>
  <si>
    <t>2YTC2B61421517</t>
  </si>
  <si>
    <t>2YTC2B61421516</t>
  </si>
  <si>
    <t>CCSO, WOULD REQUEST THIS GENERATOR FOR USE DURING POWER OUTAGES IN OUR REMOTE COUNTY WHICH ARE NUMERATES DURING THE WINTER.
THANK YOU</t>
  </si>
  <si>
    <t>2YTC2B61351562</t>
  </si>
  <si>
    <t>CCSO, WOULD REQUEST THESE FIGHTING POSITIONS FOR USE ON OUR FIREARMS RANGE FOR THE TRAINING OF OUR DEPUTIES IN COVER AND CONCEALMENT.
THANK YOU</t>
  </si>
  <si>
    <t>FIGHTING POSITION O</t>
  </si>
  <si>
    <t>2YTC2B61351522</t>
  </si>
  <si>
    <t>DUE TO LIMITED LIGHTING, LARGE PATROL AREAS, AND DELAYED BACKUP RESPONSE TIMES, NIGHT VISION EQUIPMENT IS ESSENTIAL FOR SAFE AND EFFECTIVE RURAL LAW ENFORCEMENT OPERATIONS. IT ENHANCES OFFICER SAFETY AND IMPROVES SUSPECT SEARCHES, SEARCH-AND-RESCUE MISSIONS, PERIMETER SECURITY, AND RESPONSE CAPABILITIES IN LOW-LIGHT ENVIRONMENTS WHERE CONVENTIONAL LIGHTING IS INEFFECTIVE OR UNSAFE.</t>
  </si>
  <si>
    <t>2YTFHS61562516</t>
  </si>
  <si>
    <t>A NIGHT VISION SNIPER SCOPE WILL ENHANCE THE EFFECTIVENESS AND SAFETY OF OUR RURAL SWAT SNIPER TEAM DURING LOW-LIGHT OPERATIONS. DUE TO LARGE RESPONSE AREAS AND LIMITED LIGHTING, THE CAPABILITY IS CRITICAL FOR IDENTIFYING THREATS DURING HIGH-RISK WARRANTS, BARRICADED SUBJECTS, ARMED SUSPECT CONTAINMENT, AND RURAL MANHUNTS. THE SYSTEM IMPROVES TARGET IDENTIFICATION, OFFICER SAFETY, OPERATIONAL EFFECTIVENESS, AND REDUCES THE RISK OF COLLATERAL HARM DURING NIGHTTIME TACTICAL INCIDENTS.</t>
  </si>
  <si>
    <t>2YTFHS61562517</t>
  </si>
  <si>
    <t>ITEM TO BE UTILIZED BY THE TACTICS AND TRAINING DIVISION AT THE FLORENCE, COLORADO SUB OFFICE FOR THE DEPARTMENT OF HOMELAND SECURITY. DUE TO THE MOUNTAINOUS NATURE OF THE TRAINING AREAS, EQUIPMENT WILL BE USED FOR THE SAFE TRAVEL AND TRANSPORTATION OF TRAINING AIDS WITHIN THE TRAINING AREA.</t>
  </si>
  <si>
    <t>2YTR6461422260</t>
  </si>
  <si>
    <t>CCSO, WOULD REQUEST THESE KNIVES FOR THE PURPOSE OF ISSUING TO OUR DEPUTIES AS A TOOL AND SURVIVAL KNIFE IN THE MOUNTAINOUS ENVIRONMENT THAT WE OPERATE IN. 
THANK YOU</t>
  </si>
  <si>
    <t>2YTC2B61492068</t>
  </si>
  <si>
    <t>CCSO, WOULD REQUEST THIS TOOL SET, BASE FOR USE BY OUR MOTOR POOL FOR THE STORAGE OF TOOLS AND PARTS.
THANK YOU</t>
  </si>
  <si>
    <t xml:space="preserve">
Sales Order #: 2289578560
RTD Screening Code: DOD
Reason for Rejection: YG</t>
  </si>
  <si>
    <t>2YTC2B61351173</t>
  </si>
  <si>
    <t>ITEM TO BE UTILIZED FOR SNOW REMOVAL AROUND THE WALKING ENTRANCES AS WELL AS THE SALLY PORT TO THE DEPARTMENT OF HOMELAND SECURITY OFFICE IN FLORENCE, COLORADO.</t>
  </si>
  <si>
    <t xml:space="preserve">
Sales Order #: 2289075216
RTD Screening Code: DOD
Reason for Rejection: Y9</t>
  </si>
  <si>
    <t>SNOW REMOVAL UNIT,W</t>
  </si>
  <si>
    <t>2YTR6461350862</t>
  </si>
  <si>
    <t>OFTEN TIMES OFFICERS ARE REQUIRED TO COMPLETE MINOR REPAIRS AROUND THE OFFICE TO INCLUDE CUBICLE REPAIRS, FURNITURE ASSEMBLY AS WELL AS MINOR VEHICLE REPAIRS THAT REQUIRE TOOLS. ITEMS TO BE UTILIZED BY THE DENVER, AOR, IMMIGRATION AND CUSTOMS ENFORCEMENT OFFICES TO HOLD TOOLS TO COMPLETE SAID MINOR REPAIRS.</t>
  </si>
  <si>
    <t xml:space="preserve">
Sales Order #: 2289075210
RTD Screening Code: DOD
Reason for Rejection: Y9</t>
  </si>
  <si>
    <t>2YTR6461350860</t>
  </si>
  <si>
    <t>OUR BOMB AND SWAT TEAMS HAVE 3 OF THE PACKBOTS  AND 1 SUGV THAT REQUIRE THE TWO BATTERIES EACH. OUR CURRENT BATTERY CHARGER DIED AND ONLY HAVE ONE CHARGER LEFT. WE ARE ASKING FOR THESE 4 SO WE CAN HAVE SPARES AVAILABLE IN THE FUTURE WHEN THE CHARGERS DIE.</t>
  </si>
  <si>
    <t xml:space="preserve">
Sales Order #: 2287695593
RTD Screening Code: DOD
Reason for Rejection: YG</t>
  </si>
  <si>
    <t>2YTES761149038</t>
  </si>
  <si>
    <t xml:space="preserve">
Sales Order #: 2289075213
RTD Screening Code: DOD
Reason for Rejection: Y9</t>
  </si>
  <si>
    <t>BICYCLE</t>
  </si>
  <si>
    <t>DSBICYCL1</t>
  </si>
  <si>
    <t>2YTR6461350859</t>
  </si>
  <si>
    <t xml:space="preserve">
Sales Order #: 2288894881
RTD Screening Code: DOD
Reason for Rejection: Y9</t>
  </si>
  <si>
    <t>2YTR6461350858</t>
  </si>
  <si>
    <t>THESE DEVICES WILL BE ISSUED TO 9 DRUG INVESTIGATORS, THEIR SGT, COMMANDER, FOR USE IN THE VEHICLES WHEN USING SURVEILLANCE APPLICATIONS INSTEAD OF HAVING TO USE THE WORK ISSUED IPHONES. THIS WILL LEAVE THEIR PHONES AVAILABLE AND NOT DRAIN POWER BECAUSE THE IPADS CAN BE LEFT ON POWER IN THEIR UNMARKED VEHICLES.</t>
  </si>
  <si>
    <t>2YTES761350986</t>
  </si>
  <si>
    <t>ITEMS TO BE UTILIZED BY THE DEPARTMENT OF HOMELAND SECURITY TRAINING UNIT IN THE DENVER, AOR FOR THE TRANSPORTATION OF TRAINING ITEMS TO INCLUDE AMMUNITION AND TARGETS.</t>
  </si>
  <si>
    <t xml:space="preserve">
Sales Order #: 2288894895
RTD Screening Code: DOD
Reason for Rejection: Y9</t>
  </si>
  <si>
    <t>HAND DOLLY</t>
  </si>
  <si>
    <t>DSDOLLY00</t>
  </si>
  <si>
    <t>2YTR6461350861</t>
  </si>
  <si>
    <t xml:space="preserve">
Sales Order #: 2288894871
RTD Screening Code: DOD
Reason for Rejection: Y9</t>
  </si>
  <si>
    <t>2YTR6461350857</t>
  </si>
  <si>
    <t>OUR SWAT AND BOMB BOTH HAVE DRMO ROBOTS THAT USE MILITARY BATTERIES AND REQUIRE THIS TYPE OF CHARGER TO KEEP THEM POWERED. WE HAD TWO CHARGERS BEFORE AND ONE DIED SO WE ARE DOWN TO JUST ONE. WE WOULD LIKE TO REPLACE THE DIED ONE AND HAVE AN EXTRA FOR WHEN THE OTHER UNIT DIES.</t>
  </si>
  <si>
    <t>2YTES761280987</t>
  </si>
  <si>
    <t xml:space="preserve">
Sales Order #: 2288415417
RTD Screening Code: DOD
Reason for Rejection: Y9</t>
  </si>
  <si>
    <t>2YTR6461210544</t>
  </si>
  <si>
    <t>LOCHBUIE PD IS A SMALL AGENCY WITH A LIMITED BUDGET. THESE IMAGE INTENSIFIERS- NIGHT VISION DEVICES WOULD HELP PROVIDE OUR OFFICERS WITH THE NECESSARY TOOLS TO BE ABLE TO SAFELY PERFORM THEIR JOBS IN LOW LIGHT SITUATIONS. WE WOULD USE THEM DAILY IN OUR POLICE DEPARTMENT. CONDITION HAS BEEN CONFIRMED.</t>
  </si>
  <si>
    <t xml:space="preserve">
Sales Order #: 2288617707
RTD Screening Code: DOD
Reason for Rejection: Y9</t>
  </si>
  <si>
    <t>2YTGVE61280341</t>
  </si>
  <si>
    <t xml:space="preserve">
Sales Order #: 2288524679
RTD Screening Code: DOD
Reason for Rejection: Y9</t>
  </si>
  <si>
    <t>2YTGVE61280340</t>
  </si>
  <si>
    <t>OFFICERS IN DHS ARE ASSIGNED RIFLES FOR FIELD USE. CASES WILL BE UTILIZED FOR OFFICERS ASSIGNED WEAPONS TO HAVE SAFE TRANSPORT OF FIREARMS TO AND FROM TRAINING AS WELL AS FOR FIELD USE.</t>
  </si>
  <si>
    <t>2YTR6461149181</t>
  </si>
  <si>
    <t>UNKNOWN</t>
  </si>
  <si>
    <t xml:space="preserve">LOCHBUIE PD IS A SMALL AGENCY WITH A LIMITED BUDGET. THESE BAGS WOULD BENEFIT OUR OFFICERS DAILY BY ALLOWING THEM TO CARRY AND TRANSPORT MORE EQUIPMENT FROM ONE CALL TO THE NEXT WHILE REMAINING ORGANIZED AND EFFECTIVE. 
</t>
  </si>
  <si>
    <t>JUSTIFICATION: the written justification does not match the property description</t>
  </si>
  <si>
    <t>RIFLEMAN SET</t>
  </si>
  <si>
    <t>2YTGVE61219692</t>
  </si>
  <si>
    <t xml:space="preserve">SRT OFFICERS IN THE DENVER AOR ARE TASKED WITH MANY MISSIONS THAT REQUIRE VARIOUS OBSTACLES TO OVERCOME. LADDERS ASSIST WITH THE OFFICERS ABILITY TO GET OVER BLOCKADES AND POSSIBLE SECOND STORY ENTRY POINTS.  
</t>
  </si>
  <si>
    <t>2YTR6461149478</t>
  </si>
  <si>
    <t>LOCHBUIE PD IS A SMALL AGENCY WITH A LIMITED BUDGET, SO EVERY TOOL MATTERS. THIS TRAILER WOULD BE A VALUABLE ASSET, ALLOWING US TO TRANSPORT EQUIPMENT, TRAINING GEAR, AND SUPPLIES EFFICIENTLY. IT WOULD SUPPORT OPERATIONS, IMPROVE READINESS FOR CRITICAL INCIDENTS, AND ENHANCE OUR ABILITY TO SERVE THE COMMUNITY EFFECTIVELY.</t>
  </si>
  <si>
    <t xml:space="preserve">
Sales Order #: 2287740196
RTD Screening Code: DOD
Reason for Rejection: Y9</t>
  </si>
  <si>
    <t>2YTGVE61149087</t>
  </si>
  <si>
    <t>2YTR6461079182</t>
  </si>
  <si>
    <t>LOCHBUIE PD IS A SMALL AGENCY WITH A LIMITED BUDGET. WE CURRENTLY HAVE TWO LICENSED DRONE PILOTS WITH A THIRD ON THE WAY. HOWEVER, DUE TO OUR BUDGET RESTRICTIONS THEY ARE USING CHEAP COMMERCIAL DRONE EQUIPMENT. THIS DRONE WOULD BE OF HUGE BENEFIT TO THE DEPARTMENT. I HAVE CONFIRMED CONDITION WITH THE DTID</t>
  </si>
  <si>
    <t>2YTGVE61078600</t>
  </si>
  <si>
    <t>LOCHBUIE PD IS A SMALL AGENCY WITH A LIMITED BUDGET, SO EVERY TOOL MATTERS. THIS ATV WOULD BE A MAJOR ASSET, ALLOWING OFFICERS TO QUICKLY ACCESS RURAL AND OFF-ROAD AREAS THAT PATROL VEHICLES CANNOT REACH. IT WOULD IMPROVE RESPONSE TIMES, SUPPORT SEARCH AND RESCUE OPERATIONS, AND ENHANCE OFFICER SAFETY WHILE SERVING OUR COMMUNITY EFFECTIVELY</t>
  </si>
  <si>
    <t xml:space="preserve">
Sales Order #: 2287150411
RTD Screening Code: DOD
Reason for Rejection: Y9</t>
  </si>
  <si>
    <t>2YTGVE61078426</t>
  </si>
  <si>
    <t>CCSO, WOULD REQUEST TIRES FOR OUR MOTOR POOL AS TIRES ARE ITEMS THAT WE DEPLETE QUICKLY AND OUR BUDGET IS TAXED DUE TO THE TURN OVER OF TIRES .
THANK YOU</t>
  </si>
  <si>
    <t>RECEIPTS: Your Agency has overdue pending receipt(s) in FEPMIS. Please receive the property prior to placing new requisitions.</t>
  </si>
  <si>
    <t>2YTC2B61078379</t>
  </si>
  <si>
    <t>2YTC2B61008381</t>
  </si>
  <si>
    <t>2YTC2B61008380</t>
  </si>
  <si>
    <t>CCSO, WOULD REQUEST THIS PICKUP FOR DAILY USE IN LAW ENFORCEMENT DUTIES BY OUR DEPUTIES AS A ON THE ROAD PATROL CAR, THIS VEHICLE CAN BE REPURPOSED WITH LITTLE OUTPUT BY OUR OFFICE TO SERVICE THE COMMUNITY OF CUSTER.
THANK YOU</t>
  </si>
  <si>
    <t>2YTC2B60957277</t>
  </si>
  <si>
    <t xml:space="preserve">
Sales Order #: 2286815802
RTD Screening Code: DOD
Reason for Rejection: Y9</t>
  </si>
  <si>
    <t>2YTC2B60937271</t>
  </si>
  <si>
    <t xml:space="preserve">
Sales Order #: 2286815796
RTD Screening Code: DOD
Reason for Rejection: Y9</t>
  </si>
  <si>
    <t>2YTC2B60937269</t>
  </si>
  <si>
    <t>CCSO, WOULD REQUEST THESE CHAIRS FOR USE HOLDING LARGE CLASSES, EVACUATIONS OR OTHER COMMUNITY EVENTS. 
THANK YOU</t>
  </si>
  <si>
    <t xml:space="preserve">
Sales Order #: 2286815803
RTD Screening Code: DOD
Reason for Rejection: Y9</t>
  </si>
  <si>
    <t>CHAIR, METAL</t>
  </si>
  <si>
    <t>DSCHAIRM1</t>
  </si>
  <si>
    <t>2YTC2B60937261</t>
  </si>
  <si>
    <t>WE WOULD LIKE THESE TO USE ON NEW DISPLAY THAT WILL BE USED AT THE DRUG TASK FORCE OFF SITE BUILDING FOR MONITORING CAMERAS GPS TRACKERS PEN AND PING DATA, AND OTHER SYSTEMS USED IN UNDERCOVER POLICE AND INVESTIGATIONS OPERATIONS.</t>
  </si>
  <si>
    <t xml:space="preserve">
Sales Order #: 2286815801
RTD Screening Code: DOD
Reason for Rejection: Y9</t>
  </si>
  <si>
    <t>2YTES760937430</t>
  </si>
  <si>
    <t>WE NEED A REPLACEMENT BATTERY CHARGER FOR THE 3 IROBOT PACKBOTS USED BY OUR BOMB AND SWAT TEAMS. THE OLD CHARGER IS 10 PLUS YEARS OLD AND IS NOT CHARGING THE BATTERIES ANYMORE. THE FAN BROKE AND THE SYSTEM OVERHEATS IF WE LEAVE IT PLUGGED IN TO LONG.</t>
  </si>
  <si>
    <t xml:space="preserve">
Sales Order #: 2286815808
RTD Screening Code: DOD
Reason for Rejection: Y9</t>
  </si>
  <si>
    <t>2YTES760937884</t>
  </si>
  <si>
    <t>THE TEHAMA COUNTY SHERIFF'S OFFICE WILL USE ATHLETIC AND SPORTING EQUIPMENT IN OUR SPECIAL EVENTS UNIT AS A TOOL TO HELP WITH RECRUITMENT EVENTS.</t>
  </si>
  <si>
    <t xml:space="preserve">
Sales Order #: 2292177866
RTD Screening Code: DOD
Reason for Rejection: Y9</t>
  </si>
  <si>
    <t>2YTLQ761914758</t>
  </si>
  <si>
    <t>THE TEHAMA COUNTY SHERIFF'S OFFICE WILL USE TOWEL,PAPER IN OUR RECORDS, JAIL BOOKING, PATROL AND EMERGENCY OPERATION CENTER FOR EMPLOYEE USE DURING DAILY OPERATIONS.</t>
  </si>
  <si>
    <t xml:space="preserve">
Sales Order #: 2292177862
RTD Screening Code: DOD
Reason for Rejection: Y9</t>
  </si>
  <si>
    <t>TOWEL,PAPER</t>
  </si>
  <si>
    <t>2YTLQ761914743</t>
  </si>
  <si>
    <t>THE TEHAMA COUNTY DISTRICT ATTORNEY BUREAU OF INVESTIGATIONS WILL ISSUE DRAWERS,COLD WEATHE TO INDIVIDUAL INVESTIGATORS FOR WORKING IN INCLEMENT WEATHER CONDITIONS.</t>
  </si>
  <si>
    <t xml:space="preserve">
Sales Order #: 2291873289
RTD Screening Code: DOD
Reason for Rejection: Y9</t>
  </si>
  <si>
    <t>2YTLQ861774022</t>
  </si>
  <si>
    <t>THESE ITEMS WOULD BE USED BY THE ORANGE COUNTY SHERIFF'S DEPARTMENT. THESE ITEMS WOULD BE ISSUED OUT TO SEARCH AND RESCUE OR OUR HARBOR DIVISION TO BE USED DURING NIGHT TIME OPERATIONS, CALL OUTS, CRITICAL INCIDENTS, SEARCHES AND OR RESCUES IN OUR HARBORS OR CANYONS OR DURING NATURAL DISASTERS.</t>
  </si>
  <si>
    <t xml:space="preserve">
Sales Order #: 2292054239
RTD Screening Code: DOD
Reason for Rejection: Y9</t>
  </si>
  <si>
    <t>2YT14Z61844345</t>
  </si>
  <si>
    <t xml:space="preserve">
Sales Order #: 2292074251
RTD Screening Code: DOD
Reason for Rejection: BQ</t>
  </si>
  <si>
    <t>2YTLQ861774474</t>
  </si>
  <si>
    <t>THE PLATFORM LIFT WILL BE USED BY THE MODOC COUNTY SHERIFF'S OFFICE TO HELP US WITH MAINTAINING AND REPAIRING OUR COMMUNICATIONS TOWERS.</t>
  </si>
  <si>
    <t xml:space="preserve">
Sales Order #: 2291585152
RTD Screening Code: GSA
Reason for Rejection: YG</t>
  </si>
  <si>
    <t>2YTHVX61703707</t>
  </si>
  <si>
    <t>THE FORK, LIFT TRUCK WILL BE UTILIZED BY THE MODOC COUNTY SHERIFF'S OFFICE MOVE DISASTER RELIEF EQUIPMENT FROM OUR YARD TO THE FIELD DURING A NATURAL DISASTER.</t>
  </si>
  <si>
    <t xml:space="preserve">
Sales Order #: 2291585136
RTD Screening Code: DOD
Reason for Rejection: Y6</t>
  </si>
  <si>
    <t>FORK,LIFT TRUCK</t>
  </si>
  <si>
    <t>2YTHVX61703708</t>
  </si>
  <si>
    <t>THE TEHAMA COUNTY SHERIFF'S OFFICE WILL USE POWER STRIP, ELECTRICAL TO POWER OFFICE EQUPMENT USED BY DEPUTIES TO CREATE CRIME REPORTS, TO POWER LIGHTS AND EQUIPMENT IN THE FIELD FOR RURAL OPERATIONS AND TO PROVIDE POWER OPTIONS DURING EMERGENCY SHELTERING OPERATIONS.</t>
  </si>
  <si>
    <t xml:space="preserve">
Sales Order #: 2291010186
RTD Screening Code: DOD
Reason for Rejection: Y9</t>
  </si>
  <si>
    <t>POWER STRIP,ELECTRI</t>
  </si>
  <si>
    <t>2YTLQ761703537</t>
  </si>
  <si>
    <t>THE SHACKLES WILL BE USED BY THE MODOC COUNTY SHERIFF'S OFFICE FOR RECOVERY ACTIVITIES INVOLVING THE SAFE LIFTING, TOWING, SECURING, AND RIGGING OF EQUIPMENT AND VEHICLES.</t>
  </si>
  <si>
    <t>GSA Cycle.  LEAs cannot get property in the GSA cycle.</t>
  </si>
  <si>
    <t>2YTHVX61633709</t>
  </si>
  <si>
    <t>FBI WILL USE THE TOTAL CONTAINMEN VESSEL TO PERFORM RENDER SAFE PROCEDURE, MITIGATION OR COLLECTION OF HAZARDOUS EVIDENCE ITEMS DURING LAW ENFORCEMENT OPERATIONS</t>
  </si>
  <si>
    <t>2YTMRZ61633594</t>
  </si>
  <si>
    <t>DOJ/FBI LOS ANGELES BOMB PROGRAM (2YTMRZ)</t>
  </si>
  <si>
    <t xml:space="preserve">
Sales Order #: 2290755219
RTD Screening Code: DOD
Reason for Rejection: Z2</t>
  </si>
  <si>
    <t>2YT14Z61543074</t>
  </si>
  <si>
    <t xml:space="preserve">
Sales Order #: 2289779736
RTD Screening Code: RTD2
Reason for Rejection: Z2</t>
  </si>
  <si>
    <t>2YT14Z61341624</t>
  </si>
  <si>
    <t xml:space="preserve">
Sales Order #: 2289779741
RTD Screening Code: RTD2
Reason for Rejection: Z2</t>
  </si>
  <si>
    <t>2YT14Z61341623</t>
  </si>
  <si>
    <t>THE TEHAMA COUNTY SHERIFF'S OFFICE WILL USE FORKLIFT AT THE DEPARTMENT HELICOPTER HANGER TO PULL THE DEPARTMENT HELICOPTER OUT OF THE HANGER FOR THE DEPUTY PILOT TO FLY POLICE AND SEARCH AND RESCUE MISSIONS.</t>
  </si>
  <si>
    <t xml:space="preserve">
Sales Order #: 2290446741
RTD Screening Code: DOD
Reason for Rejection: YG</t>
  </si>
  <si>
    <t>2YTLQ761492666</t>
  </si>
  <si>
    <t>THESE ITEMS WOULD BE USED BY THE ORANGE COUNTY SHERIFF'S DEPARTMENT. THESE ITEMS COULD BE USED AND ISSUED TO OUR MUTUAL AID DIVISION TO BE USED DURING CRITICAL INCIDENTS AND CALL OUTS. THE ITEMS COULD BE USED TO STORE, CARRY AND DEPLOY LESS LETHAL OPTIONS, ARREST AND CONTROL EQUIPMENT AND OTHER DEPLOYMENT AIDES OR SUPPLIES.</t>
  </si>
  <si>
    <t xml:space="preserve">
Sales Order #: 2290935845
RTD Screening Code: RTD2
Reason for Rejection: YH</t>
  </si>
  <si>
    <t>STRAP,BAG CARRIER,I</t>
  </si>
  <si>
    <t>2YT14Z61553278</t>
  </si>
  <si>
    <t xml:space="preserve">
Sales Order #: 2290935837
RTD Screening Code: RTD2
Reason for Rejection: YH</t>
  </si>
  <si>
    <t>2YT14Z61553277</t>
  </si>
  <si>
    <t xml:space="preserve">
Sales Order #: 2290935846
RTD Screening Code: RTD2
Reason for Rejection: YH</t>
  </si>
  <si>
    <t>2YT14Z61553275</t>
  </si>
  <si>
    <t>THESE NVG'S WILL BE USED BY THE SAN LUIS OBISPO POLICE DEPARTMENT SWAT TEAM IN HOSTAGE RESCUE OPERATIONS, TRAINING, ETC.</t>
  </si>
  <si>
    <t xml:space="preserve">
Sales Order #: 2282252820
RTD Screening Code: DOD
Reason for Rejection: Y9</t>
  </si>
  <si>
    <t>2YTKPM60301778</t>
  </si>
  <si>
    <t>SAN LUIS OBISPO POLICE DEPT (2YTKPM)</t>
  </si>
  <si>
    <t xml:space="preserve">
Sales Order #: 2290729499
RTD Screening Code: DOD
Reason for Rejection: Y9</t>
  </si>
  <si>
    <t>2YT14Z61543073</t>
  </si>
  <si>
    <t xml:space="preserve">
Sales Order #: 2290471011
RTD Screening Code: DOD
Reason for Rejection: Y9</t>
  </si>
  <si>
    <t>2YT14Z61543072</t>
  </si>
  <si>
    <t xml:space="preserve">
Sales Order #: 2290755221
RTD Screening Code: DOD
Reason for Rejection: Y9</t>
  </si>
  <si>
    <t>2YT14Z61543070</t>
  </si>
  <si>
    <t>THE TEHAMA COUNTY SHERIFF'S OFFICE WILL USE 20 FT SHIPPING CONTAINER TO EXPAND DEPARTMENT STORAGE OPTIONS FOR EQUIPMENT AND SUPPLIES USED BY THE DEPUTEIS.</t>
  </si>
  <si>
    <t xml:space="preserve">
Sales Order #: 2290395547
RTD Screening Code: DOD
Reason for Rejection: Y9</t>
  </si>
  <si>
    <t>20 FT SHIPPING CONTAINER</t>
  </si>
  <si>
    <t>DSFRTCO20</t>
  </si>
  <si>
    <t>2YTLQ761562622</t>
  </si>
  <si>
    <t>THIS ITEM WOULD BE USED BY THE ORANGE COUNTY SHERIFF'S DEPARTMENT. THIS ITEM WOULD BE ISSUED TO THE DEPARTMENT'S BOMB SQUAD TO REPLACE OR SUPPLEMENT THE UNIT'S CURRENT OLDER AND OR DAMAGED TCV. THE BOMB SQUAD HAS REQUESTED A SIMILAR ITEM TO USE ON CALLS FOR SERVICE THROUGHOUT THE COUNTY AND POSSIBLY BEYOND</t>
  </si>
  <si>
    <t xml:space="preserve">
Sales Order #: 2290536959
RTD Screening Code: DOD
Reason for Rejection: Y9</t>
  </si>
  <si>
    <t>2YT14Z61492796</t>
  </si>
  <si>
    <t>THE TEHAMA COUNTY SHERIFF'S OFFICE WILL USE RESPIRATOR, AIR FILTER AS REPLACEMENT PARTS FOR DEPUTY PPE MASKS USED DURING FIRE RESPONSE, AND WHILE WORKING ON DIRTY OR DUSTY EVIDENCE.</t>
  </si>
  <si>
    <t xml:space="preserve">
Sales Order #: 2289712904
RTD Screening Code: DOD
Reason for Rejection: YH</t>
  </si>
  <si>
    <t>2YTLQ761421544</t>
  </si>
  <si>
    <t xml:space="preserve">
Sales Order #: 2289712876
RTD Screening Code: DOD
Reason for Rejection: Y9</t>
  </si>
  <si>
    <t>2YTLQ761421552</t>
  </si>
  <si>
    <t>THE TEHAMA COUNTY SHERIFF'S OFFICE WILL USE ROTARY TOOL KIT, ELECTRIC AS TOOLS FOR DEPUTY USE FOR MINOR REPAIRS AND MAINTENANCE ON DEPARTMENT VEHICLES AND EQUIPMENT.</t>
  </si>
  <si>
    <t xml:space="preserve">
Sales Order #: 2290319622
RTD Screening Code: RTD2
Reason for Rejection: Z2</t>
  </si>
  <si>
    <t>ROTARY TOOL KIT,ELECTRIC</t>
  </si>
  <si>
    <t>2YTLQ761412257</t>
  </si>
  <si>
    <t>THIS ITEM WOULD BE USED BY THE ORANGE COUNTY SHERIFF'S DEPARTMENT. THIS ITEM WOULD BE ISSUED TO OUR HARBOR DIVISION, TRAINING DIVISION, OR OUR MUTUAL AID DIVISION. ALL OF THESE LOCATIONS HAVE ASKED FOR SECURED STORAGE SOLUTIONS FOR DUTY EQUIPMENT, MUTUAL AID RESOURCES AND CRITICAL INCIDENT SUPPLIES AND TRAINING AIDS.</t>
  </si>
  <si>
    <t xml:space="preserve">
Sales Order #: 2289964547
RTD Screening Code: DOD
Reason for Rejection: Y9</t>
  </si>
  <si>
    <t>2YT14Z61492058</t>
  </si>
  <si>
    <t xml:space="preserve">
Sales Order #: 2290000645
RTD Screening Code: DOD
Reason for Rejection: Y9</t>
  </si>
  <si>
    <t>2YT14Z61492057</t>
  </si>
  <si>
    <t xml:space="preserve">
Sales Order #: 2288222559
RTD Screening Code: DOD
Reason for Rejection: YH</t>
  </si>
  <si>
    <t>2YT14Z61149790</t>
  </si>
  <si>
    <t>THIS ITEM WILL BE USED BY THE ORANGE COUNTY SHERIFF'S DEPARTMENT. OUR MUTUAL AID DIVISION IS LOOKING FOR A SIMILAR ITEM TO SECURE AND TRANSPORT GEAR, SUPPLIES, VEHICLES AND OTHER RELATED MATERIALS DURING CALL OUTS, CRITICAL INCIDENTS, TRAINING AND COUNTY WIDE MUTUAL AID EVENTS.</t>
  </si>
  <si>
    <t xml:space="preserve">
Sales Order #: 2289338543
RTD Screening Code: DOD
Reason for Rejection: Y9</t>
  </si>
  <si>
    <t>2YT14Z61350928</t>
  </si>
  <si>
    <t>THE TEHAMA COUNTY SHERIFF'S OFFICE  WILL USE TRUCK, HAND AS TOOLS FOR DEPUTIES TO MOVE EQUIPMENT AND SUPPLIES AROUND THE STORAGE FACILITY AND TO LOCATIONS AS NEEDED BY THE MISSION.</t>
  </si>
  <si>
    <t xml:space="preserve">
Sales Order #: 2288020874
RTD Screening Code: DOD
Reason for Rejection: YH</t>
  </si>
  <si>
    <t>2YTLQ761219543</t>
  </si>
  <si>
    <t>ITEMS WILL BE USED BY THE ORANGE COUNTY SHERIFF'S DEPARTMENT FOR THE PURPOSE OF ISSUE TO SWORN LAW ENFORCEMENT PERSONNEL. THE SOCKS WILL BE WORN BY SPECIAL ENFORCEMENT BUREAU PERSONNEL DURING OPERATIONS IN RAINY OR WET ENVIRONMENTS.</t>
  </si>
  <si>
    <t xml:space="preserve">
Sales Order #: 2288159220
RTD Screening Code: DOD
Reason for Rejection: YH</t>
  </si>
  <si>
    <t>HOISERY AND CLOTHING ACCESSORIES, MENS</t>
  </si>
  <si>
    <t>DSMHOSIER</t>
  </si>
  <si>
    <t>2YT14Z61219521</t>
  </si>
  <si>
    <t>THESE ITEMS WOULD BE USED BY THE ORANGE COUNTY SHERIFF'S DEPARTMENT. THESE ITEMS WOULD ISSUED OUT TO OUR SRT DEPUTIES WHO ARE ASSIGNED PATROL RIFLES, OUR SWAT DIVISION FOR THEIR RIFLES OR BE USED ON OUR NEW PEPPERBALL LAUNCHERS THAT ARE NOW EQUIPPED WITH SIGHTS</t>
  </si>
  <si>
    <t xml:space="preserve">
Sales Order #: 2289356808
RTD Screening Code: DOD
Reason for Rejection: Y9</t>
  </si>
  <si>
    <t>COVER,ACOG</t>
  </si>
  <si>
    <t>2YT14Z61421350</t>
  </si>
  <si>
    <t xml:space="preserve">
Sales Order #: 2288582748
RTD Screening Code: DOD
Reason for Rejection: Y9</t>
  </si>
  <si>
    <t>2YTLQ761280305</t>
  </si>
  <si>
    <t xml:space="preserve">
Sales Order #: 2288415413
RTD Screening Code: DOD
Reason for Rejection: Y9</t>
  </si>
  <si>
    <t>2YTHVX61280475</t>
  </si>
  <si>
    <t>THE TEHAMA COUNTY SHERIFF'S OFFICE WILL USE SLING,DRUM LIFTING AS TOOLS TO MOVE AND TRANSPORT 55 GALLON DRUMS USED TO MAINTAIN VEHICLES AT THE SHERIFF'S AUTO SHOP AND PATROL BOATS AT THE BOATING STORAGE FACILITY.</t>
  </si>
  <si>
    <t xml:space="preserve">
Sales Order #: 2288706331
RTD Screening Code: DOD
Reason for Rejection: Y9</t>
  </si>
  <si>
    <t>SLING,DRUM LIFTING</t>
  </si>
  <si>
    <t>2YTLQ761280419</t>
  </si>
  <si>
    <t>THE TEHAMA COUNTY SHERIFF'S OFFICE WILL USE BINDER,LOAD AS TOOLS TO TIE DOWN ITEMS NEEDING TO BE MOVED AND TRANSPORTED.</t>
  </si>
  <si>
    <t xml:space="preserve">
Sales Order #: 2288563116
RTD Screening Code: DOD
Reason for Rejection: Y9</t>
  </si>
  <si>
    <t>BINDER,LOAD</t>
  </si>
  <si>
    <t>2YTLQ761280417</t>
  </si>
  <si>
    <t xml:space="preserve">
Sales Order #: 2288563117
RTD Screening Code: DOD
Reason for Rejection: Y9</t>
  </si>
  <si>
    <t>2YT14Z61280304</t>
  </si>
  <si>
    <t xml:space="preserve">
Sales Order #: 2288563085
RTD Screening Code: DOD
Reason for Rejection: Y9</t>
  </si>
  <si>
    <t>2YT14Z61280294</t>
  </si>
  <si>
    <t xml:space="preserve">
Sales Order #: 2288702228
RTD Screening Code: DOD
Reason for Rejection: Y9</t>
  </si>
  <si>
    <t>2YT14Z61280290</t>
  </si>
  <si>
    <t>BATTERY CHARGER WILL BE USED BY MEMBERS OF THE CLAREMONT POLICE DEPARTMENT TO CHARGE BATTERIES FOR PACBOT ROBOT.</t>
  </si>
  <si>
    <t xml:space="preserve">
Sales Order #: 2288796068
RTD Screening Code: DOD
Reason for Rejection: Y9</t>
  </si>
  <si>
    <t>2YTCE261280450</t>
  </si>
  <si>
    <t>I AM A SERGEANT WITH THE SACRAMENTO COUNTY SHERIFF'S OFFICE. I HAVE BEEN TASKED WITH LOCATING EQUIPMENT AND RESOURCES FOR THE SHERIFF'S OFFICE. THE EQUIPMENT- RESOURCES OBTAINED WILL ENHANCE THE SHERIFF OFFICE'S MAINTENANCE AND RESPONSE CAPABILITIES.</t>
  </si>
  <si>
    <t xml:space="preserve">
Sales Order #: 2288443117
RTD Screening Code: DOD
Reason for Rejection: YG</t>
  </si>
  <si>
    <t>QUADCON25</t>
  </si>
  <si>
    <t>DSCONEXQU</t>
  </si>
  <si>
    <t>2YTKJH61219911</t>
  </si>
  <si>
    <t>SACRAMENTO CSO (2YTKJH)</t>
  </si>
  <si>
    <t>ITEM WILL BE USED BY THE ORANGE COUNTY SHERIFF'S DEPARTMENT FOR THE PURPOSE OF PLACEMENT WITH OUR QUARTERMASTER UNIT. THE TRUCK AND TRAILER WILL BE USED IN THE TRANSPORT OF DEPARTMENT ISSUED EQUIPMENT BETWEEN DIVISIONS AND LOCATIONS WITHIN THE COUNTY AS WELL AS TRANSPORTATION OF TRAILERS AND EQUIPMENT IN MUTUAL AID SITUATIONS THROUGHOUT THE ENTIRE COUNTRY.</t>
  </si>
  <si>
    <t xml:space="preserve">
Sales Order #: 2287785603
RTD Screening Code: DOD
Reason for Rejection: YH</t>
  </si>
  <si>
    <t>2YT14Z61219513</t>
  </si>
  <si>
    <t>THE TEHAMA COUNTY SHERIFF'S OFFICE WILL USE RIVETER KIT, BLIND, HAND AS TOOLS FOR DEPUTIES TO MAKE MINOR REPAIRS ON SHERIFF'S OFFICE BOATS AND OTHER EQUIPMENT TO KEEP IT REPONSE READY.</t>
  </si>
  <si>
    <t>RIVETER KIT,BLIND,HAND</t>
  </si>
  <si>
    <t>2YTLQ761200574</t>
  </si>
  <si>
    <t>THESE OPTICS WILL BE USED BY THE SAN LUIS OBISPO POLICE DEPARTMENT SWAT TEAM IN TRAINING, HOSTAGE RESCUE OPERATIONS, ETC.</t>
  </si>
  <si>
    <t>2YTKPM61280505</t>
  </si>
  <si>
    <t>THE TEHAMA COUNTY SHERIFF'S OFFICE WILL USE BENCH,FOLDING,PREFA AS EMERGENCY SHELTERING SUPPLIES DURING DISASTERS.  BENCH,FOLDING,PREFA WILL BE STORED AT DISASTER STORAGE FACILITIES TO ASSIST WITH ANY EMERGENCY OPERATION CENTER AND HOUSING.
BENCH,FOLDING,PREFA MAY ALSO BE USED IN OUR INVESTIGATIONS UNIT TO FOR DEPUTIES TO USE AS A DESK DURING OFF SITE INVESTIGATIONS.</t>
  </si>
  <si>
    <t xml:space="preserve">
Sales Order #: 2288244198
RTD Screening Code: DOD
Reason for Rejection: Y9</t>
  </si>
  <si>
    <t>BENCH,FOLDING,PREFA</t>
  </si>
  <si>
    <t>2YTLQ761219691</t>
  </si>
  <si>
    <t xml:space="preserve">THE TEHAMA COUNTY SHERIFF'S OFFICE WILL USE TABLE,FOLDING,PREFA AS EMERGENCY SHELTERING SUPPLIES DURING DISASTERS.  TABLE,FOLDING,PREFA WILL BE STORED AT DISASTER STORAGE FACILITIES TO ASSIST WITH ANY EMERGENCY OPERATION CENTER AND HOUSING.
TABLE,FOLDING,PREFA MAY ALSO BE USED IN OUR INVESTIGATIONS UNIT TO FOR DEPUTIES TO USE AS A DESK DURING OFF SITE INVESTIGATIONS.
</t>
  </si>
  <si>
    <t xml:space="preserve">
Sales Order #: 2288244195
RTD Screening Code: DOD
Reason for Rejection: Y9</t>
  </si>
  <si>
    <t>TABLE,FOLDING,PREFA</t>
  </si>
  <si>
    <t>2YTLQ761219690</t>
  </si>
  <si>
    <t>THE TEHAMA COUNTY SHERIFF'S OFFICE WILL USE BENCH, FOLDING, PREFAB AS WORK SPACES AND FEEDING AREAS FOR DEPUTIES DURING DISASTER OPERATIONS, TRAINING AND EXTENDED SEARCH AND RESCUE MISSIONS.</t>
  </si>
  <si>
    <t xml:space="preserve">
Sales Order #: 2288065850
RTD Screening Code: DOD
Reason for Rejection: Y9</t>
  </si>
  <si>
    <t>2YTLQ761219542</t>
  </si>
  <si>
    <t>THE TEHAMA COUNTY SHERIFF'S OFFICE WILL USE TABLE, FOLDING, PREFAB AS WORK SPACES AND FEEDING AREAS FOR DEPUTIES DURING DISASTER OPERATIONS, TRAINING AND EXTENDED SEARCH AND RESCUE MISSIONS.</t>
  </si>
  <si>
    <t xml:space="preserve">
Sales Order #: 2288065854
RTD Screening Code: DOD
Reason for Rejection: Y9</t>
  </si>
  <si>
    <t>2YTLQ761219541</t>
  </si>
  <si>
    <t>THESE ITEMS WILL BE USED BY THE ORANGE COUNTY SHERIFF'S DEPARTMENT. THESE ITEMS COULD BE ISSUED AND USED BY OUR HARBOR DEPUTIES ON THE BOATS, OUR SEARCH AND RESCUE UNITS DURING CALL OUTS AND TRAINING, OUR SERT DEPUTIES DURING WARRANT SERVICES, SEARCHES AND EVIDENCE COLLECTION.</t>
  </si>
  <si>
    <t xml:space="preserve">
Sales Order #: 2288563081
RTD Screening Code: DOD
Reason for Rejection: Y9</t>
  </si>
  <si>
    <t>2YT14Z61280281</t>
  </si>
  <si>
    <t>THE TEHAMA COUNTY SHERIFF'S OFFICE WILL USE ROTARY TOOL KIT, ELECTRICAL AS TOOLS AND EQUIPMENT FOR DEPUTY USE TO MAKE REPAIRS TO DEPARTMENT VEHICLES AND EQUIPMENT.</t>
  </si>
  <si>
    <t xml:space="preserve">
Sales Order #: 2288158064
RTD Screening Code: DOD
Reason for Rejection: Z2</t>
  </si>
  <si>
    <t>2YTLQ761149565</t>
  </si>
  <si>
    <t>THE TEHAMA COUNTY SHERIFF'S OFFICE WILL USE FLOODLIGHT SET, ELECTRICAL AS CRIME SCENE LIGHTING AND DISASTER RESPONSE LIGHTING DURING PSPS EVENTS, TO PROVIDE LIGHTS FOR DEPUTIES TO WORK IN.</t>
  </si>
  <si>
    <t xml:space="preserve">
Sales Order #: 2287801401
RTD Screening Code: DOD
Reason for Rejection: Z2</t>
  </si>
  <si>
    <t>2YTLQ761149180</t>
  </si>
  <si>
    <t>2YTKJH61149912</t>
  </si>
  <si>
    <t>2YT14Z61280300</t>
  </si>
  <si>
    <t>ITEMS WILL BE USED BY THE ORANGE COUNTY SHERIFF'S DEPARTMENT FOR THE PURPOSE OF PLACEMENT WITHIN OUR QUARTERMASTER UNIT. THEY WILL BE USED TO STORE LESS LETHAL LAUNCHERS AND MUNITIONS PENDING ISSUE TO DIVISIONS WITHIN THE COUNTY.</t>
  </si>
  <si>
    <t xml:space="preserve">
Sales Order #: 2287229018
RTD Screening Code: DOD
Reason for Rejection: YH</t>
  </si>
  <si>
    <t>2YT14Z61078418</t>
  </si>
  <si>
    <t xml:space="preserve">
Sales Order #: 2287224004
RTD Screening Code: DOD
Reason for Rejection: YH</t>
  </si>
  <si>
    <t>2YT14Z61078417</t>
  </si>
  <si>
    <t xml:space="preserve">
Sales Order #: 2287229023
RTD Screening Code: DOD
Reason for Rejection: YH</t>
  </si>
  <si>
    <t>2YT14Z61078416</t>
  </si>
  <si>
    <t xml:space="preserve">
Sales Order #: 2287229031
RTD Screening Code: DOD
Reason for Rejection: YH</t>
  </si>
  <si>
    <t>2YT14Z61078405</t>
  </si>
  <si>
    <t xml:space="preserve">
Sales Order #: 2287223992
RTD Screening Code: DOD
Reason for Rejection: Z2</t>
  </si>
  <si>
    <t>2YT14Z61078413</t>
  </si>
  <si>
    <t>HEADSETS WILL BE USED BY MEMBERS OF THE CLAREMONT POLICE DEPARTMENT FOR USE WITH DEPARTMENT PHONES AND RADIO SYSTEMS.</t>
  </si>
  <si>
    <t xml:space="preserve">
Sales Order #: 2285840414
RTD Screening Code: GSA
Reason for Rejection: YH</t>
  </si>
  <si>
    <t>2YTCE260866727</t>
  </si>
  <si>
    <t xml:space="preserve">
Sales Order #: 2287224012
RTD Screening Code: DOD
Reason for Rejection: Y9</t>
  </si>
  <si>
    <t>2YT14Z61078407</t>
  </si>
  <si>
    <t>FOR USE BY THE MONTEREY PARK POLICE DEPARTMENT TO FACILITATE LOGISTICAL SUPPORT OF LAW ENFORCEMENT OPERATIONS DURING DISASTER RESPONSE, RECOVERY, AND COUNTER TERRORISM EFFORTS AT SPECIAL EVENTS.</t>
  </si>
  <si>
    <t xml:space="preserve">
Sales Order #: 2286934617
RTD Screening Code: DOD
Reason for Rejection: YG</t>
  </si>
  <si>
    <t>2YTHX661007983</t>
  </si>
  <si>
    <t xml:space="preserve">
Sales Order #: 2287223988
RTD Screening Code: DOD
Reason for Rejection: Y9</t>
  </si>
  <si>
    <t>2YT14Z61078411</t>
  </si>
  <si>
    <t>BUCKET TRUCK WILL BE USED BY MEMBERS OF THE CLAREMONT POLICE DEPARTMENT FOR MAINTENANCE OF DEPARTMENT EQUIPMENT AND INSTALLATION OF CAMERA EQUIPMENT USED DURING OPERATIONS.</t>
  </si>
  <si>
    <t xml:space="preserve">
Sales Order #: 2286796063
RTD Screening Code: DOD
Reason for Rejection: Y9</t>
  </si>
  <si>
    <t>2YTCE261007587</t>
  </si>
  <si>
    <t xml:space="preserve">
Sales Order #: 2287283495
RTD Screening Code: DOD
Reason for Rejection: BQ</t>
  </si>
  <si>
    <t>2YTCE261008561</t>
  </si>
  <si>
    <t>ITEM WILL BE USED BY THE ORANGE COUNTY SHERIFF'S DEPARTMENT FOR THE PURPOSE OF PLACEMENT AT OUR MULTI-UNIT TRAINING FACILITY. THE VEHICLE WILL TRANSPORT MEMBERS OF OUR SPECIAL ENFORCEMENT BUREAU ALONG WITH THEIR EQUIPMENT BETWEEN VARIOUS TRAINING LOCATIONS WITHIN THE FACILITY.</t>
  </si>
  <si>
    <t>2YT14Z61078473</t>
  </si>
  <si>
    <t>SAW WILL BE USED BY MEMBERS OF THE CLAREMONT POLICE DEPARTMENT FOR MAINTENANCE OF CITY-OWNED EQUIPMENT.</t>
  </si>
  <si>
    <t xml:space="preserve">
Sales Order #: 2285942620
RTD Screening Code: DOD
Reason for Rejection: YH</t>
  </si>
  <si>
    <t>2YTCE260866710</t>
  </si>
  <si>
    <t>THESE SCOPES WILL BE USED BY THE SAN LUIS OBISPO POLICE DEPT MEMBERS AND SWAT TEAM IN CARRYING OUT HOSTAGE RESCUE OPERATIONS, TRAINING, ETC.</t>
  </si>
  <si>
    <t xml:space="preserve">
Sales Order #: 2286842902
RTD Screening Code: DOD
Reason for Rejection: Y9</t>
  </si>
  <si>
    <t>2YTKPM60937677</t>
  </si>
  <si>
    <t>SAW WILL BE USED BY MEMBERS OF THE CLAREMONT POLICE DEPARTMENT FOR MAINTENANCE OF DEPARTMENT-OWNED EQUIPMENT USED DURING NORMAL OPERATIONS.</t>
  </si>
  <si>
    <t xml:space="preserve">
Sales Order #: 2283350976
RTD Screening Code: DOD
Reason for Rejection: YG</t>
  </si>
  <si>
    <t>2YTCE260513449</t>
  </si>
  <si>
    <t>BATTERY CHARGER WILL BE USED MY MEMBERS OF THE CLAREMONT POLICE DEPARTMENT TO CHARGE BATTERIES USED IN PACBOT 510 USED ON TACTICAL OPERATIONS.</t>
  </si>
  <si>
    <t xml:space="preserve">
Sales Order #: 2286720545
RTD Screening Code: DOD
Reason for Rejection: Y9</t>
  </si>
  <si>
    <t>2YTCE260937401</t>
  </si>
  <si>
    <t>FOR USE BY THE MONTEREY PARK POLICE DEPARTMENT TO FACILITATE LOGISTICAL SUPPORT AND TRANSPORT POLICE PERSONNEL DURING PUBLIC EVENTS SUCH AS OUR CITY LUNAR FESTIVAL WHICH DRAWS APPROXIMATELY 100,000 VISITORS OVER A WEEKEND AND FOR THE UPCOMING 2028 OLYMPICS EVENT SECURITY NEEDS.</t>
  </si>
  <si>
    <t xml:space="preserve">
Sales Order #: 2286796089
RTD Screening Code: DOD
Reason for Rejection: Y9</t>
  </si>
  <si>
    <t>2YTHX661007755</t>
  </si>
  <si>
    <t>FOR USE BY LAW ENFORCEMENT AND RESCUE TEAMS FOR HEARING PROTECTION IN THE FIELD AND FOR TRAINING FOR OFFICER SAFETY AND WELL BEING AT THE RANGE</t>
  </si>
  <si>
    <t>2YTMGW61007979</t>
  </si>
  <si>
    <t>DHS/ICE HSI LONG BEACH (2YTMGW)</t>
  </si>
  <si>
    <t>THESE PEQ15 IR AIMING SYSTEMS WILL BE INSTALLED ON FBI LONG GUNS. THE VISIBLE LASER IS CRITICAL FOR ESCALATION OF FORCE OR USE OF FORCE PROCEDURES. THE SITE HAS BEEN CONTACTED REGARDING THE CONDITION OF THESE ITEMS.</t>
  </si>
  <si>
    <t xml:space="preserve">
Sales Order #: 2290667212
RTD Screening Code: DOD
Reason for Rejection: YG</t>
  </si>
  <si>
    <t>2YTMSD61562897</t>
  </si>
  <si>
    <t>DOJ/FBI PHOENIX (2YTMSD)</t>
  </si>
  <si>
    <t xml:space="preserve">
Sales Order #: 2290580845
RTD Screening Code: DOD
Reason for Rejection: YH</t>
  </si>
  <si>
    <t>2YTLZ861562701</t>
  </si>
  <si>
    <t>THE TOOL KITS WILL BE USED IN THE PINAL COUNTY DRUG ENFORCEMENT DIVISION OF AZ DPS FOR THE STORAGE OF THEIR TOOLS AND SUPPLIES.</t>
  </si>
  <si>
    <t xml:space="preserve">
Sales Order #: 2290973867
RTD Screening Code: GSA
Reason for Rejection: YH</t>
  </si>
  <si>
    <t>2YTJLV61633274</t>
  </si>
  <si>
    <t>TO BE USED AS A SEARCH AND RESCUE VEHICLE BY LAW ENFORCEMENT STAFF.</t>
  </si>
  <si>
    <t>2YTQRP61633099</t>
  </si>
  <si>
    <t>HUALAPAI NATION PD (2YTQRP)</t>
  </si>
  <si>
    <t>2YTQRP61633097</t>
  </si>
  <si>
    <t>NIGHT VISION WILL BE USED IN THE NORTHERN NARCOTICS DIVISION OF AZ DPS.</t>
  </si>
  <si>
    <t>2YTJLV61563293</t>
  </si>
  <si>
    <t>TOOL CABINETS WILL BE USED BY THE SOUTHERN DIVISION OF THE NARCOTICS DIVISION TO STORE THEIR TOOLS AND EQUIPMENT.</t>
  </si>
  <si>
    <t xml:space="preserve">
Sales Order #: 2290973863
RTD Screening Code: DOD
Reason for Rejection: Y9</t>
  </si>
  <si>
    <t>2YTJLV61633168</t>
  </si>
  <si>
    <t>THESE RED DOT PASS THRU OPTICS WILL BE UTILIZED ON FBI SIMUNITIONS M4 FOR TRAINING. THESE OPTICS WILL PROVIDE SAME SYSTEM AS LIVE FIRE WEAPONS ENHANCING FBI TACTICAL TRAINING. THESE OPTICS REPRESENT CONSIDERABLE SAVINGS TO FBI AND I HAVE CONTACTED SITE TO CONFIRM CONDITION OF THESE ITEMS.</t>
  </si>
  <si>
    <t xml:space="preserve">
Sales Order #: 2290729420
RTD Screening Code: DOD
Reason for Rejection: Y9</t>
  </si>
  <si>
    <t>2YTMSD61562891</t>
  </si>
  <si>
    <t>THIS CONTAINER WILL BE USED AT THE DRIVING TRACK FOR SWORN OFFICERS AND OFFICER TRAINING. ENABLING THEM TO HAVE A SECURE PLACE.</t>
  </si>
  <si>
    <t xml:space="preserve">
Sales Order #: 2289405860
RTD Screening Code: DOD
Reason for Rejection: YH</t>
  </si>
  <si>
    <t>CONTAINER EXPANDABL</t>
  </si>
  <si>
    <t>2YTJLV61351164</t>
  </si>
  <si>
    <t>THIS PALMIR 250D THERMAL CAMERA WILL BE PROVIDED FOR USE BY FBI AGENTS DURING INVESTIGATIONS ON VARIOUS US RESERVATIONS. THE THERMAL CAPABILITY WILL ALLOW FOR LOCATION OF MISSING PERSONS, CRIME SCENE EVIDENCE AND PASSIVE SURVEILLANCE OF SUBJECTS. I HAVE CONTACTED THE SITE TO CONFIRM CONDITION OF ITEM.</t>
  </si>
  <si>
    <t>2YTMSD61492895</t>
  </si>
  <si>
    <t>2YTMSD61492894</t>
  </si>
  <si>
    <t>THE FLAGSTAFF POLICE DEPARTMENT IS REQUESTING THIS TOTAL CONTAINMENT VESSEL TO BE USED BY CERTIFIED POLICE OFFICERS ON THE BOMB SQUAD. THIS WILL PROVIDE FOR THE SAFE TRANSPORT OF EXPLOSIVE HAZARDS.</t>
  </si>
  <si>
    <t xml:space="preserve">
Sales Order #: 2290580851
RTD Screening Code: DOD
Reason for Rejection: Y9</t>
  </si>
  <si>
    <t>2YTD3461492828</t>
  </si>
  <si>
    <t>FLAGSTAFF POLICE DEPT (2YTD34)</t>
  </si>
  <si>
    <t>THESE WILL BE USED BY THE AZDPS AVIATION DIVISION IN RESCUE OPERATIONS.</t>
  </si>
  <si>
    <t xml:space="preserve">
Sales Order #: 2290580848
RTD Screening Code: DOD
Reason for Rejection: Y9</t>
  </si>
  <si>
    <t>LITTER,ABSORBENT,TH</t>
  </si>
  <si>
    <t>2YTJLV61562746</t>
  </si>
  <si>
    <t>VEHICLE TO BE USED BY SWORN LAW ENFORCEMENT PERSONNEL TO PATROL PARKS AND OFF-ROAD AREAS NEAR THE COLORADO RIVER.</t>
  </si>
  <si>
    <t>2YTN1M61422860</t>
  </si>
  <si>
    <t>2YTQRP61562756</t>
  </si>
  <si>
    <t xml:space="preserve">
Sales Order #: 2287515370
RTD Screening Code: DOD
Reason for Rejection: YG</t>
  </si>
  <si>
    <t>2YTJLV61078694</t>
  </si>
  <si>
    <t xml:space="preserve">
Sales Order #: 2287515369
RTD Screening Code: DOD
Reason for Rejection: YG</t>
  </si>
  <si>
    <t>2YTJLV61078693</t>
  </si>
  <si>
    <t xml:space="preserve">
Sales Order #: 2287514540
RTD Screening Code: DOD
Reason for Rejection: YG</t>
  </si>
  <si>
    <t>2YTJLV61078692</t>
  </si>
  <si>
    <t xml:space="preserve">
Sales Order #: 2287515377
RTD Screening Code: DOD
Reason for Rejection: YG</t>
  </si>
  <si>
    <t>2YTJLV61078691</t>
  </si>
  <si>
    <t>THESE ATVS WILL BE REPAIRED WITH CURRENT FBI PARTS BASE. THIS VEHICLE IS CURRENTLY EMPLOYED BY FBI CIRG. THESE WILL BE PRE STAGED FOR USE DURING WEST COAST OPERATIONS, PRIMARILY FOR ACCESS TO REMOTE AREAS ON FEDERAL RESERVATION LANDS AND OTHER FEDERAL PROPERTY.</t>
  </si>
  <si>
    <t>2YTMSD61280074</t>
  </si>
  <si>
    <t>2YTMSD61280071</t>
  </si>
  <si>
    <t>2YTMSD61280070</t>
  </si>
  <si>
    <t>2YTMSD61280069</t>
  </si>
  <si>
    <t>THIS AVIS 9 NVG WILL BE ISSUED FOR USE BY FBI SWAT. THESE DUAL TUBE NVGS WILL PROVIDE ENHANCED CAPABILITY FOR FBI OPERATIONAL ACTIVITIES IN LOW LIGHT ENVIRONMENTS. THE OWNING SITE HAS BEEN CONTACTED REGARDING CONDITION OF THESE UNITS.</t>
  </si>
  <si>
    <t>2YTMSD61280085</t>
  </si>
  <si>
    <t>2YTMSD61280083</t>
  </si>
  <si>
    <t xml:space="preserve">
Sales Order #: 2287981013
RTD Screening Code: DOD
Reason for Rejection: Y9</t>
  </si>
  <si>
    <t>2YTJLV61149224</t>
  </si>
  <si>
    <t xml:space="preserve">
Sales Order #: 2287981015
RTD Screening Code: DOD
Reason for Rejection: Y9</t>
  </si>
  <si>
    <t>2YTJLV61149222</t>
  </si>
  <si>
    <t>YPD REQUESTS THESE ITEMS TO BE USED BY MOBILE FIELD FORCE AND SPECIAL ENFORCEMENT TEAMS TO SECURE PERSONS DURING CIVIL UNREST OR OTHER EVENTS WHERE THE NUMBER OF DETAINED PERSONS EXCEEDS THE NUMBER OF HANDCUFFS CARRIED BY OFFICERS.</t>
  </si>
  <si>
    <t xml:space="preserve">
Sales Order #: 2285861904
RTD Screening Code: DOD
Reason for Rejection: YD</t>
  </si>
  <si>
    <t>2YTN1M60866555</t>
  </si>
  <si>
    <t>THE TUCSON POLICE DEPARTMENT IS REQUESTING THESE CASES TO BE USED BY DETECTIVES AND PATROL OFFICERS FOR STORING ITEMS SUCH AS SEARCH WARRANT KITS AND OTHER EQUIPMENT USED IN THE OFFICIAL DUTIES OF THE DEPARTMENT</t>
  </si>
  <si>
    <t xml:space="preserve">
Sales Order #: 2278001103
RTD Screening Code: DOD
Reason for Rejection: Y9</t>
  </si>
  <si>
    <t>2YTLZ853257012</t>
  </si>
  <si>
    <t>THE TUCSON POLICE DEPARTMENT IS REQUESTING THIS ITEM TO BE USED FOR EYE PROTECTION FOR OFFICERS OPERATING OFF ROAD VEHICLES AS WELL AS OFFICERS CONDUCTING TRAINING INVOLVING SIMULATED MUNITIONS AT THE FIREARMS RANGE.</t>
  </si>
  <si>
    <t xml:space="preserve">
Sales Order #: 2285861898
RTD Screening Code: GSA
Reason for Rejection: YG</t>
  </si>
  <si>
    <t>2YTLZ860795907</t>
  </si>
  <si>
    <t>THE CAMP VERDE MARSHAL'S OFFICE WOULD LIKE TO ACQUIRE THIS TRAILER FOR TRANSPORTATION OF MATERIALS AND SMALL UTILITY VEHICLE'S THROUGH THE TOWN OF CAMP VERDE FOR LAW ENFORCEMENT RELATED OPERATIONS</t>
  </si>
  <si>
    <t>2YTPFF61008031</t>
  </si>
  <si>
    <t>CAMP VERDE MARSHALS OFFICE (2YTPFF)</t>
  </si>
  <si>
    <t>THE SHERIDAN POLICE DEPARTMENT WILL USE THESE CAMERA LENS TO HELP DOCUMENT CRIME SCENES INVOLVING DOMESTIC TERRORISM, NARCOTICS INCIDENTS, AND ACTIVE KILLER INCIDENTS.  THESE WILL BE USED FOR LAW ENFORCEMENT PURPOSES ONLY.</t>
  </si>
  <si>
    <t>2YTK1461774690</t>
  </si>
  <si>
    <t>SHERIDAN POLICE DEPT (2YTK14)</t>
  </si>
  <si>
    <t>THE SHERIDAN POLICE DEPARTMENT WILL USE THESE CAMERAS TO DOCUMENT CRIME SCENES OF DOMESTIC TERRORISM, NARCOTICS INVESTIGATIONS, AND ACTIVE KILLER SITUATIONS.  THESE WILL BE USED FOR LAW ENFORCEMENT PURPOSES ONLY.</t>
  </si>
  <si>
    <t>2YTK1461774692</t>
  </si>
  <si>
    <t>THE SHERIDAN POLICE DEPARTMENT WILL USE THESE CAMERA FLASHES TO DOCUMENT THE CRIME SCENE AT DOMESTIC TERRORIST INCIDENTS, NARCOTIC SCENES, AND ACTIVE KILLER SITUATIONS.  THESE WILL BE USED FOR LAW ENFORCEMENT PURPOSES ONLY.</t>
  </si>
  <si>
    <t>2YTK1461774691</t>
  </si>
  <si>
    <t>THE SHERIDAN POLICE DEPARTMENT IS REQUESTING THE MULTIMETERS TO USE FOR THE UPKEEP AND MAINTENANCE OF POLICE DEPARTMENT PROPERTY AND EQUIPMENT.  THE EQUIPMENT WILL BE USED FOR LAW ENFORCEMENT PURPOSES ONLY.</t>
  </si>
  <si>
    <t>CYCLE- LEAs are not authorized to requisition from the GSA cycle.</t>
  </si>
  <si>
    <t>2YTK1461704199</t>
  </si>
  <si>
    <t>THE BELLA VISTA POLICE DEPARTMENT WOULD UTILIZE THIS MOTORCYCLE FOR SEARCH AND RESCUE INCIDENTS AND EMERGENCY TRAIL RESPONSE. THIS EQUIPMENT WILL BE USED FOR LAW ENFORCEMENT PURPOSES ONLY.</t>
  </si>
  <si>
    <t>2YTA2S61704128</t>
  </si>
  <si>
    <t>BELLA VISTA PD (2YTA2S)</t>
  </si>
  <si>
    <t>2YTA2S61704126</t>
  </si>
  <si>
    <t>2YTA2S61704124</t>
  </si>
  <si>
    <t>THE SHERIDAN POLICE DEPARTMENT WILL ISSUE THESE FIRST AID KITS TO OFFICERS WHO PERFORM DUTIES SUCH AS SEARCH AND RESCUE OPERATIONS, RESPONDING TO ACTIVE KILLER INCIDENTS, INVESTIGATING NARCOTICS OPERATIONS, AND RESPONDING TO COUNTER TERRORISM EVENTS.  THESE FIRST AID KITS WOULD BE USED TO SAVE LIVES IF NEEDED.  THIS WILL BE USED FOR LAW ENFORCEMENT PURPOSES ONLY.</t>
  </si>
  <si>
    <t>2YTK1461773963</t>
  </si>
  <si>
    <t>FOR POLICE USE ONLY. MEDICAL KITS WILL BE PLACED IN ALL PATROL VEHICLES AND POLICE RESPONSE VEHICELS FOR USE IN MEDICAL SITUATIONS. FOR POLICE USE.</t>
  </si>
  <si>
    <t>2YTJWR61773989</t>
  </si>
  <si>
    <t>PRAIRIE GROVE POLICE DEPT (2YTJWR)</t>
  </si>
  <si>
    <t>USED BY US MARSHALS FUGITIVE TASK FORCE</t>
  </si>
  <si>
    <t>2YTMU161633534</t>
  </si>
  <si>
    <t>DOJ/USMS AR LITTLE ROCK (2YTMU1)</t>
  </si>
  <si>
    <t>TO BE USED BY US MARSHALS FOR CIVIL DISOBEDIENCE, CROWD CONTROL AND FUGITIVE OPERATIONS IN LARGE RURAL AREAS</t>
  </si>
  <si>
    <t>2YTMU161562734</t>
  </si>
  <si>
    <t>TO BE USED BY US MARSHALS FUGITIVE TASK FORCE</t>
  </si>
  <si>
    <t>2YTMU161562741</t>
  </si>
  <si>
    <t>2YTMU161562736</t>
  </si>
  <si>
    <t>TO BE USED BY US MARSHALS FUGITIVE TASK FORCE FOR OVERWATCH.</t>
  </si>
  <si>
    <t>2YTMU161351194</t>
  </si>
  <si>
    <t>TO BE USED FOR US MARSHALS FUGITIVE TASK FORCE AND CIVIL DISOBEDIENCE.</t>
  </si>
  <si>
    <t>2YTMU161350897</t>
  </si>
  <si>
    <t>TO BE USED BY THE US MARSHALS FUGITIVE TASK FORCE AND FOR CIVIL DISOBEDIENCE.</t>
  </si>
  <si>
    <t>2YTMU161280575</t>
  </si>
  <si>
    <t>TO BE USED BY THE US MARSHALS FUGITIVE TASK FORCE AND FOR CROWD CONTROL.</t>
  </si>
  <si>
    <t>2YTMU161280415</t>
  </si>
  <si>
    <t>USED BY US MARSHALS FOR CIVIL DISOBEDIENCE, CROWD CONTROL AND FUGITIVE TASK FORCE OPERATIONS</t>
  </si>
  <si>
    <t>2YTMU161219704</t>
  </si>
  <si>
    <t>TO BE USED FOR US MARSHALS FUGITIVE TASK FORCE</t>
  </si>
  <si>
    <t>RIFLESCOPE</t>
  </si>
  <si>
    <t>2YTMU161219608</t>
  </si>
  <si>
    <t>THESE WOULD BE USED FOR US MARSHALS FUGITIVE TASK FORCE FOR CIVIL DISOBEDIENCE AND FUGITIVE OPERATIONS.</t>
  </si>
  <si>
    <t>2YTMU161148993</t>
  </si>
  <si>
    <t>TO BE USED FOR US MARSHALS FUGITIVE TASK FORCE OPERATIONS</t>
  </si>
  <si>
    <t>2YTMU161219606</t>
  </si>
  <si>
    <t>THE MILLER COSO WILL USE THIS ITEM FOR EMERGENCY RESPONSE, DISASTER PREPAREDNESS, AND TRAINING USE.
THE ITEM WILL BE USED FOR LAW ENFORCEMENT USE ONLY.</t>
  </si>
  <si>
    <t>2YTHR061008808</t>
  </si>
  <si>
    <t>THE MILLER COSO WILL USE THIS ITEM FOR RANGE TRAINING AND EMERGENCY RESPONSE. THE ITEM WILL BE USED FOR LAW ENFORCEMENT USE ONLY.</t>
  </si>
  <si>
    <t>2YTHR061008807</t>
  </si>
  <si>
    <t>WEBB PD WILL USE TO TRANSPORT POLICE TRAINEES DURING TRAINING AS WELL AS A RELOCATION VEHICLE FOR PEOPLE AFFECTED BY WEATHER OR MASS CASUALTY EVENTS.</t>
  </si>
  <si>
    <t xml:space="preserve">
Sales Order #: 2291077972
RTD Screening Code: RTD2
Reason for Rejection: YH</t>
  </si>
  <si>
    <t>BUS,MOTOR</t>
  </si>
  <si>
    <t>2YTRL461351211</t>
  </si>
  <si>
    <t xml:space="preserve">
Sales Order #: 2292145727
RTD Screening Code: DOD
Reason for Rejection: Y9</t>
  </si>
  <si>
    <t>2YTL1561844423</t>
  </si>
  <si>
    <t xml:space="preserve">
Sales Order #: 2292145726
RTD Screening Code: DOD
Reason for Rejection: Y9</t>
  </si>
  <si>
    <t>2YTL1561844420</t>
  </si>
  <si>
    <t xml:space="preserve">
Sales Order #: 2292049515
RTD Screening Code: DOD
Reason for Rejection: Y9</t>
  </si>
  <si>
    <t>2YTL1561844419</t>
  </si>
  <si>
    <t>WEBB PD WILL USE THIS EQUIPMENT TO MOVE HEAVY EQUIPMENT, SUCH AS EXCAVATORS FOR TREE CLEAN UP AND RESCUE EQUIPMENT THAT CAN'T BE MOVED WITH CONVENTUAL TRAILERS DURING NATURAL DISASTERS.</t>
  </si>
  <si>
    <t xml:space="preserve">
Sales Order #: 2291963066
RTD Screening Code: DOD
Reason for Rejection: YH</t>
  </si>
  <si>
    <t>2YTRL461774205</t>
  </si>
  <si>
    <t>TPD REQUEST THIS CONTAINER TO USE IN STORAGE OUR RANGE EQUIPMENT TO KEEP IT OUT OF THE WEATHER AND IN GOOD CONDITION FOR OUR OFFICERS TO BE ABLE TO USE WHEN NEEDED FOR TRAINING TO KEEP THEIR SKILLS UP TO DATE AND READY TO RESPOND TO ACTS OF TERROR OR MASS CASUSALTY.</t>
  </si>
  <si>
    <t xml:space="preserve">
Sales Order #: 2292234289
RTD Screening Code: DOD
Reason for Rejection: Y9</t>
  </si>
  <si>
    <t>2YTL1561774626</t>
  </si>
  <si>
    <t>TPD REQUEST THESE THERMOMETER FOR OUR OFFICERS TO CARRY DURING THEIR SHIFTS TO USE IN CASE EMERGENCY FIRST AID IS NEEDED FOR THEMSELVES OR OTHERS DURING TERRORIST OR MASS CASUALTY EVENTS.</t>
  </si>
  <si>
    <t xml:space="preserve">
Sales Order #: 2291680871
RTD Screening Code: DOD
Reason for Rejection: Y9</t>
  </si>
  <si>
    <t>THERMOMETER,CLINICA</t>
  </si>
  <si>
    <t>2YTL1561773986</t>
  </si>
  <si>
    <t xml:space="preserve">
Sales Order #: 2291680879
RTD Screening Code: DOD
Reason for Rejection: Y9</t>
  </si>
  <si>
    <t>2YTL1561773985</t>
  </si>
  <si>
    <t>BUTLER COUNTY SHERIFF'S OFFICE WILL USE THIS TRAILER TO HAUL EQUIPMENT, FOR NATURAL DISASTERS, EMERGENCIES, AND ANY OTHER TIME EQUIPMENT IS NEEDED.</t>
  </si>
  <si>
    <t xml:space="preserve">
Sales Order #: 2291970579
RTD Screening Code: DOD
Reason for Rejection: Y9</t>
  </si>
  <si>
    <t>2YTBQJ61774189</t>
  </si>
  <si>
    <t>BUTLER CSO (2YTBQJ)</t>
  </si>
  <si>
    <t>THE ABBEVILLE POLICE DEPT. NEEDS AN AIR-CONDITIONED UTILITY TRAILER TO PROVIDE LAW ENFORCEMENT WITH A MOBILE, CLIMATE-CONTROLLED SPACE FOR COMMAND OPERATIONS, EVIDENCE PROCESSING, EQUIPMENT STORAGE, AND OFFICER SUPPORT DURING EMERGENCIES AND SPECIAL EVENTS. IT PROTECTS SENSITIVE EQUIPMENT FROM HEAT, IMPROVES OFFICER COMFORT, AND ENHANCES OPERATIONAL EFFICIENCY AND EMERGENCY RESPONSE CAPABILITIES</t>
  </si>
  <si>
    <t xml:space="preserve">
Sales Order #: 2291963070
RTD Screening Code: DOD
Reason for Rejection: Y9</t>
  </si>
  <si>
    <t>2YTAAF61774212</t>
  </si>
  <si>
    <t>ABBEVILLE POLICE DEPT (2YTAAF)</t>
  </si>
  <si>
    <t>OUR DEPARTMENT WOULD UTILIZE THIS EQUIPMENT FPR INTERNAL TRAINING AND FOR ADVANCED TRAINING FOR POLICE IN OTHER DEPARTMENTS</t>
  </si>
  <si>
    <t xml:space="preserve">
Sales Order #: 2290174048
RTD Screening Code: DOD
Reason for Rejection: YF</t>
  </si>
  <si>
    <t>SUIT,RIOT TRAINING</t>
  </si>
  <si>
    <t>2YTQTY61421964</t>
  </si>
  <si>
    <t xml:space="preserve">
Sales Order #: 2290165935
RTD Screening Code: DOD
Reason for Rejection: YF</t>
  </si>
  <si>
    <t>2YTQTY61421689</t>
  </si>
  <si>
    <t xml:space="preserve">
Sales Order #: 2291635464
RTD Screening Code: DOD
Reason for Rejection: Y9</t>
  </si>
  <si>
    <t>TOOL KIT,PIPEFITTER'S</t>
  </si>
  <si>
    <t>2YTL1561844316</t>
  </si>
  <si>
    <t>THE ABBEVILLE POLICE DEPARTMENT COULD UTILIZE A LIGHT ARMORED VEHICLE TO SAFELY RESPOND TO HIGH-RISK SITUATIONS, PROVIDING ENHANCED PROTECTION FOR OFFICERS AND CIVILIANS DURING ACTIVE THREATS, NATURAL DISASTERS, AND RESUE OPERATIONS</t>
  </si>
  <si>
    <t>2YTAAF61844397</t>
  </si>
  <si>
    <t>TRAFFORD POLICE DEPARTMENT WOULD USE THIS IN CONJUNCTION WITH FIREARMS TRAINING AND WITH OUR 2 SNIPERS IN THE DEPARTMENT.</t>
  </si>
  <si>
    <t xml:space="preserve">
Sales Order #: 2289556805
Reason for Rejection: YG</t>
  </si>
  <si>
    <t>2YTLXK61421453</t>
  </si>
  <si>
    <t>ONEONTA POLICE DEPARTMENT WILL USE THIS MOTORCYCLE DURING ERAD OPERATIONS HELPING OPD FIND ILLEGAL DRUG GROWS.  THIS WILL HELP US MAKE ARREST AND DESTROY ILLEGAL DRUG GROWS. IT COULD ALSO BE USED IN SEARCH AND RESCUE MISSIONS THROUGHOUT OUR VAST WOODLAND AREAS.</t>
  </si>
  <si>
    <t xml:space="preserve">
Sales Order #: 2291805717
RTD Screening Code: GSA
Reason for Rejection: Y9</t>
  </si>
  <si>
    <t>2YT13U61704196</t>
  </si>
  <si>
    <t xml:space="preserve">
Sales Order #: 2291805716
RTD Screening Code: GSA
Reason for Rejection: Y9</t>
  </si>
  <si>
    <t>2YT13U61704194</t>
  </si>
  <si>
    <t xml:space="preserve">
Sales Order #: 2291987918
RTD Screening Code: GSA
Reason for Rejection: Y9</t>
  </si>
  <si>
    <t>2YT13U61704192</t>
  </si>
  <si>
    <t>OUR DEPARTMENT HAS RECENTLY ACQUIRED PROPERTY FROM COLUMBUS AND WILL BE GOING TO PICK SAME UP AND WOULD LIKE TO GET THIS TRAILER FOR TRANSPORTING SAME AND TRANSPORTING FUTURE EQUIPMENT AND ASSISTING WITH EVENTS ON CAMPUS TRANSPORTING BARRICADES AND SUCH THUS ENHANCING SAFETY.</t>
  </si>
  <si>
    <t xml:space="preserve">
Sales Order #: 2291243647
RTD Screening Code: GSA
Reason for Rejection: Y9</t>
  </si>
  <si>
    <t>2YTQTY61703564</t>
  </si>
  <si>
    <t>LEVEL PLAINS POLICE DEPT WOULD USE COMPUTERS TO REPLACE THOSE NEEDED IN POLICE VEHICLES</t>
  </si>
  <si>
    <t xml:space="preserve">
Sales Order #: 2291595396
Reason for Rejection: Y9</t>
  </si>
  <si>
    <t>2YTRNR61703813</t>
  </si>
  <si>
    <t>THIS TRACTOR WILL BE USED BY THE FULTONDALE PD TO KEEP THE GRASS CUT ON THE FIREARMS RANGE PROPERTY AND FOR NATURAL DISASTER PREPAREDNESS,</t>
  </si>
  <si>
    <t xml:space="preserve">
Sales Order #: 2291192722
RTD Screening Code: GSA
Reason for Rejection: Y9</t>
  </si>
  <si>
    <t>2YTEEJ61703383</t>
  </si>
  <si>
    <t>ONEONTA POLICE DEPARTMENT WILL USE THIS TRAILER TO HELP OPD PICK UP ITEMS FROM DLA.  IT WILL ALSO BE USED AS A INCIDENT COMMAND TRAILER FOR WEATHER AND CRIMINAL EVENTS.</t>
  </si>
  <si>
    <t xml:space="preserve">
Sales Order #: 2291595384
RTD Screening Code: DOD
Reason for Rejection: Y9</t>
  </si>
  <si>
    <t>2YT13U61773742</t>
  </si>
  <si>
    <t>NEEDING EQUIPMENT FOR OUR LOCAL AIRPORT. WE ARE PLANNING A EXPANSION,</t>
  </si>
  <si>
    <t>No indication of Law Enforcement Purpose nor use.</t>
  </si>
  <si>
    <t>2YTAAF61774112</t>
  </si>
  <si>
    <t>LEVEL PLAINS POLICE DEPT WOULD UTILIZE TRAILER TO HAUL LARGE LOADS AKING WITH ITEMS AWARDED THROUGH THE 1033 PROGRAM</t>
  </si>
  <si>
    <t xml:space="preserve">
Sales Order #: 2290536962
RTD Screening Code: DOD
Reason for Rejection: YH</t>
  </si>
  <si>
    <t>2YTRNR61492749</t>
  </si>
  <si>
    <t>THIS WOULD BE USED BY LAW ENFORCEMENT AT JEFFERSON COUNTY SHERIFF'S OFFICE TO TEMPORARILY STORE SEIZED EVIDENCE AND PROPERTY</t>
  </si>
  <si>
    <t xml:space="preserve">
Sales Order #: 2289096378
RTD Screening Code: DOD
Reason for Rejection: YH</t>
  </si>
  <si>
    <t>2YTFX461350852</t>
  </si>
  <si>
    <t>WE ARE AWARE WE HAVE AN OVERDUE ITEM IN FEPMIS. WE ARE STILL WAITING ON THE ITEM TO ARRIVE FROM A 30 TO 90 DAY SHIPPING. TPD REQUEST THIS TRAILER TO USE IN DEPLOYING EQUIPMENT DURING TERRORIST AND MASS CASUALTY EVENTS, HOSTAGE SITUATIONS AND SEVERE WEATHER SO THAT OFFICERS CAN HANDLE THE CALLS IN THE SAFEST MANNER POSSIBLE.</t>
  </si>
  <si>
    <t>2YTL1561773799</t>
  </si>
  <si>
    <t>2YTL1561773798</t>
  </si>
  <si>
    <t>LEVEL PLAINS POLICE DEPTARTMENT WOULD USE TO MOVE INDIVIDUALSDURING NATURAL DIASTERS, POLICE EVENTS AND CHECK POINTS</t>
  </si>
  <si>
    <t xml:space="preserve">
Sales Order #: 2291476194
RTD Screening Code: RTD2
Reason for Rejection: Y9</t>
  </si>
  <si>
    <t>2YTRNR61350981</t>
  </si>
  <si>
    <t>THE BARBOUR COUNTY SERIFF'S OFFICE WILL USE THIS TO STORE AND TRANSPORT OUR TRAINING SUPPLIES.</t>
  </si>
  <si>
    <t xml:space="preserve">
Sales Order #: 2291243646
RTD Screening Code: DOD
Reason for Rejection: Y9</t>
  </si>
  <si>
    <t>2YTAV961703556</t>
  </si>
  <si>
    <t>THE CLARKE COUNTY SHERIFF'S OFFICE WOULD LIKE TO ACQUIRE THIS  EQUIPMENT TO BE UTILIZED FOR HIGH WATER RESCUE. CLARKE COUNTY IS BORDERED BY TWO RIVERS ONE ON THE EAST AND ONE ON THE WEST. FLOODING HIGH WATER AND NATURAL DISASTERS ARE A FREQUENT OCCURRENCE. HAVING THIS EQUIPMENT AVAILABLE WOULD GREATLY ENHANCE OUR AGENCIES CAPABILITIES.</t>
  </si>
  <si>
    <t xml:space="preserve">
Sales Order #: 2291305248
RTD Screening Code: DOD
Reason for Rejection: Y9</t>
  </si>
  <si>
    <t>LIGHTER,AMPHIBIOUS</t>
  </si>
  <si>
    <t>2YTCFW61703622</t>
  </si>
  <si>
    <t>WEBB PD WILL USE THIS TO BUILD AND MAINTAIN RANGE BUILDING.</t>
  </si>
  <si>
    <t xml:space="preserve">
Sales Order #: 2290165942
RTD Screening Code: DOD
Reason for Rejection: YH</t>
  </si>
  <si>
    <t>NAIL</t>
  </si>
  <si>
    <t>2YTRL461492087</t>
  </si>
  <si>
    <t>TPD REQUEST THIS EQUIPMENT FOR OUR OFFICERS TO USE TO STAY PHYSICALLY FIT FOR RESPONDING TO ACTS OF TERROR OR MASS CASUALTY AND FOR DAILY CALLS OF SERVICE</t>
  </si>
  <si>
    <t xml:space="preserve">
Sales Order #: 2291010188
RTD Screening Code: DOD
Reason for Rejection: Y9</t>
  </si>
  <si>
    <t>2YTL1561703523</t>
  </si>
  <si>
    <t>TRAFFORD POLICE DEPARTMENT WOULD USE THIS FOR SURVEILLANCE OF DRUG ACTIVITY. WOULD ALSO USE THIS TO CAPTURE REAL TIME PHOTOS OF NIGHT OPERATIONS.</t>
  </si>
  <si>
    <t xml:space="preserve">
Sales Order #: 2289086325
Reason for Rejection: YH</t>
  </si>
  <si>
    <t>CAMERA KIT WITH INFRARED/NIGHT VISION</t>
  </si>
  <si>
    <t>DSNVCMRKT</t>
  </si>
  <si>
    <t>2YTLXK61280277</t>
  </si>
  <si>
    <t>TRAFFORD POLICE WOULD USE THIS IN TANDEM WITH THE DIESEL SET GENERATOR WE RECEIVED FROM ANNISTON DLA. WOULD BE FOR EMERGENCY PREPAREDNESS TO RUN POLICE STATION AND COMMUNICATIONS.</t>
  </si>
  <si>
    <t xml:space="preserve">
Sales Order #: 2288956698
Reason for Rejection: YH</t>
  </si>
  <si>
    <t>INVERTER,POWER,STAT</t>
  </si>
  <si>
    <t>2YTLXK61280275</t>
  </si>
  <si>
    <t>LEVEL PLAINS POLICE DEPT WOULD UTILIZE COMPUTERS TO UPDATE IN POLICE VEHICLES</t>
  </si>
  <si>
    <t xml:space="preserve">
Sales Order #: 2290165933
RTD Screening Code: DOD
Reason for Rejection: YH</t>
  </si>
  <si>
    <t>2YTRNR61421900</t>
  </si>
  <si>
    <t>LEVEL PLAINS POLICE DEPT WOULD USE THESE TO UPDATE THEIR LAPTOPS IN THEIR POLICE CARD FOR DAILY USAGE IN THEIR JOBS.</t>
  </si>
  <si>
    <t xml:space="preserve">
Sales Order #: 2290174040
RTD Screening Code: DOD
Reason for Rejection: YH</t>
  </si>
  <si>
    <t>2YTRNR61421651</t>
  </si>
  <si>
    <t>THE ATTALLA POLICE DEPARTMENT REQUIRES A BUCKET BOOM TRUCK TO SAFELY MAINTAIN AND UPGRADE OUR FIRING RANGE. THIS EQUIPMENT WILL ALLOW PERSONNEL TO SERVICE OVERHEAD LIGHTING, INSTALL TARGET SYSTEMS, AND CONDUCT REPAIRS WITHOUT UNNECESSARY RISK. ACQUIRING THIS TRUCK IMPROVES OFFICER SAFETY, ENSURES CONSISTENT TRAINING CONDITIONS, AND REDUCES LONG-TERM MAINTENANCE COSTS.</t>
  </si>
  <si>
    <t xml:space="preserve">
Sales Order #: 2289210573
RTD Screening Code: DOD
Reason for Rejection: YH</t>
  </si>
  <si>
    <t>2YTAQS61350863</t>
  </si>
  <si>
    <t>ATTALLA POLICE DEPT (2YTAQS)</t>
  </si>
  <si>
    <t xml:space="preserve">WE ARE AWARE WE HAVE AN OVERDUE ITEM IN FEPMIS. WE ARE STILL WAITING ON THE ITEM TO ARRIVE FROM A 30 TO 90 DAY SHIPPING. TPD REQUEST THIS EQUIPMENT FOR OUR OFFICERS TO USE TO STAY PHYSICALLY FIT FOR RESPONDING TO ACTS OF TERROR OR MASS CASUALTY AND FOR DAILY CALLS OF SERVICE. 
</t>
  </si>
  <si>
    <t xml:space="preserve">
Sales Order #: 2291243657
RTD Screening Code: DOD
Reason for Rejection: Y9</t>
  </si>
  <si>
    <t>2YTL1561703563</t>
  </si>
  <si>
    <t>THE CAMPUS POLICE DEPARTMENT NEEDS AND WOULD UTILIZE THIS PIECE OF EQUIPMENT DURING ON CAMPUS SPORTING EVENTS AND OTHERS TO LIGHT UP THE ENTRY POINTS FOR THE SAFETY OF OFFICERS AND THE PUBLIC.</t>
  </si>
  <si>
    <t xml:space="preserve">
Sales Order #: 2290172299
RTD Screening Code: DOD
Reason for Rejection: YG</t>
  </si>
  <si>
    <t>2YTQTY61492255</t>
  </si>
  <si>
    <t xml:space="preserve">TO BE ISSUES TO OFFICERS FOR LAW ENFORCEMENT PURPOSES.  WILL BE USED FOR PATROL RIFLES.  DEPARTMENT DOES NOT HAVE THE ABILITY TO PURCHASE ITEMS LIKE THIS AS BUDGET DOES NOT ALLOW.  
</t>
  </si>
  <si>
    <t>2YT0D661633587</t>
  </si>
  <si>
    <t>HIGHLAND LAKE POLICE DEPT (2YT0D6)</t>
  </si>
  <si>
    <t xml:space="preserve">WE ARE AWARE WE HAVE AN OVERDUE ITEM IN FEPMIS. WE ARE STILL WAITING ON THE ITEM TO ARRIVE FROM A 30 TO 90 DAY SHIPPING. TPD REQUEST THIS EQUIPMENT FOR OUR OFFICERS TO USE TO STAY PHYSICALLY FIT FOR RESPONDING TO ACTS OF TERROR OR MASS CASUALTY AND FOR DAILY CALLS OF SERVICE. 
</t>
  </si>
  <si>
    <t>ELLIPTICAL EXERCISE</t>
  </si>
  <si>
    <t>2YTL1561563220</t>
  </si>
  <si>
    <t>TPD REQUEST THESE TRAILERS TO USE IN DEPLOYING EQUIPMENT IN RESPONSE TO AND PROTECTION FROM ACTS OF TERROR AND MASS CASUALTY.</t>
  </si>
  <si>
    <t xml:space="preserve">
Sales Order #: 2290321976
RTD Screening Code: DOD
Reason for Rejection: Y9</t>
  </si>
  <si>
    <t>2YTL1561562614</t>
  </si>
  <si>
    <t>WE ARE AWARE WE HAVE AN OVERDUE ITEM IN FEPMIS. WE ARE STILL WAITING ON THE ITEM TO ARRIVE FROM A 30 TO 90 DAY SHIPPING. 
TPD REQUEST THESE FIRST AID KITS FOR OUR OFFICERS TO CARRY DURING THEIR SHIFTS TO USE IN CASE EMERGENCY FIRST AID IS NEEDED FOR THEMSELVES OR OTHERS DURING TERRORIST OR MASS CASUALTY EVENTS.</t>
  </si>
  <si>
    <t>2YTL1561553273</t>
  </si>
  <si>
    <t>WE ARE AWARE WE HAVE AN OVERDUE ITEM IN FEPMIS. WE ARE STILL WAITING ON THE ITEM TO ARRIVE FROM A 30 TO 90 DAY SHIPPING. TPD REQUEST THESE FIELD MEDICAL KITS FOR OUR OFFICERS TO CARRY DURING THEIR SHIFTS TO USE IN CASE EMERGENCY FIRST AID IS NEEDED FOR THEMSELVES OR OTHERS DURING TERRORIST OR MASS CASUALTY EVENTS.</t>
  </si>
  <si>
    <t>2YTL1561553271</t>
  </si>
  <si>
    <t>THIS WOULD BE USED BY LAW ENFORCEMENT AT THE JEFFERSON COUNTY SHERIFF'S OFFICE CORRECTIONS DIVISION TO STORE REFRIGERATED GOODS WHILE THE CURRENT REFRIGERATOR IS BEING REPAIRED</t>
  </si>
  <si>
    <t xml:space="preserve">
Sales Order #: 2290796879
RTD Screening Code: DOD
Reason for Rejection: Y9</t>
  </si>
  <si>
    <t>2YTFX461562798</t>
  </si>
  <si>
    <t>OUR DEPARTMENT COULD UTILIZE THIS VEHICLE FOR TRANSPORTING MATERIALS SUCH AS WOOD BOARDS AND PLYWOOD TO OUR FIRING RANGE FOR TRAINING PURPOSES.</t>
  </si>
  <si>
    <t xml:space="preserve">
Sales Order #: 2289578261
RTD Screening Code: DOD
Reason for Rejection: YH</t>
  </si>
  <si>
    <t>2YTCCH61421243</t>
  </si>
  <si>
    <t>CHILDERSBURG POLICE DEPT (2YTCCH)</t>
  </si>
  <si>
    <t>TO BE USED BY THE ASHVILLE POLICE DEPARTMENT FOR PHOTOGRAPHING EVIDENCE AND CRIME SCENES.</t>
  </si>
  <si>
    <t xml:space="preserve">
Sales Order #: 2285864011
RTD Screening Code: DON
Reason for Rejection: YH</t>
  </si>
  <si>
    <t>2YTN5W60866564</t>
  </si>
  <si>
    <t>ASHVILLE POLICE DEPT (2YTN5W)</t>
  </si>
  <si>
    <t>WE ARE AWARE WE HAVE AN OVERDUE ITEM IN FEPMIS. WE ARE STILL WAITING ON THE ITEM TO ARRIVE FROM A 30 TO 90 DAY SHIPPING. TPD REQUEST THIS EQUIPMENT FOR OUR OFFICERS TO USE TO STAY PHYSICALLY FIT FOR RESPONDING TO ACTS OF TERROR OR MASS CASUALTY AND FOR DAILY CALLS OF SERVICE.</t>
  </si>
  <si>
    <t>2YTL1561563221</t>
  </si>
  <si>
    <t>TRAFFORD POLICE WOULD USE THESE IN CONJUNCTION WITH EXISTING RADIOS AS THE PORT IS THE SAME WITH OUR EXISTING MICS.</t>
  </si>
  <si>
    <t xml:space="preserve">
Sales Order #: 2290796883
RTD Screening Code: DOD
Reason for Rejection: Y9</t>
  </si>
  <si>
    <t>2YTLXK61633142</t>
  </si>
  <si>
    <t>THE HEADLAND POLICE DEPARTMENT AND OFFICERS WOULD BENEFIT FROM THIS PROPERTY BY HAVING THE PROPER EQUIPMENT TO MAINTAIN PHYSICAL FITTNESS. THIS WOULD ALLOW THEM TO BE IN BETTER SHAPE TO KEEP THEM AND THE CITIZENS SAFE IN TIMES OF NEED.</t>
  </si>
  <si>
    <t xml:space="preserve">
Sales Order #: 2290796884
RTD Screening Code: DOD
Reason for Rejection: Y9</t>
  </si>
  <si>
    <t>2YTE9E61563100</t>
  </si>
  <si>
    <t>WEBB PD WILL USE TO BUILD AND MAINTAIN THE POLICE DEPT GUN RANGE.</t>
  </si>
  <si>
    <t xml:space="preserve">
Sales Order #: 2289637136
RTD Screening Code: DOD
Reason for Rejection: YH</t>
  </si>
  <si>
    <t>2YTRL461351208</t>
  </si>
  <si>
    <t>WEBB PD WILL USE THIS EQUIPMENT TO KEEP OUR DRUG EVIDENCE ROOM DRY TO PREVENT DESTRUCTION OF EVIDENCE.</t>
  </si>
  <si>
    <t>2YTRL461281205</t>
  </si>
  <si>
    <t>WEBB PD WILL USE THIS EQUIPMENT TO REPAIR AND REPLACE MOTORS IN POLICE DEPT FORKLIFTS.</t>
  </si>
  <si>
    <t>DIESEL ENGINES AND COMPONENTS</t>
  </si>
  <si>
    <t>DSENGINE2</t>
  </si>
  <si>
    <t>2YTRL461281204</t>
  </si>
  <si>
    <t>THE MORGAN COUNTY SHERIFF'S OFFICE SWAT TEAM WILL USE THIS PROPERTY FOR HIGH RISK WARRANT SERVICE, HOSTAGE RESCUE, BARRICADED SUBJECTS, AND SEARCH AND RESCUE. 
CONTACT WITH DRMO MADE. CONDITION F DUE TO THEIR INABILITY TO TEST. BATTERIES REMOVED, NO PAPERWORK TO DETERMINE REPAIRABILITY.</t>
  </si>
  <si>
    <t xml:space="preserve">
Sales Order #: 2285152364
RTD Screening Code: DOD
Reason for Rejection: Y9</t>
  </si>
  <si>
    <t>2YTPBK60654375</t>
  </si>
  <si>
    <t>MORGAN COUNTY SHERIFF'S OFFICE (2YTPBK)</t>
  </si>
  <si>
    <t>TPD REQUEST THIS EQUIPMENT FOR OUR OFFICERS TO USE TO STAY PHYSICALLY FIT FOR RESPONDING TO ACTS OF TERROR OR MASS CASUALTY AND FOR DAILY CALLS OF SERVICE.</t>
  </si>
  <si>
    <t>Rejected by EBB00531.  Comments: Overdue items in Receipt que in FEPMIS.</t>
  </si>
  <si>
    <t>2YTL1561563061</t>
  </si>
  <si>
    <t>2YTL1561563060</t>
  </si>
  <si>
    <t>WEBB PD WILL USE THIS EQUIPMENT FOR ACTIVE SHOOTER AND SWIFT RESPONSE TEAM'S VEHICLE.</t>
  </si>
  <si>
    <t>2YTRL461281206</t>
  </si>
  <si>
    <t>TO AID IN THE APPREHENSION OF FUGITIVES IN TREACHEROUS AREAS AND OR OTHER AREAS HARD TO REACH BY A NORMAL AUTOMOBILE.</t>
  </si>
  <si>
    <t>2YTBCH61632984</t>
  </si>
  <si>
    <t>BOAZ POLICE DEPT (2YTBCH)</t>
  </si>
  <si>
    <t>WEBB PD WILL USE FOR POLICE DEPT VEHICLE MAINTENANCE.</t>
  </si>
  <si>
    <t xml:space="preserve">
Sales Order #: 2289360301
RTD Screening Code: DOD
Reason for Rejection: YG</t>
  </si>
  <si>
    <t>2YTRL461351229</t>
  </si>
  <si>
    <t>OUR CAMPUS DEPARTMENT WOULD LIKE TO UTILIZE THE EQUIPMENT FOR A MOBILE COMMAND POST.</t>
  </si>
  <si>
    <t xml:space="preserve">
Sales Order #: 2290356199
RTD Screening Code: DOD
Reason for Rejection: Y9</t>
  </si>
  <si>
    <t>2YTQTY61492199</t>
  </si>
  <si>
    <t>LEVEL PLAINS POLICE DEPT WOULD UTILIZE TO TRIM AT PD AND AT THE IMPOUND YARD.</t>
  </si>
  <si>
    <t xml:space="preserve">
Sales Order #: 2290165945
RTD Screening Code: DOD
Reason for Rejection: Y9</t>
  </si>
  <si>
    <t>TRIMMER,WEED</t>
  </si>
  <si>
    <t>2YTRNR61491903</t>
  </si>
  <si>
    <t xml:space="preserve">
Sales Order #: 2288582707
RTD Screening Code: ACCM
Reason for Rejection: YH</t>
  </si>
  <si>
    <t>GARDENING IMPLEMENTS AND TOOLS</t>
  </si>
  <si>
    <t>DSLANDSCP</t>
  </si>
  <si>
    <t>2YTRAR6117JG40</t>
  </si>
  <si>
    <t xml:space="preserve">
Sales Order #: 2287963719
RTD Screening Code: GSA
Reason for Rejection: YH</t>
  </si>
  <si>
    <t>NOZZLE HYDRO-CHEM</t>
  </si>
  <si>
    <t>2YTRAR6106JG35</t>
  </si>
  <si>
    <t xml:space="preserve">
Sales Order #: 2287948629
RTD Screening Code: DOD
Reason for Rejection: YH</t>
  </si>
  <si>
    <t>TANK,LIQUID STORAGE</t>
  </si>
  <si>
    <t>2YTRAR6106JG33</t>
  </si>
  <si>
    <t xml:space="preserve">
Sales Order #: 2287738415
RTD Screening Code: DOD
Reason for Rejection: YH</t>
  </si>
  <si>
    <t>REFRIGERATOR,PREFABRICATED</t>
  </si>
  <si>
    <t>2YTRAR6106JG32</t>
  </si>
  <si>
    <t xml:space="preserve">
Sales Order #: 2287948635
RTD Screening Code: DOD
Reason for Rejection: YH</t>
  </si>
  <si>
    <t>2YTRAR6106JG31</t>
  </si>
  <si>
    <t>THIS EQUIPMENT WILL BE USED FOR OUR SRT TEAM TO ASSIST THEM IN OPERATIONS.</t>
  </si>
  <si>
    <t xml:space="preserve">
Sales Order #: 2289567189
RTD Screening Code: DOD
Reason for Rejection: YH</t>
  </si>
  <si>
    <t>2YTAV961351198</t>
  </si>
  <si>
    <t>WEBB PD WILL USE TO CLEAN AND MAINTAIN OUR PATROL VEHICLES.</t>
  </si>
  <si>
    <t>2YTRL461562729</t>
  </si>
  <si>
    <t>WEBB PD WILL USE THIS EQUIPMENT FOR RESCUE DURING NATURAL DISASTERS AS WELL AS ACTIVE SHOOTER AND WARRANT SITUATIONS.</t>
  </si>
  <si>
    <t>2YTRL461492096</t>
  </si>
  <si>
    <t>WEBB PD WILL USE TO UNLOAD AND LOAD HEAVY EQUIPMENT INSTEAD OF HAVING TO RENT A LIFT BIG ENOUGH TO UNLOAD ITEMS.</t>
  </si>
  <si>
    <t xml:space="preserve">
Sales Order #: 2289637127
RTD Screening Code: DOD
Reason for Rejection: YF</t>
  </si>
  <si>
    <t>2YTRL461421222</t>
  </si>
  <si>
    <t>WEBB PD WILL USE TO FENCE OFF THE POLICE DEPT GUN RANGE.</t>
  </si>
  <si>
    <t xml:space="preserve">
Sales Order #: 2289360302
RTD Screening Code: DOD
Reason for Rejection: YH</t>
  </si>
  <si>
    <t>SL</t>
  </si>
  <si>
    <t>BARBED WIRE</t>
  </si>
  <si>
    <t>2YTRL461351224</t>
  </si>
  <si>
    <t>WEBB PD WILL USE THIS EQUIPMENT TO EXCAVATE AND MAINTAIN WEBB PD'S GUN RANGE.</t>
  </si>
  <si>
    <t xml:space="preserve">
Sales Order #: 2286892670
RTD Screening Code: DOD
Reason for Rejection: YG</t>
  </si>
  <si>
    <t>2YTRL460937646</t>
  </si>
  <si>
    <t>TRAFFORD POLICE WOULD USE THIS IN CONJUNCTION WITH OUR PICK-UP TRUCKS FOR PICKING UP DLA EQUIPMENT. WHERE THAT HITCH WOULD BE SPECIFIC.</t>
  </si>
  <si>
    <t>Rejected by EKH1989.  Comments: This item is used as a pivot on gun mounts, machine gun mounts and tripod mounts for lateral and vertical movement of machine guns, recoilless rifles, and the like..</t>
  </si>
  <si>
    <t>PINTLE, MOUNT</t>
  </si>
  <si>
    <t>2YTLXK61491947</t>
  </si>
  <si>
    <t>DALE COUNTY SHERIFF'S OFFICE IS REQUESTING THESE ILLUMINATORS FOR OUR DEPUTIES TO USE ON THEIR PATROL RIFLES TO ENHANCE SAFETY WHEN CONDUCTING LOWLIGHT OPERATIONS. I CONTACTED SUSQUEHANNA AND THEY STATED THE ITEMS APPEAR TO BE IN GOOD CONDITION BUT CANNOT TEST THE ITEMS.</t>
  </si>
  <si>
    <t>2YTC2861421719</t>
  </si>
  <si>
    <t>WEBB PD WILL USE FOR SPEED ENFORCEMENT AS WELL AS TRAFFIC NOTIFICATION UPDATES SUCH AS DETOURS FOR ACCIDENTS AND HAZARDOUS CONDITIONS.</t>
  </si>
  <si>
    <t xml:space="preserve">
Sales Order #: 2289556802
RTD Screening Code: DOD
Reason for Rejection: Y9</t>
  </si>
  <si>
    <t>2YTRL461421223</t>
  </si>
  <si>
    <t>LEVEL PLAINS POLICE DEPT WOULD USE THESE TO APPREHEND FLEEING SUBJECTS AND OR OTHER CRIMINALS WHO TRY TO ESCAPE ON THEIR VEHICLE.</t>
  </si>
  <si>
    <t xml:space="preserve">
Sales Order #: 2290174038
RTD Screening Code: DOD
Reason for Rejection: Y9</t>
  </si>
  <si>
    <t>2YTRNR61421649</t>
  </si>
  <si>
    <t>Allocation Limit. LEA has 4 officers and has 1 HMMWV. 1 per 3 officers. TVS AN</t>
  </si>
  <si>
    <t>2YTRL461492091</t>
  </si>
  <si>
    <t xml:space="preserve">
Sales Order #: 2288478213
RTD Screening Code: DOD
Reason for Rejection: YH</t>
  </si>
  <si>
    <t>2YTL1561280388</t>
  </si>
  <si>
    <t xml:space="preserve">
Sales Order #: 2288478206
RTD Screening Code: DOD
Reason for Rejection: YH</t>
  </si>
  <si>
    <t>2YTL1561280383</t>
  </si>
  <si>
    <t>THIS WOULD BE USED BY LAW ENFORCEMENT AT JEFFERSON COUNTY SHERIFF'S OFFICE TO MAINTAIN THE SHOOTING RANGE BERMS AND THE PROPERTY WHERE ANIMALS ARE KEPT FOR ANIMAL CRUELTY INVESTIGATIONS</t>
  </si>
  <si>
    <t>2YTFX461491806</t>
  </si>
  <si>
    <t>2YTFX461491804</t>
  </si>
  <si>
    <t>2YTFX461491803</t>
  </si>
  <si>
    <t>THE FULTONDALE PD WILL UTILIZE THIS BOX TO STORE PROPERTY IN AT OUR DETECTIVE BUILDING.</t>
  </si>
  <si>
    <t xml:space="preserve">
Sales Order #: 2289117963
RTD Screening Code: DOD
Reason for Rejection: YH</t>
  </si>
  <si>
    <t>CONTAINER,MOBILITY</t>
  </si>
  <si>
    <t>2YTEEJ61350707</t>
  </si>
  <si>
    <t>LEVEL PLAINS POLICE DEPARTMENT WOULD USE THESE LAPTOPS TO DO THEIR JOBS A SPOLICE OFFICERS IN THEIR POLICE VEHICLES IN THEIR DAILY WORK DUTIES</t>
  </si>
  <si>
    <t>2YTRNR61351652</t>
  </si>
  <si>
    <t>THIS EQUIPMENT WILL HELP WITH REMINDING VISITORS AND STUDENTS TO BE AWARE OF THEIR SPEED THEY WILL BE USED IN HIGH TRAFFIC AREAS SUCH AS OUR NURSING DEPARTMENT AND WILL BE USED DURING SPORTING EVENTS</t>
  </si>
  <si>
    <t xml:space="preserve">
Sales Order #: 2289358023
RTD Screening Code: DOD
Reason for Rejection: Y9</t>
  </si>
  <si>
    <t>2YTQTY61350979</t>
  </si>
  <si>
    <t>TRAFFORD POLICE DEPARTMENT WOULD USE THIS FOR EMERGENCY PREPAREDNESS TO BLOCK ROADWAYS WHERE MAN POWER WERE NOT AVAILABLE. ROUTING PEOPLE TO SAFE ZONES IN WEATHER EVENTS.</t>
  </si>
  <si>
    <t xml:space="preserve">
Sales Order #: 2289210599
RTD Screening Code: DOD
Reason for Rejection: Y9</t>
  </si>
  <si>
    <t>2YTLXK61350974</t>
  </si>
  <si>
    <t>ONEONTA POLICE DEPARTMENT WILL USE THIS TRAILER DURING WEATHER INCIDENT TO BLOCK OFF ROADS FOR PUBLIC SAFETY.</t>
  </si>
  <si>
    <t xml:space="preserve">
Sales Order #: 2289358032
RTD Screening Code: DOD
Reason for Rejection: Y9</t>
  </si>
  <si>
    <t>2YT13U61350826</t>
  </si>
  <si>
    <t>THIS EQUIPMENT WILL BE UTILIZED BY POLICE PERSONNEL TO BLOCK TRAFFIC FOR SECURITY PURPOSES AT EVENTS.</t>
  </si>
  <si>
    <t xml:space="preserve">
Sales Order #: 2289210600
RTD Screening Code: DOD
Reason for Rejection: Y9</t>
  </si>
  <si>
    <t>2YT1RJ61350694</t>
  </si>
  <si>
    <t>TRAFFORD POLICE DEPARTMENT WOULD USE THIS VEHICLE FOR EMERGENCY PREPAREDNESS, TACTICAL DRUG ENFORCEMENT, AND IF WE HAD TO RESPOND TO ANYONE OF OUR 6 SCHOOLS IN THE AREA.</t>
  </si>
  <si>
    <t xml:space="preserve">
Sales Order #: 2288154841
RTD Screening Code: DOD
Reason for Rejection: YH</t>
  </si>
  <si>
    <t>2YTLXK61219574</t>
  </si>
  <si>
    <t>TRAFFORD POLICE DEPARTMENT WOULD USE THESE FOR OUR M4 RIFLES. HELPING TO SECURE RIFLES IN EMERGENCY SITUATION AS YOU TRANSITION TO OTHER WEAPON SYSTEMS</t>
  </si>
  <si>
    <t xml:space="preserve">
Sales Order #: 2287785584
RTD Screening Code: GSA
Reason for Rejection: YH</t>
  </si>
  <si>
    <t>2YTLXK61149111</t>
  </si>
  <si>
    <t>THIS WILL BE USED BY LAW ENFORCEMENT AT THE JEFFERSON COUNTY SHERIFF'S OFFICE TRAINING CENTER TO MAINTAIN SHOOTING BERMS AND DRAINAGE FOR SHOOTING AND SPECIAL OPERATIONS RANGES</t>
  </si>
  <si>
    <t xml:space="preserve">
Sales Order #: 2288137192
RTD Screening Code: DOD
Reason for Rejection: YH</t>
  </si>
  <si>
    <t>2YTFX461219431</t>
  </si>
  <si>
    <t>WEBB PD WILL USE FOR SURVEILLANCE AND TRACKING OF PERSON'S ATTEMPTING TO ELUDE.</t>
  </si>
  <si>
    <t>2YTRL461351212</t>
  </si>
  <si>
    <t>OUR DEPARTMENT IS NEW IN THE 1033 PROGRAM AND WE ARE IN NEED OF THIS ITEM TO ASSIST US IN PICKING UP PROPERTY FROM DIFFERENT AREAS.</t>
  </si>
  <si>
    <t xml:space="preserve">
Sales Order #: 2287362074
RTD Screening Code: DOD
Reason for Rejection: YH</t>
  </si>
  <si>
    <t>2YTQTY61008537</t>
  </si>
  <si>
    <t>DALE COUNTY SHERIFF'S OFFICE IS REQUESTING THESE LIGHTS FOR OUR DEPUTIES TO USE ON PATROL TO ENHANCE THEIR SAFETY AND THE PUBLIC'S SAFETY WHEN WORKING IN LOW LIGHT CONDITIONS.</t>
  </si>
  <si>
    <t>2YTC2861421489</t>
  </si>
  <si>
    <t>DALE COUNTY SHERIFFS OFF IS REQUESTING THESE CONTAINERS FOR OUR DEPUTIES TO USE AS BARRICADES AND OBSTACLES AT OUR TRAINING FACILITY.</t>
  </si>
  <si>
    <t xml:space="preserve">
Sales Order #: 2286892683
RTD Screening Code: DOD
Reason for Rejection: YG</t>
  </si>
  <si>
    <t>2YTC2861007718</t>
  </si>
  <si>
    <t>DALE COUNTY SHERIFF'S OFFICE IS REQUESTING THESE ILLUMINATORS FOR OUR DEPUTIES AND SWAT TEAM TO ENHANCE THEIR SAFETY WHILE CONDUCTION LOW LIGHT OPERATIONS.</t>
  </si>
  <si>
    <t>Rejected by EBB00531.</t>
  </si>
  <si>
    <t>2YTC2861421494</t>
  </si>
  <si>
    <t>THE MUNICIPALITY NEEDS THIS EQUIPMENT IF AN ELECTRICAL OUTAGE OCCURS WITHIN THE CITY.</t>
  </si>
  <si>
    <t>Rejected by EBB00531.  Comments: Requisitions can only be made for a requesting law enforcement agency and for a law enforcement purpose. You are welcome to reapply..</t>
  </si>
  <si>
    <t>2YT0JW61351482</t>
  </si>
  <si>
    <t>CLAYTON POLICE DEPT (2YT0JW)</t>
  </si>
  <si>
    <t>ONEONTA POLICE DEPARTMENT WILL USE THIS TO TRANSPORT ITEMS WE NEED FROM DLA.  ALSO IT WILL BE USED BY OPD TO MOVE OUR EQUIPMENT WE HAVE TO LOCATIONS NEEDED,</t>
  </si>
  <si>
    <t xml:space="preserve">
Sales Order #: 2289337566
RTD Screening Code: DOD
Reason for Rejection: Y9</t>
  </si>
  <si>
    <t>2YT13U61350827</t>
  </si>
  <si>
    <t>THE DALE COUNTY SHERIFF'S OFFICE IS REQUESTING THIS SHELTER FOR OUR DEPUTIES TO CONSTRUCT AND USE AT OUR TRAINING FACILITY. IT WILL BE USED AS AN INDOOR TRAINING AREA FOR SCENARIO TRAINING AND EQUIPMENT STORAGE. THANK YOU FOR YOUR CONSIDERATION.</t>
  </si>
  <si>
    <t>2YTC2861421352</t>
  </si>
  <si>
    <t>THE WALLACE STATE CAMPUS POLICE IS IN NEED OF THIS EQUIPMENT WE HAVE ALMOST DAILY SPORTING AND EDUCATIONAL EVENTS ON CAMPUS AND HAVING INFORMATION BOARDS WOULD CUT DOWN ON MANPOWER NEEDS FOR THESE EVENTS AND GIVE THE PUBLIC MUCH NEEDED INFORMATION TO MAKE THE EVENTS RUN MUCH SMOOTHER AND SAFER.</t>
  </si>
  <si>
    <t xml:space="preserve">
Sales Order #: 2288977951
RTD Screening Code: DOD
Reason for Rejection: Y9</t>
  </si>
  <si>
    <t>2YTQTY61280471</t>
  </si>
  <si>
    <t xml:space="preserve">
Sales Order #: 2288796066
RTD Screening Code: DOD
Reason for Rejection: Y9</t>
  </si>
  <si>
    <t>2YTL1561280380</t>
  </si>
  <si>
    <t xml:space="preserve">
Sales Order #: 2288796067
RTD Screening Code: DOD
Reason for Rejection: Y9</t>
  </si>
  <si>
    <t>2YTL1561280377</t>
  </si>
  <si>
    <t>THIS WILL BE USED BY LAW ENFORCEMENT AT JEFFERSON COUNTY SHERIFF'S OFFICE TO MAINTAIN THE BOMB AND SHOOTING RANGES AT THE JCSO TRAINING CENTER. EX. REPAIRING BERMS, DRAINAGE, AND CLEARING OF DEBRIS.</t>
  </si>
  <si>
    <t xml:space="preserve">
Sales Order #: 2288682539
RTD Screening Code: DOD
Reason for Rejection: Y9</t>
  </si>
  <si>
    <t>2YTFX461280058</t>
  </si>
  <si>
    <t>THE DALE COUNTY SHERIFF'S OFFICE IS IN SERIOUS NEED OF A MOBILE COMMAND CENTER. OUR DEPUTIES WILL CONVERT THIS VEHICLE INTO A MOBILE COMMAND CENTER THAT WILL RESPOND TO INCIDENTS IN OUR COMMUNITY AND SURROUNDING AREAS. THANK YOU FOR YOUR CONSIDERATION.</t>
  </si>
  <si>
    <t xml:space="preserve">
Sales Order #: 2288674796
RTD Screening Code: DOD
Reason for Rejection: Y9</t>
  </si>
  <si>
    <t>2YTC2861280149</t>
  </si>
  <si>
    <t>THE DALE COUNTY SHERIFF'S OFFICE IS IN SERIOUS NEED OF A MOBILE COMMAND CENTER. OUR DEPUTIES WILL CONVERT THIS TRAILER INTO A MOBILE COMMAND CENTER THAT WILL RESPOND TO INCIDENTS IN OUR COMMUNITY AND SURROUNDING AREAS. THANK YOU FOR YOUR CONSIDERATION.</t>
  </si>
  <si>
    <t xml:space="preserve">
Sales Order #: 2288682546
RTD Screening Code: DOD
Reason for Rejection: Y9</t>
  </si>
  <si>
    <t>2YTC2861280148</t>
  </si>
  <si>
    <t>TPD REQUEST THIS DRONE FOR OUR CYBER DRONE UNIT TO USE IN THEIR RESPONSE FOR ARIAL COVERAGE ON ACTS OF TERROR AND MASS CASUALTY, AS WELL AS DAILY CALLS FOR SERVICE WHERE THE DRONES HELP COLLECT EARLY INFORMATION FOR OFFICERS. THESE MODELS ARE SIMILAR TO THE CURRENT MODELS OUR DRONE UNIT IS ALREADY USING</t>
  </si>
  <si>
    <t xml:space="preserve">
Sales Order #: 2289188633
RTD Screening Code: DOD
Reason for Rejection: Y9</t>
  </si>
  <si>
    <t>2YTL1561350903</t>
  </si>
  <si>
    <t xml:space="preserve">
Sales Order #: 2289188631
RTD Screening Code: DOD
Reason for Rejection: Y9</t>
  </si>
  <si>
    <t>2YTL1561350902</t>
  </si>
  <si>
    <t xml:space="preserve">
Sales Order #: 2289117961
RTD Screening Code: DOD
Reason for Rejection: Y9</t>
  </si>
  <si>
    <t>2YTL1561350901</t>
  </si>
  <si>
    <t>TPD REQUEST THIS DRONE FOR OUR CYBER DRONE UNIT TO USE IN THEIR RESPONSE FOR ARIAL COVERAGE ON ACTS OF TERROR AND MASS CASUALTY, AS WELL AS DAILY CALLS FOR SERVICE WHERE THE DRONES HELP COLLECT EARLY INFORMATION FOR OFFICERS. THESE MODELS ARE SIMILAR TO THE CURRENT MODELS OUR DRONE UNIT IS ALREADY USING.</t>
  </si>
  <si>
    <t xml:space="preserve">
Sales Order #: 2289117948
RTD Screening Code: DOD
Reason for Rejection: Y9</t>
  </si>
  <si>
    <t>2YTL1561350900</t>
  </si>
  <si>
    <t>THE HEADLAND POLICE DEPARTMENT AND OFFICERS WOULD BENEFIT FROM THIS EQUIPMENT BY HAVING THE PROPER EQUIPMENT TO MAINTAIN AND CONSTRUCT AREAS NEEDED FOR TRAINING AND SAFETY REQUIREMENTS NEED FOR THE OFFICERS</t>
  </si>
  <si>
    <t>2YTE9E61351029</t>
  </si>
  <si>
    <t>TO BE USED BY THE ASHVILLE POLICE DEPARTMENT FOR TRAFFIC INVESTIGATIONS AND LOCATE OUTSTANDING SUSPECTS</t>
  </si>
  <si>
    <t>2YTN5W61351134</t>
  </si>
  <si>
    <t>2YTN5W61351133</t>
  </si>
  <si>
    <t>HAULING DLA EQUIPMENT, GETTING SUPPLIES TO HOUSES IN NEED FROM DISASTER</t>
  </si>
  <si>
    <t xml:space="preserve">
Sales Order #: 2285369346
RTD Screening Code: GSA
Reason for Rejection: YH</t>
  </si>
  <si>
    <t>2YTLXK60795835</t>
  </si>
  <si>
    <t>THIS WOULD ASSIST THE KINSEY POLICE DEPARTMENT IN BEING ABLE TO HAVE AT THE SHOOTING RANGE SO THAT WE COULD RELOAD AMMUNITION, STORE TARGETS AND ABLE TO HAVE SAFETY MEETINGS AND CLASSES AT THE RANGE. ALSO HAVE A BUILDING WITH LIGHTS WHEN DOING NIGHT SHOOTS.</t>
  </si>
  <si>
    <t xml:space="preserve">
Sales Order #: 2286842886
RTD Screening Code: DOD
Reason for Rejection: YG</t>
  </si>
  <si>
    <t>2YTRAR61007935</t>
  </si>
  <si>
    <t xml:space="preserve">
Sales Order #: 2288337750
RTD Screening Code: DOD
Reason for Rejection: Y9</t>
  </si>
  <si>
    <t>2YTL1561219718</t>
  </si>
  <si>
    <t>TPD REQUEST THIS VEHICLE TO USE IN DEPLOYING EQUIPMENT AND PERSONNEL IN RESPONSE TO ACTS OF TERROR AND MASS CASUALTY EVENTS. IT WILL ALSO BE USED AS A BACK UP VEHICLE FOR INVESTIGATORS WHEN THEIR PRIMARY VEHICLE IS DOWN.</t>
  </si>
  <si>
    <t xml:space="preserve">
Sales Order #: 2288244400
RTD Screening Code: DOD
Reason for Rejection: Y9</t>
  </si>
  <si>
    <t>2YTL1561219572</t>
  </si>
  <si>
    <t>THE LEVEL PLAINS POLICE DEPARTMENT WOULD USE THIS ITEM FOR UNDERCOVER SURVAILENCE, TRANSPORTATION TO TRAINING EVENTS, K9 SEARCH TRAINING, NATURAL DISASTER EVACUATION TRANSPORTATION.</t>
  </si>
  <si>
    <t>2YTRNR61219641</t>
  </si>
  <si>
    <t>LEVEL PLAINS POLICE DEPT WOULD UTILIZE TRUCK TO HANG SURVELLIANCE CAMERAS , USE ON POLICE BUILDING AND DURING NATURAL DIASTERS TO REMOVE LINES AND TREES</t>
  </si>
  <si>
    <t>2YTRNR61219407</t>
  </si>
  <si>
    <t>LEVEL PLAINS POLICE DEPT WOULD UTILIZE TRUCK TO HAUL LARGE 1033 ITEMS AND OTHER LARGE POLICE UNITS</t>
  </si>
  <si>
    <t>2YTRNR61219406</t>
  </si>
  <si>
    <t>REQUESTING ONE CARRYALL TRUCK TO SUPPORT LAW ENFORCEMENT OPERATIONS, INCLUDING TRANSPORT OF PERSONNEL, EQUIPMENT, AND DETAINEES AS NEEDED. ASSET WILL ENHANCE PATROL MOBILITY, EMERGENCY RESPONSE CAPABILITY, AND OPERATIONAL READINESS. UTILIZATION WILL REDUCE DOWNTIME AND RELIANCE ON LIMITED FLEET VEHICLES, IMPROVING OVERALL MISSION EFFECTIVENESS.</t>
  </si>
  <si>
    <t xml:space="preserve">
Sales Order #: 2288244395
RTD Screening Code: DOD
Reason for Rejection: Y9</t>
  </si>
  <si>
    <t>2YT0JW61219609</t>
  </si>
  <si>
    <t xml:space="preserve">
Sales Order #: 2288682549
RTD Screening Code: DOD
Reason for Rejection: Y9</t>
  </si>
  <si>
    <t>2YTFX461280054</t>
  </si>
  <si>
    <t>DALE COUNTY SHERIFF'S OFFICE IS REQUESTING THIS ATV FOR OUR DEPUTIES TO USE TO PATROL RURAL AREAS, PERFORM SEARCH AND RESCUES AND PROVIDE GROUND SUPPORT FOR OUR AVIATION DIVISION. THANK YOU FOR YOUR CONSIDERATION.</t>
  </si>
  <si>
    <t xml:space="preserve">
Sales Order #: 2288682540
RTD Screening Code: DOD
Reason for Rejection: Y9</t>
  </si>
  <si>
    <t>2YTC2861280147</t>
  </si>
  <si>
    <t>WEBB PD WILL USE THIS EQUIPMENT TO UNLOAD AND LOAD AWARDED ITEMS. WEBB PD DOESN'T HAD ANY EQUIPMENT LIKE THIS AT THIS TIME TO UNLOAD ITEMS.</t>
  </si>
  <si>
    <t xml:space="preserve">
Sales Order #: 2286892664
RTD Screening Code: DOD
Reason for Rejection: YH</t>
  </si>
  <si>
    <t>RAMP,MOBILE,CONTAINER LOADING</t>
  </si>
  <si>
    <t>2YTRL461007626</t>
  </si>
  <si>
    <t>THE ATTALLA POLICE DEPARTMENT REQUESTS TRANSFER OF A SURPLUS BULLDOZER TO MAINTAIN AND IMPROVE OUR POLICE FIRING RANGE. THE EQUIPMENT WILL SUPPORT SAFE BERM CONSTRUCTION, EROSION CONTROL, DRAINAGE, AND DEBRIS REMOVAL, ENSURING COMPLIANCE WITH SAFETY STANDARDS. THIS ENHANCES OFFICER TRAINING READINESS WHILE REDUCING MAINTENANCE COSTS AND MAXIMIZING USE OF EXISTING PUBLIC RESOURCES.</t>
  </si>
  <si>
    <t xml:space="preserve">
Sales Order #: 2288674794
RTD Screening Code: DOD
Reason for Rejection: Y9</t>
  </si>
  <si>
    <t>2YTAQS61280416</t>
  </si>
  <si>
    <t>TPD REQUEST THIS VEHICLE TO USE IN TRANSPORTING PERSONNEL AND EQUIPMENT IN RESPONSE TO ACTS OF TERROR AND MASS CASUALTY EVENTS.</t>
  </si>
  <si>
    <t xml:space="preserve">
Sales Order #: 2288159244
RTD Screening Code: DOD
Reason for Rejection: Y9</t>
  </si>
  <si>
    <t>2YTL1561219367</t>
  </si>
  <si>
    <t>TRAFFORD POLICE DEPARTMENT WOULD USE THESE IN BREECHING DOORS ON BARRICADED SUBJECTS. USE FOR EMERGENCY PREPAREDNESS FOR ENTRY TO STRUCTURES</t>
  </si>
  <si>
    <t>2YTLXK61280367</t>
  </si>
  <si>
    <t>THIS VEHICLE WOULD BECOME A POLICE VEHICLE FOR THE TOWN OF TRAFFORD. WE HAVE A TAHOE HERE THAT WE CAN CANNIBALIZE FOR PARTS.</t>
  </si>
  <si>
    <t xml:space="preserve">
Sales Order #: 2288159243
RTD Screening Code: DOD
Reason for Rejection: Y9</t>
  </si>
  <si>
    <t>2YTLXK61219374</t>
  </si>
  <si>
    <t>2YTFX461280053</t>
  </si>
  <si>
    <t>THIS VEHICLE WOULD BE USED BY THE CORDOVA POLICE DEPARTMENT TO BE TRANSITIONED INTO A PATROL VEHICLE TO ADD TO OUR FLEET AND WILL BE USED BY A CERTIFIED POLICE OFFICER</t>
  </si>
  <si>
    <t xml:space="preserve">
Sales Order #: 2287785580
RTD Screening Code: DOD
Reason for Rejection: Y9</t>
  </si>
  <si>
    <t>2YTCTP61219346</t>
  </si>
  <si>
    <t>CORDOVA POLICE DEPT (2YTCTP)</t>
  </si>
  <si>
    <t>WEBB PD WILL USE THIS EQUIPMENT TO CLEAN PD PARKING LOT AND STREETS AFTER NATURAL DISASTERS.</t>
  </si>
  <si>
    <t xml:space="preserve">
Sales Order #: 2286983715
RTD Screening Code: DOD
Reason for Rejection: YG</t>
  </si>
  <si>
    <t>2YTRL460937614</t>
  </si>
  <si>
    <t xml:space="preserve">
Sales Order #: 2287785593
RTD Screening Code: DOD
Reason for Rejection: Y9</t>
  </si>
  <si>
    <t>2YTFX461219430</t>
  </si>
  <si>
    <t xml:space="preserve">
Sales Order #: 2288337791
RTD Screening Code: DON
Reason for Rejection: Y9</t>
  </si>
  <si>
    <t>2YTRAR6112JG60</t>
  </si>
  <si>
    <t>THESE WILL BE USED BY LAW ENFORCEMENT TO MAINTAIN EQUIPMENT USED IN THE SPECIAL OPERATIONS AND TRAINING DIVISIONS</t>
  </si>
  <si>
    <t xml:space="preserve">
Sales Order #: 2285864916
RTD Screening Code: GSA
Reason for Rejection: YH</t>
  </si>
  <si>
    <t>2YTFX460796170</t>
  </si>
  <si>
    <t>THIS ITEM WOULD ASSIST THE KINSEY POLICE DEPARTMENT IN BEING ABLE TO GO GET LESO PROPERTY AND HAVING A PLACE TO STORE ITEMS OUT OF THE WEATHER</t>
  </si>
  <si>
    <t xml:space="preserve">
Sales Order #: 2285872623
RTD Screening Code: DOD
Reason for Rejection: YH</t>
  </si>
  <si>
    <t>2YTRAR60866172</t>
  </si>
  <si>
    <t>TPD REQUEST THIS VEHICLE TO USE IN DEPLOYING PERSONNEL AND EQUIPMENT IN RESPONSE TO ACTS OF TERROR AND MASS CASUALTY EVENTS. IT WILL ALSO BE USED AS A BACKUP VEHICLE FOR INVESTIGATORS WHEN THEIR PRIMARY VEHICLE IS DOWN.</t>
  </si>
  <si>
    <t>Rejected by EBB00531.  Comments: Justification does not apply to this piece of property. You are welcome to reapply with corrected justification..</t>
  </si>
  <si>
    <t>2YTL1561219556</t>
  </si>
  <si>
    <t>THIS WILL BE USED BY LAW ENFORCEMENT AT THE JEFFERSON COUNTY SHERIFF'S OFFICE METRO AREA CRIME CENTER. IT WILL BE USED TO INSTALL NEW CAMERAS AS WELL AS MAINTAIN CURRENT CAMERAS THAT MONITOR AND CAPTURE VEHICLES THAT ARE TRAFFICKING NARCOTICS AND HUMAN BEINGS THROUGH JEFFERSON COUNTY.</t>
  </si>
  <si>
    <t>2YTFX461219662</t>
  </si>
  <si>
    <t>THIS WOULD ASSIST THE KINSEY POLICE DEPARTMENT IN HAVING A TOWER AT OUR SHOOTING RANGE SO THE FIRE ARMS INSTRUCTOR COULD BE ELEVATED AND HELP MAINTAIN SAFETY SO THAT HE COULD SEE EVERY SHOOTER AT ALL TIMES WHILE GIVING DEMANDS AND INSTRUCTIONS</t>
  </si>
  <si>
    <t xml:space="preserve">
Sales Order #: 2287223995
RTD Screening Code: DOD
Reason for Rejection: YH</t>
  </si>
  <si>
    <t>2YTRAR61007936</t>
  </si>
  <si>
    <t>TRAFFORD POLICE DEPARTMENT WOULD USE THESE FOR THE 2 QUALIFIED SNIPERS ON THE POLICE DEPARTMENT. CURRENTLY DO NOT HAVE NIGHT VISION.</t>
  </si>
  <si>
    <t>Rejected by EBB00531.  Comments: Please see email notification regarding special requirement for requisitioning Demil F Optics with poor condition code..</t>
  </si>
  <si>
    <t>2YTLXK61149092</t>
  </si>
  <si>
    <t>TRAFFORD POLICE WOULD USE THIS VEHICLE FOR EMERGENCY PREPAREDNESS. ALSO, TACTICAL RESPONSE IN SEARCH WARRANTS.
BETTER RESPONSE TO THE 4 SCHOOLS IF NEEDED</t>
  </si>
  <si>
    <t>2YTLXK61149081</t>
  </si>
  <si>
    <t>LEVEL PLAINS POLICE DEPT WOULD USE VAN TO TRANSPORT PRISONERS AND ALSO CITIZENS IN NEED DURING NATURAL DISASTERS SUCH AS TORNADOES AND HURRICANES AND ALSO FOR POLICE SEARCH WARRANTS</t>
  </si>
  <si>
    <t xml:space="preserve">
Sales Order #: 2287283484
RTD Screening Code: DOD
Reason for Rejection: Y9</t>
  </si>
  <si>
    <t>2YTRNR61078479</t>
  </si>
  <si>
    <t>WEBB PD WILL USE THIS EQUIPMENT TO PICK UP AND DELIVER HEAVY AWARDED EQUIPMENT. WE DO NOT HAVE A TRAILER LIKE THIS TO PICK UP DRIVE ON HEAVY EQUIPMENT.</t>
  </si>
  <si>
    <t xml:space="preserve">
Sales Order #: 2286892656
RTD Screening Code: DOD
Reason for Rejection: YH</t>
  </si>
  <si>
    <t>2YTRL460937620</t>
  </si>
  <si>
    <t>THE CLARKE COUNTY SHERIFF'S OFFICE WOULD LIKE TO ACQUIRE THIS EQUIPMENT TO BE UTILIZED FOR TACTICAL AND RESCUE INCIDENTS</t>
  </si>
  <si>
    <t xml:space="preserve">
Sales Order #: 2287686258
RTD Screening Code: DOD
Reason for Rejection: Y9</t>
  </si>
  <si>
    <t>2YTCFW61148989</t>
  </si>
  <si>
    <t>TO BE USED BY THE ASHVILLE POLICE DEPARTMENT FOR ASSISTANCE IN LOCATING INDIVIDUALS UNDER LOW LIGHT AND NO LIGHT CONDITIONS</t>
  </si>
  <si>
    <t>2YTN5W61149192</t>
  </si>
  <si>
    <t>TPD REQUEST THESE ATV'S FOR OUR OFFICERS TO USE DURING CROWD CONTROL, ANTI-TERRORISM OPERATIONS AT LARGE CROWD EVENTS SUCH AS UNIVERSITY OF ALABAMA SPORTING EVENTS WHERE THESE ARE EASIER TO MOVE THRU THE LARGE CROWD. THEY WILL ALSO BE USED IN SEARCH AND RESCUE AND SEVERE WEATHER EVENTS AS WELL.</t>
  </si>
  <si>
    <t xml:space="preserve">
Sales Order #: 2287686261
RTD Screening Code: DOD
Reason for Rejection: Y9</t>
  </si>
  <si>
    <t>2YTL1561148962</t>
  </si>
  <si>
    <t>LEVEL PLAINS POLICE DEPT WOULD USE THESE IN SEARCH AND RESCUE INRURAL AREAS WHICH ARE NOT ACCESIBLE BY POLICE VEHICLES AND ALSO TO GET CITIZENS OUT OF HARMS WAY DURING NATURAL DIASTERS</t>
  </si>
  <si>
    <t xml:space="preserve">
Sales Order #: 2287589500
RTD Screening Code: DOD
Reason for Rejection: Y9</t>
  </si>
  <si>
    <t>2YTRNR61149041</t>
  </si>
  <si>
    <t>THIS WOULD ASSIST THE KINSEY POLICE DEPARTMENT IN WORKING SECURITY AT TOWN EVENTS, ALSO ASSIST DRIVING AROUND AT THE RANGE FOR MAINTENANCE ALSO WILL ASSIST THE DEPARTMENT IN WORKING OFF ROAD TO COLLECT EVIDENCE ALSO WOULD ASSIST WHEN STORMS COME THROUGH AND TREES ARE DOWN SO THAT WE CAN GO AROUND THEM AND GO OFF ROAD TO GET TO CITIZENS IN NEED</t>
  </si>
  <si>
    <t xml:space="preserve">
Sales Order #: 2287589502
RTD Screening Code: DOD
Reason for Rejection: Y9</t>
  </si>
  <si>
    <t>2YTRAR61148858</t>
  </si>
  <si>
    <t>WEBB PD WILL USE THIS EQUIPMENT TO ATTACH TO OUR SEMI FLATBED TRAILER TO PICK UP LARGE, AWARDED ITEMS. WE DO NOT HAVE A TRUCK AT THIS TIME TO PULL LARGE SEMI FLAT BEDS.</t>
  </si>
  <si>
    <t xml:space="preserve">
Sales Order #: 2286842878
RTD Screening Code: DOD
Reason for Rejection: YG</t>
  </si>
  <si>
    <t>2YTRL461007651</t>
  </si>
  <si>
    <t>THE CLARKE COUNTY SHERIFF'S OFFICE WOULD LIKE TO ACQUIRE THIS EQUIPMENT TO BE UTILIZED AS A MOBILE COMMAND CENTER FOR SPECIAL EVENTS IN THE COMMUNITY, OR CRITICAL INCIDENTS SUCH AS BARRICADED SUBJECTS, HOSTAGE SITUATIONS TERRORIST INCIDENTS OR ANY SCENARIO THAT WOULD BE CONSIDERED FOR MULTI AGENCY RESPONSE.</t>
  </si>
  <si>
    <t>Rejected by EBB00531.  Comments: Listing says vehicle is actually located in Puerto Rico and will not ship to the United States unfortunately.</t>
  </si>
  <si>
    <t>2YTCFW61149008</t>
  </si>
  <si>
    <t>THIS WOULD HELP THE KINSEY POLICE DEPARTMENT IN MOVING DIRT TO THE FIRING RANGE AND MAKING BACK DROPS FOR OTHER SHOOTING TARGETS INSIDE THE RANGE FOR TRAINING PURPOSES</t>
  </si>
  <si>
    <t xml:space="preserve">
Sales Order #: 2285864844
RTD Screening Code: DOD
Reason for Rejection: YH</t>
  </si>
  <si>
    <t>2YTRAR60866200</t>
  </si>
  <si>
    <t>THIS WOULD ASSIST THE KINSEY POLICE DEPARTMENT IN PUTTING ON ROAD CLOSURE ROADS TO PREVENT ACCIDENTS AND TO PUT OUT FOR DETOUR ROADS</t>
  </si>
  <si>
    <t xml:space="preserve">
Sales Order #: 2285369350
RTD Screening Code: GSA
Reason for Rejection: YH</t>
  </si>
  <si>
    <t>2YTRAR60795652</t>
  </si>
  <si>
    <t>THIS WOULD ASSIST THE KINSEY POLICE DEPARTMENT IN CHANGING OUT OUR OLD TANKS THAT WE STORE OUR GAS IN FOR OUR PATROL VEHICLES</t>
  </si>
  <si>
    <t xml:space="preserve">
Sales Order #: 2285369359
RTD Screening Code: GSA
Reason for Rejection: YH</t>
  </si>
  <si>
    <t>2YTRAR60795651</t>
  </si>
  <si>
    <t>THIS WOULD ASSIST THE KINSEY POLICE DEPARTMENT IN HELPING STORE ITEMS AND FILES FROM THE POLICE DEPARTMENT ALSO TARGETS FOR THE SHOOTING RANGE</t>
  </si>
  <si>
    <t xml:space="preserve">
Sales Order #: 2285870155
RTD Screening Code: GSA
Reason for Rejection: YH</t>
  </si>
  <si>
    <t>2YTRAR60795649</t>
  </si>
  <si>
    <t>THIS WOULD ASSIST THE KINSEY POLICE DEPARTMENT IN MOVING DIRT TO FILL IN HOLES IN THE FIRING RANGE AND ADDING DIRT TO THE ROAD SO WE CAN FINISH IT</t>
  </si>
  <si>
    <t xml:space="preserve">
Sales Order #: 2285810358
RTD Screening Code: GSA
Reason for Rejection: YH</t>
  </si>
  <si>
    <t>2YTRAR60795647</t>
  </si>
  <si>
    <t>WEBB PD WILL USE TO PRINT AND REPAIR NEEDED BROKEN PARTS ON LAW ENFORCEMENT EQUIPMENT.</t>
  </si>
  <si>
    <t xml:space="preserve">
Sales Order #: 2287283491
RTD Screening Code: DOD
Reason for Rejection: Y9</t>
  </si>
  <si>
    <t>2YTRL461008464</t>
  </si>
  <si>
    <t>WEBB PD WILL USE THIS EQUIPMENT AS OUR ACTIVE SHOOTER QUICK RESPONSE SWAT VEHICLE.</t>
  </si>
  <si>
    <t xml:space="preserve">
Sales Order #: 2286842879
RTD Screening Code: DOD
Reason for Rejection: Y9</t>
  </si>
  <si>
    <t>2YTRL461007645</t>
  </si>
  <si>
    <t xml:space="preserve">
Sales Order #: 2286842901
RTD Screening Code: DOD
Reason for Rejection: Y9</t>
  </si>
  <si>
    <t>2YTRL461007644</t>
  </si>
  <si>
    <t>WEBB PD WILL USE THIS EQUIPMENT TO BUILD AND MAINTAIN GUN RANGE.</t>
  </si>
  <si>
    <t xml:space="preserve">
Sales Order #: 2286842905
RTD Screening Code: DOD
Reason for Rejection: Y9</t>
  </si>
  <si>
    <t>2YTRL461007641</t>
  </si>
  <si>
    <t>WEBB PD WILL USE THIS EQUIPMENT TO REMOVE DOWNED POWER LINES AS WELL AS DOWNED TREES AND LIMBS.</t>
  </si>
  <si>
    <t xml:space="preserve">
Sales Order #: 2286842880
RTD Screening Code: DOD
Reason for Rejection: Y9</t>
  </si>
  <si>
    <t>2YTRL461007640</t>
  </si>
  <si>
    <t>WEBB PD WILL USE THIS EQUIPMENT FOR USED OIL AND FLUIDS FROM PATROL VEHICLE MAINTENANCE. AS WELL AS HOLDING NEW FUELS, LIQUIDS FOR FUTURE PATROL VEHICLE MAINTENANCE.</t>
  </si>
  <si>
    <t xml:space="preserve">
Sales Order #: 2286842900
RTD Screening Code: DOD
Reason for Rejection: Y9</t>
  </si>
  <si>
    <t>2YTRL461007618</t>
  </si>
  <si>
    <t>WEBB PD WILL USE THIS EQUIPMENT TO MAINTAIN THE WEBB GUN RANGE TO REPLACE PREVIOUS EQUIPMENT AWARDED BECAUSE IR HAD A HOLE IN THE BLOCK AND HAD TO BE DISCARDED.</t>
  </si>
  <si>
    <t xml:space="preserve">
Sales Order #: 2286892679
RTD Screening Code: DOD
Reason for Rejection: Y9</t>
  </si>
  <si>
    <t>2YTRL461007611</t>
  </si>
  <si>
    <t>LEVEL PLAINS POLICE DEPT WOULF USE FOR MASS TRANSPORT, PRISONERS AND POLICE TRAINING EVENTS</t>
  </si>
  <si>
    <t>2YTRNR60725664</t>
  </si>
  <si>
    <t>LEVEL PLAINS POLICE WOULD USE TO TRANSPORT PRISONERS AND MOVE CITIZENS DURING NATURAL DISASTERS WHEN MASS TRANSPORTATION IS NEEDED FOR SAFETY</t>
  </si>
  <si>
    <t>2YTRNR60725549</t>
  </si>
  <si>
    <t>THIS WOULD ASSIST THE KINSEY POLICE DEPARTMENT IN PUTTING THIS IN OUR MAINTENANCE  SHOP TO WORK ON OUR PATROL VEHICLES AND OTHER EQUIPMENT THAT WE HAVE FROM THE LESO PROGRAM</t>
  </si>
  <si>
    <t>TEST SET SUBASSEMBLY,ELECTRICAL AND ELEC</t>
  </si>
  <si>
    <t>2YTRAR60725767</t>
  </si>
  <si>
    <t xml:space="preserve">
Sales Order #: 2287118647
RTD Screening Code: DOD
Reason for Rejection: Y9</t>
  </si>
  <si>
    <t>2YTE9E61007971</t>
  </si>
  <si>
    <t>TPD REQUEST THIS TRAILER TO USE IN DEPLOYING EQUIPMENT DURING TERRORIST AND MASS CASUALTY EVENTS, HOSTAGE SITUATIONS AND SEVERE WEATHER SO THAT OFFICERS CAN HANDLE THE CALLS IN THE SAFEST MANNER POSSIBLE.</t>
  </si>
  <si>
    <t xml:space="preserve">
Sales Order #: 2285761794
RTD Screening Code: DOD
Reason for Rejection: YH</t>
  </si>
  <si>
    <t>2YTL1560866209</t>
  </si>
  <si>
    <t>IF AWARDED WILL BE ISSUED TO OFFICERS TO WEAR WHILE ON DUTY, 2 PAIR PER OFFICER. POWELL PD WILL PAY TO HAVE BOOTS SHIPPED TO POWELL POLICE DEPARTMENT.</t>
  </si>
  <si>
    <t xml:space="preserve">
Sales Order #: 2285369354
RTD Screening Code: GSA
Reason for Rejection: YG</t>
  </si>
  <si>
    <t>2YTJWC60795669</t>
  </si>
  <si>
    <t>POWELL POLICE DEPT (2YTJWC)</t>
  </si>
  <si>
    <t>THE HEADLAND POLICE DEPARTMENT AND OFFICERS WOULD BENEFIT FROM THIS EQUIPMENT BY HAVING THE MEANS TO SAFELY TRANSPORT OFFICERS TO AREAS OF NEED. THIS WOULD ALSO ALLOW OFFICERS THE SECURITY OF SAFETY IN AREAS OF DISTRESS.</t>
  </si>
  <si>
    <t>2YTE9E61078507</t>
  </si>
  <si>
    <t>LEVEL PLAINS POLICE DEPT WOULD USE TO CUT OFF LOCKS WHEN NECESSARY DEALING POLICE DUTIES</t>
  </si>
  <si>
    <t xml:space="preserve">
Sales Order #: 2285990935
RTD Screening Code: DOD
Reason for Rejection: YH</t>
  </si>
  <si>
    <t>2YTRNR60866732</t>
  </si>
  <si>
    <t>THIS WOULD ASSIST THE KINSEY POLICE DEPARTMENT IN PUTTING MOVING TARGETS AT THE FIRING RANGE AND PUTTING CHAINS UP TO KEEP SECURITY AROUND THE SHOOTING RANGE</t>
  </si>
  <si>
    <t xml:space="preserve">
Sales Order #: 2286295376
RTD Screening Code: DOD
Reason for Rejection: YH</t>
  </si>
  <si>
    <t>CHAIN CABLE ASSEMBL</t>
  </si>
  <si>
    <t>2YTRAR60867220</t>
  </si>
  <si>
    <t>WEBB PD WILL USE THIS EQUIPMENT TO EXTRACT, PICK UP, AND REMOVE ACCIDENT VEHICLES.</t>
  </si>
  <si>
    <t xml:space="preserve">
Sales Order #: 2287118648
RTD Screening Code: DOD
Reason for Rejection: Y9</t>
  </si>
  <si>
    <t>2YTRL460937649</t>
  </si>
  <si>
    <t xml:space="preserve">
Sales Order #: 2286335444
RTD Screening Code: DOD
Reason for Rejection: Y9</t>
  </si>
  <si>
    <t>2YTC2860936956</t>
  </si>
  <si>
    <t>WEBB PD WILL USE THIS EQUIPMENT FOR RIVER RESCUE AND BODY RECOVERY.</t>
  </si>
  <si>
    <t xml:space="preserve">
Sales Order #: 2285810330
RTD Screening Code: DOD
Reason for Rejection: YH</t>
  </si>
  <si>
    <t>JET SKI</t>
  </si>
  <si>
    <t>2YTRL460866457</t>
  </si>
  <si>
    <t xml:space="preserve">
Sales Order #: 2285810374
RTD Screening Code: DOD
Reason for Rejection: YH</t>
  </si>
  <si>
    <t>2YTRL460866456</t>
  </si>
  <si>
    <t xml:space="preserve">
Sales Order #: 2285810347
RTD Screening Code: DOD
Reason for Rejection: YH</t>
  </si>
  <si>
    <t>2YTRL460866454</t>
  </si>
  <si>
    <t xml:space="preserve">
Sales Order #: 2285810333
RTD Screening Code: DOD
Reason for Rejection: YH</t>
  </si>
  <si>
    <t>2YTL1560866174</t>
  </si>
  <si>
    <t xml:space="preserve">
Sales Order #: 2285810341
RTD Screening Code: DOD
Reason for Rejection: YH</t>
  </si>
  <si>
    <t>2YTL1560866171</t>
  </si>
  <si>
    <t xml:space="preserve">
Sales Order #: 2285369362
RTD Screening Code: GSA
Reason for Rejection: YH</t>
  </si>
  <si>
    <t>2YTL1560795645</t>
  </si>
  <si>
    <t xml:space="preserve">
Sales Order #: 2285178918
RTD Screening Code: DOD
Reason for Rejection: YH</t>
  </si>
  <si>
    <t>2YTL1560725245</t>
  </si>
  <si>
    <t>THE HEADLAND POLICE DEPARTMENT AND OFFICERS WOULD BENEFIT FROM THIS PROPERTY BY HAVING THE MEANS OF TRAINING TO MAINTAIN THE PROPER CONDITION TO KEEP SAFE IN THEIR LINE OF WORK</t>
  </si>
  <si>
    <t>2YTE9E60937975</t>
  </si>
  <si>
    <t>2YTE9E60937974</t>
  </si>
  <si>
    <t>2YTE9E60937973</t>
  </si>
  <si>
    <t>WEBB PD WILL USE THIS TO PATROL POLICED EVENTS AND FOR ROUGH TERRAIN RESCUE DURING NATURAL DISASTERS.</t>
  </si>
  <si>
    <t>2YTRL461007958</t>
  </si>
  <si>
    <t>TPD REQUEST THESE UTV'S FOR OUR OFFICERS TO USE DURING CROWD CONTROL, ANTI-TERRORISM OPERATIONS AT LARGE CROWD EVENTS SUCH AS UNIVERSITY OF ALABAMA SPORTING EVENTS WHERE THESE ARE EASIER TO MOVE THRU THE LARGE CROWD. THEY WILL ALSO BE USED IN SEARCH AND RESCUE AND SEVERE WEATHER EVENTS AS WELL.</t>
  </si>
  <si>
    <t xml:space="preserve">
Sales Order #: 2286317833
RTD Screening Code: DOD
Reason for Rejection: Y9</t>
  </si>
  <si>
    <t>2YTL1560936974</t>
  </si>
  <si>
    <t>LEVEL PLAINS POLICE DEPT WOULD USE FOR SEARCH AND RESCUE AND DURING NATURAL DIASTERS IN OUR RURAL AREAS</t>
  </si>
  <si>
    <t xml:space="preserve">
Sales Order #: 2286288955
RTD Screening Code: DOD
Reason for Rejection: Y9</t>
  </si>
  <si>
    <t>2YTRNR60937025</t>
  </si>
  <si>
    <t>THESE ITEMS WOULD GREATLY ASSIST THE KINSEY POLICE DEPARTMENT IN WORKING SECURITY AT EVENTS. ALSO WOULD ASSIST WHEN SEVERE WEATHER OCCURS AND ROADS ARE BLOCKED WITH DEBRIS TO BE ABLE TO GET TO CITIZENS AT ASSIST THEM. THIS WOULD ALSO ASSIST THE KINSEY POLICE DEPARTMENT IN WORKING CASES THAT REQUIRE TO GO OFF ROAD TO COLLECT EVIDENCE. THIS WOULD ALSO ASSIST AT OUR SHOOTING RANGE</t>
  </si>
  <si>
    <t xml:space="preserve">
Sales Order #: 2286892662
RTD Screening Code: DOD
Reason for Rejection: Y9</t>
  </si>
  <si>
    <t>2YTRAR61007927</t>
  </si>
  <si>
    <t>DALE COUNTY SHERIFFS IS REQUESTING THIS ATV FOR OUR DEPUTIES TO REFURBISH AND USE FOR RURAL PATROL AND SEARCH AND RESCUE.</t>
  </si>
  <si>
    <t xml:space="preserve">
Sales Order #: 2286842906
RTD Screening Code: DOD
Reason for Rejection: Y9</t>
  </si>
  <si>
    <t>2YTC2861007717</t>
  </si>
  <si>
    <t>THE ATTALLA POLICE DEPARTMENT REQUESTS TWO SIDE-BY-SIDE UTVS TO ENHANCE DISASTER RESPONSE AND SEARCH AND RESCUE OPERATIONS. MOUNTAINOUS AND REMOTE TERRAIN WITHIN OUR JURISDICTION OFTEN LIMITS ACCESS BY STANDARD PATROL VEHICLES, DELAYING CRITICAL RESPONSE. UTVS WILL IMPROVE MOBILITY, REDUCE RESPONSE TIMES, INCREASE OFFICER SAFETY, AND ENABLE EFFICIENT ACCESS TO STRANDED OR INJURED INDIVIDUALS DURING EMERGENCIES.</t>
  </si>
  <si>
    <t xml:space="preserve">
Sales Order #: 2286842887
RTD Screening Code: DOD
Reason for Rejection: Y9</t>
  </si>
  <si>
    <t>2YTAQS61007896</t>
  </si>
  <si>
    <t>FOR USE BY THE ANCHORAGE POLICE DEPARTMENT IN SECURE STORAGE OF SENSITIVE EQUIPMENT FOR LAW ENFORCEMENT DUTIES.</t>
  </si>
  <si>
    <t xml:space="preserve">
Sales Order #: 2291312725
RTD Screening Code: DOD
Reason for Rejection: YH</t>
  </si>
  <si>
    <t>2YTN5E61633638</t>
  </si>
  <si>
    <t>FOR USE THE ANCHROAGE POLICE DEPARTMENT IN COLD WEATHER OPERATIONS AND TRAINING.</t>
  </si>
  <si>
    <t>2YTN5E61421611</t>
  </si>
  <si>
    <t>2YTN5E61421610</t>
  </si>
  <si>
    <t>2YTN5E61421609</t>
  </si>
  <si>
    <t>FOR USE BY THE ANCHORAGE POLICE DEARTMENT IN COLD WEATHER OPERATIONS AND TRAINING.</t>
  </si>
  <si>
    <t>2YTN5E61421608</t>
  </si>
  <si>
    <t>REASON CANCELLED</t>
  </si>
  <si>
    <t>DATE LAST UPDATED</t>
  </si>
  <si>
    <t>DATE REQUESTED</t>
  </si>
  <si>
    <t>CANCELLED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</si>
</sst>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theme="1"/>
      <name val="Tahom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8" fillId="0" borderId="0" xfId="0" applyFont="1" applyAlignment="1">
      <alignment vertical="center"/>
    </xf>
    <xf numFmtId="0" fontId="18" fillId="0" borderId="0" xfId="0" applyFont="1" applyAlignment="1">
      <alignment horizontal="left" vertical="center"/>
    </xf>
    <xf numFmtId="14" fontId="18" fillId="0" borderId="0" xfId="0" applyNumberFormat="1" applyFont="1" applyAlignment="1">
      <alignment vertical="center"/>
    </xf>
    <xf numFmtId="0" fontId="18" fillId="0" borderId="0" xfId="0" applyFont="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C7077-0CA7-41E2-BEFB-B561ECAAC413}">
  <dimension ref="A1:K2243"/>
  <sheetViews>
    <sheetView tabSelected="1" workbookViewId="0"/>
  </sheetViews>
  <sheetFormatPr defaultRowHeight="10" x14ac:dyDescent="0.35"/>
  <cols>
    <col min="1" max="1" width="5.81640625" style="1" bestFit="1" customWidth="1"/>
    <col min="2" max="2" width="44.1796875" style="1" bestFit="1" customWidth="1"/>
    <col min="3" max="3" width="16" style="1" bestFit="1" customWidth="1"/>
    <col min="4" max="4" width="4.81640625" style="1" bestFit="1" customWidth="1"/>
    <col min="5" max="5" width="12.6328125" style="1" bestFit="1" customWidth="1"/>
    <col min="6" max="6" width="43.6328125" style="1" bestFit="1" customWidth="1"/>
    <col min="7" max="7" width="3.36328125" style="1" bestFit="1" customWidth="1"/>
    <col min="8" max="8" width="9.36328125" style="1" bestFit="1" customWidth="1"/>
    <col min="9" max="9" width="17.81640625" style="2" bestFit="1" customWidth="1"/>
    <col min="10" max="10" width="12.81640625" style="1" bestFit="1" customWidth="1"/>
    <col min="11" max="11" width="255.6328125" style="1" bestFit="1" customWidth="1"/>
    <col min="12" max="16384" width="8.7265625" style="1"/>
  </cols>
  <sheetData>
    <row r="1" spans="1:11" x14ac:dyDescent="0.35">
      <c r="A1" s="1" t="s">
        <v>0</v>
      </c>
      <c r="B1" s="1" t="s">
        <v>1</v>
      </c>
      <c r="C1" s="1" t="s">
        <v>2</v>
      </c>
      <c r="D1" s="1" t="s">
        <v>3</v>
      </c>
      <c r="E1" s="1" t="s">
        <v>4</v>
      </c>
      <c r="F1" s="1" t="s">
        <v>5</v>
      </c>
      <c r="G1" s="1" t="s">
        <v>6</v>
      </c>
      <c r="H1" s="1" t="s">
        <v>7</v>
      </c>
      <c r="I1" s="2" t="s">
        <v>8</v>
      </c>
      <c r="J1" s="1" t="s">
        <v>9</v>
      </c>
      <c r="K1" s="1" t="s">
        <v>10</v>
      </c>
    </row>
    <row r="2" spans="1:11" x14ac:dyDescent="0.35">
      <c r="A2" s="1" t="s">
        <v>11</v>
      </c>
      <c r="B2" s="1" t="s">
        <v>12</v>
      </c>
      <c r="C2" s="1" t="s">
        <v>13</v>
      </c>
      <c r="D2" s="1" t="str">
        <f>"7830"</f>
        <v>7830</v>
      </c>
      <c r="E2" s="1" t="s">
        <v>14</v>
      </c>
      <c r="F2" s="1" t="s">
        <v>15</v>
      </c>
      <c r="G2" s="1" t="s">
        <v>16</v>
      </c>
      <c r="H2" s="1" t="str">
        <f>"2"</f>
        <v>2</v>
      </c>
      <c r="I2" s="2" t="str">
        <f>"500"</f>
        <v>500</v>
      </c>
      <c r="J2" s="3">
        <v>46163</v>
      </c>
      <c r="K2" s="1" t="s">
        <v>17</v>
      </c>
    </row>
    <row r="3" spans="1:11" x14ac:dyDescent="0.35">
      <c r="A3" s="1" t="s">
        <v>18</v>
      </c>
      <c r="B3" s="1" t="s">
        <v>19</v>
      </c>
      <c r="C3" s="1" t="s">
        <v>20</v>
      </c>
      <c r="D3" s="1" t="str">
        <f>"1680"</f>
        <v>1680</v>
      </c>
      <c r="E3" s="1" t="str">
        <f>"011888270"</f>
        <v>011888270</v>
      </c>
      <c r="F3" s="1" t="s">
        <v>21</v>
      </c>
      <c r="G3" s="1" t="s">
        <v>16</v>
      </c>
      <c r="H3" s="1" t="str">
        <f>"1"</f>
        <v>1</v>
      </c>
      <c r="I3" s="2">
        <v>945.47</v>
      </c>
      <c r="J3" s="3">
        <v>46113</v>
      </c>
      <c r="K3" s="1" t="s">
        <v>22</v>
      </c>
    </row>
    <row r="4" spans="1:11" x14ac:dyDescent="0.35">
      <c r="A4" s="1" t="s">
        <v>18</v>
      </c>
      <c r="B4" s="1" t="s">
        <v>30</v>
      </c>
      <c r="C4" s="1" t="s">
        <v>41</v>
      </c>
      <c r="D4" s="1" t="str">
        <f>"8405"</f>
        <v>8405</v>
      </c>
      <c r="E4" s="1" t="str">
        <f>"015737951"</f>
        <v>015737951</v>
      </c>
      <c r="F4" s="1" t="s">
        <v>42</v>
      </c>
      <c r="G4" s="1" t="s">
        <v>16</v>
      </c>
      <c r="H4" s="1" t="str">
        <f>"25"</f>
        <v>25</v>
      </c>
      <c r="I4" s="2">
        <v>13.21</v>
      </c>
      <c r="J4" s="3">
        <v>46115</v>
      </c>
      <c r="K4" s="1" t="s">
        <v>43</v>
      </c>
    </row>
    <row r="5" spans="1:11" x14ac:dyDescent="0.35">
      <c r="A5" s="1" t="s">
        <v>18</v>
      </c>
      <c r="B5" s="1" t="s">
        <v>30</v>
      </c>
      <c r="C5" s="1" t="s">
        <v>44</v>
      </c>
      <c r="D5" s="1" t="str">
        <f>"8405"</f>
        <v>8405</v>
      </c>
      <c r="E5" s="1" t="str">
        <f>"016609991"</f>
        <v>016609991</v>
      </c>
      <c r="F5" s="1" t="s">
        <v>45</v>
      </c>
      <c r="G5" s="1" t="s">
        <v>16</v>
      </c>
      <c r="H5" s="1" t="str">
        <f>"25"</f>
        <v>25</v>
      </c>
      <c r="I5" s="2">
        <v>14.55</v>
      </c>
      <c r="J5" s="3">
        <v>46115</v>
      </c>
      <c r="K5" s="1" t="s">
        <v>46</v>
      </c>
    </row>
    <row r="6" spans="1:11" x14ac:dyDescent="0.35">
      <c r="A6" s="1" t="s">
        <v>18</v>
      </c>
      <c r="B6" s="1" t="s">
        <v>120</v>
      </c>
      <c r="C6" s="1" t="s">
        <v>124</v>
      </c>
      <c r="D6" s="1" t="str">
        <f>"3210"</f>
        <v>3210</v>
      </c>
      <c r="E6" s="1" t="s">
        <v>125</v>
      </c>
      <c r="F6" s="1" t="s">
        <v>126</v>
      </c>
      <c r="G6" s="1" t="s">
        <v>16</v>
      </c>
      <c r="H6" s="1" t="str">
        <f>"1"</f>
        <v>1</v>
      </c>
      <c r="I6" s="2" t="str">
        <f>"19550"</f>
        <v>19550</v>
      </c>
      <c r="J6" s="3">
        <v>46115</v>
      </c>
      <c r="K6" s="1" t="s">
        <v>127</v>
      </c>
    </row>
    <row r="7" spans="1:11" x14ac:dyDescent="0.35">
      <c r="A7" s="1" t="s">
        <v>18</v>
      </c>
      <c r="B7" s="1" t="s">
        <v>120</v>
      </c>
      <c r="C7" s="1" t="s">
        <v>128</v>
      </c>
      <c r="D7" s="1" t="str">
        <f>"3431"</f>
        <v>3431</v>
      </c>
      <c r="E7" s="1" t="str">
        <f>"006911415"</f>
        <v>006911415</v>
      </c>
      <c r="F7" s="1" t="s">
        <v>129</v>
      </c>
      <c r="G7" s="1" t="s">
        <v>16</v>
      </c>
      <c r="H7" s="1" t="str">
        <f>"1"</f>
        <v>1</v>
      </c>
      <c r="I7" s="2" t="str">
        <f>"1805"</f>
        <v>1805</v>
      </c>
      <c r="J7" s="3">
        <v>46115</v>
      </c>
      <c r="K7" s="1" t="s">
        <v>130</v>
      </c>
    </row>
    <row r="8" spans="1:11" x14ac:dyDescent="0.35">
      <c r="A8" s="1" t="s">
        <v>18</v>
      </c>
      <c r="B8" s="1" t="s">
        <v>120</v>
      </c>
      <c r="C8" s="1" t="s">
        <v>137</v>
      </c>
      <c r="D8" s="1" t="str">
        <f>"4120"</f>
        <v>4120</v>
      </c>
      <c r="E8" s="1" t="s">
        <v>138</v>
      </c>
      <c r="F8" s="1" t="s">
        <v>139</v>
      </c>
      <c r="G8" s="1" t="s">
        <v>16</v>
      </c>
      <c r="H8" s="1" t="str">
        <f>"3"</f>
        <v>3</v>
      </c>
      <c r="I8" s="2" t="str">
        <f>"93134"</f>
        <v>93134</v>
      </c>
      <c r="J8" s="3">
        <v>46115</v>
      </c>
      <c r="K8" s="1" t="s">
        <v>140</v>
      </c>
    </row>
    <row r="9" spans="1:11" x14ac:dyDescent="0.35">
      <c r="A9" s="1" t="s">
        <v>18</v>
      </c>
      <c r="B9" s="1" t="s">
        <v>120</v>
      </c>
      <c r="C9" s="1" t="s">
        <v>141</v>
      </c>
      <c r="D9" s="1" t="str">
        <f>"5440"</f>
        <v>5440</v>
      </c>
      <c r="E9" s="1" t="s">
        <v>142</v>
      </c>
      <c r="F9" s="1" t="s">
        <v>143</v>
      </c>
      <c r="G9" s="1" t="s">
        <v>16</v>
      </c>
      <c r="H9" s="1" t="str">
        <f>"1"</f>
        <v>1</v>
      </c>
      <c r="I9" s="2">
        <v>456.32</v>
      </c>
      <c r="J9" s="3">
        <v>46115</v>
      </c>
      <c r="K9" s="1" t="s">
        <v>144</v>
      </c>
    </row>
    <row r="10" spans="1:11" x14ac:dyDescent="0.35">
      <c r="A10" s="1" t="s">
        <v>18</v>
      </c>
      <c r="B10" s="1" t="s">
        <v>120</v>
      </c>
      <c r="C10" s="1" t="s">
        <v>145</v>
      </c>
      <c r="D10" s="1" t="str">
        <f>"6350"</f>
        <v>6350</v>
      </c>
      <c r="E10" s="1" t="s">
        <v>146</v>
      </c>
      <c r="F10" s="1" t="s">
        <v>147</v>
      </c>
      <c r="G10" s="1" t="s">
        <v>16</v>
      </c>
      <c r="H10" s="1" t="str">
        <f>"1"</f>
        <v>1</v>
      </c>
      <c r="I10" s="2" t="str">
        <f>"3350"</f>
        <v>3350</v>
      </c>
      <c r="J10" s="3">
        <v>46115</v>
      </c>
      <c r="K10" s="1" t="s">
        <v>148</v>
      </c>
    </row>
    <row r="11" spans="1:11" x14ac:dyDescent="0.35">
      <c r="A11" s="1" t="s">
        <v>18</v>
      </c>
      <c r="B11" s="1" t="s">
        <v>120</v>
      </c>
      <c r="C11" s="1" t="s">
        <v>133</v>
      </c>
      <c r="D11" s="1" t="str">
        <f>"3825"</f>
        <v>3825</v>
      </c>
      <c r="E11" s="1" t="s">
        <v>134</v>
      </c>
      <c r="F11" s="1" t="s">
        <v>135</v>
      </c>
      <c r="G11" s="1" t="s">
        <v>16</v>
      </c>
      <c r="H11" s="1" t="str">
        <f>"1"</f>
        <v>1</v>
      </c>
      <c r="I11" s="2" t="str">
        <f>"134250"</f>
        <v>134250</v>
      </c>
      <c r="J11" s="3">
        <v>46118</v>
      </c>
      <c r="K11" s="1" t="s">
        <v>136</v>
      </c>
    </row>
    <row r="12" spans="1:11" x14ac:dyDescent="0.35">
      <c r="A12" s="1" t="s">
        <v>18</v>
      </c>
      <c r="B12" s="1" t="s">
        <v>168</v>
      </c>
      <c r="C12" s="1" t="s">
        <v>169</v>
      </c>
      <c r="D12" s="1" t="str">
        <f>"6210"</f>
        <v>6210</v>
      </c>
      <c r="E12" s="1" t="s">
        <v>170</v>
      </c>
      <c r="F12" s="1" t="s">
        <v>171</v>
      </c>
      <c r="G12" s="1" t="s">
        <v>16</v>
      </c>
      <c r="H12" s="1" t="str">
        <f>"1"</f>
        <v>1</v>
      </c>
      <c r="I12" s="2">
        <v>19359.59</v>
      </c>
      <c r="J12" s="3">
        <v>46119</v>
      </c>
      <c r="K12" s="1" t="s">
        <v>172</v>
      </c>
    </row>
    <row r="13" spans="1:11" x14ac:dyDescent="0.35">
      <c r="A13" s="1" t="s">
        <v>18</v>
      </c>
      <c r="B13" s="1" t="s">
        <v>30</v>
      </c>
      <c r="C13" s="1" t="s">
        <v>31</v>
      </c>
      <c r="D13" s="1" t="str">
        <f>"1095"</f>
        <v>1095</v>
      </c>
      <c r="E13" s="1" t="str">
        <f>"015240488"</f>
        <v>015240488</v>
      </c>
      <c r="F13" s="1" t="s">
        <v>32</v>
      </c>
      <c r="G13" s="1" t="s">
        <v>16</v>
      </c>
      <c r="H13" s="1" t="str">
        <f>"14"</f>
        <v>14</v>
      </c>
      <c r="I13" s="2" t="str">
        <f>"150"</f>
        <v>150</v>
      </c>
      <c r="J13" s="3">
        <v>46120</v>
      </c>
      <c r="K13" s="1" t="s">
        <v>33</v>
      </c>
    </row>
    <row r="14" spans="1:11" x14ac:dyDescent="0.35">
      <c r="A14" s="1" t="s">
        <v>18</v>
      </c>
      <c r="B14" s="1" t="s">
        <v>30</v>
      </c>
      <c r="C14" s="1" t="s">
        <v>50</v>
      </c>
      <c r="D14" s="1" t="str">
        <f>"8465"</f>
        <v>8465</v>
      </c>
      <c r="E14" s="1" t="str">
        <f>"015801303"</f>
        <v>015801303</v>
      </c>
      <c r="F14" s="1" t="s">
        <v>51</v>
      </c>
      <c r="G14" s="1" t="s">
        <v>16</v>
      </c>
      <c r="H14" s="1" t="str">
        <f>"25"</f>
        <v>25</v>
      </c>
      <c r="I14" s="2">
        <v>19.87</v>
      </c>
      <c r="J14" s="3">
        <v>46120</v>
      </c>
      <c r="K14" s="1" t="s">
        <v>52</v>
      </c>
    </row>
    <row r="15" spans="1:11" x14ac:dyDescent="0.35">
      <c r="A15" s="1" t="s">
        <v>18</v>
      </c>
      <c r="B15" s="1" t="s">
        <v>30</v>
      </c>
      <c r="C15" s="1" t="s">
        <v>53</v>
      </c>
      <c r="D15" s="1" t="str">
        <f>"8465"</f>
        <v>8465</v>
      </c>
      <c r="E15" s="1" t="str">
        <f>"015472656"</f>
        <v>015472656</v>
      </c>
      <c r="F15" s="1" t="s">
        <v>54</v>
      </c>
      <c r="G15" s="1" t="s">
        <v>16</v>
      </c>
      <c r="H15" s="1" t="str">
        <f>"25"</f>
        <v>25</v>
      </c>
      <c r="I15" s="2">
        <v>14.43</v>
      </c>
      <c r="J15" s="3">
        <v>46120</v>
      </c>
      <c r="K15" s="1" t="s">
        <v>55</v>
      </c>
    </row>
    <row r="16" spans="1:11" x14ac:dyDescent="0.35">
      <c r="A16" s="1" t="s">
        <v>18</v>
      </c>
      <c r="B16" s="1" t="s">
        <v>30</v>
      </c>
      <c r="C16" s="1" t="s">
        <v>56</v>
      </c>
      <c r="D16" s="1" t="str">
        <f>"8465"</f>
        <v>8465</v>
      </c>
      <c r="E16" s="1" t="str">
        <f>"015800689"</f>
        <v>015800689</v>
      </c>
      <c r="F16" s="1" t="s">
        <v>57</v>
      </c>
      <c r="G16" s="1" t="s">
        <v>16</v>
      </c>
      <c r="H16" s="1" t="str">
        <f>"25"</f>
        <v>25</v>
      </c>
      <c r="I16" s="2" t="str">
        <f>"36"</f>
        <v>36</v>
      </c>
      <c r="J16" s="3">
        <v>46120</v>
      </c>
      <c r="K16" s="1" t="s">
        <v>58</v>
      </c>
    </row>
    <row r="17" spans="1:11" x14ac:dyDescent="0.35">
      <c r="A17" s="1" t="s">
        <v>18</v>
      </c>
      <c r="B17" s="1" t="s">
        <v>30</v>
      </c>
      <c r="C17" s="1" t="s">
        <v>37</v>
      </c>
      <c r="D17" s="1" t="str">
        <f>"7105"</f>
        <v>7105</v>
      </c>
      <c r="E17" s="1" t="s">
        <v>38</v>
      </c>
      <c r="F17" s="1" t="s">
        <v>39</v>
      </c>
      <c r="G17" s="1" t="s">
        <v>16</v>
      </c>
      <c r="H17" s="1" t="str">
        <f>"25"</f>
        <v>25</v>
      </c>
      <c r="I17" s="2">
        <v>799.99</v>
      </c>
      <c r="J17" s="3">
        <v>46121</v>
      </c>
      <c r="K17" s="1" t="s">
        <v>40</v>
      </c>
    </row>
    <row r="18" spans="1:11" x14ac:dyDescent="0.35">
      <c r="A18" s="1" t="s">
        <v>18</v>
      </c>
      <c r="B18" s="1" t="s">
        <v>152</v>
      </c>
      <c r="C18" s="1" t="s">
        <v>155</v>
      </c>
      <c r="D18" s="1" t="str">
        <f>"2340"</f>
        <v>2340</v>
      </c>
      <c r="E18" s="1" t="s">
        <v>61</v>
      </c>
      <c r="F18" s="1" t="s">
        <v>62</v>
      </c>
      <c r="G18" s="1" t="s">
        <v>16</v>
      </c>
      <c r="H18" s="1" t="str">
        <f>"1"</f>
        <v>1</v>
      </c>
      <c r="I18" s="2" t="str">
        <f>"1000"</f>
        <v>1000</v>
      </c>
      <c r="J18" s="3">
        <v>46121</v>
      </c>
      <c r="K18" s="1" t="s">
        <v>156</v>
      </c>
    </row>
    <row r="19" spans="1:11" x14ac:dyDescent="0.35">
      <c r="A19" s="1" t="s">
        <v>18</v>
      </c>
      <c r="B19" s="1" t="s">
        <v>92</v>
      </c>
      <c r="C19" s="1" t="s">
        <v>93</v>
      </c>
      <c r="D19" s="1" t="str">
        <f>"1005"</f>
        <v>1005</v>
      </c>
      <c r="E19" s="1" t="s">
        <v>94</v>
      </c>
      <c r="F19" s="1" t="s">
        <v>95</v>
      </c>
      <c r="G19" s="1" t="s">
        <v>16</v>
      </c>
      <c r="H19" s="1" t="str">
        <f>"67"</f>
        <v>67</v>
      </c>
      <c r="I19" s="2" t="str">
        <f>"25"</f>
        <v>25</v>
      </c>
      <c r="J19" s="3">
        <v>46122</v>
      </c>
      <c r="K19" s="1" t="s">
        <v>96</v>
      </c>
    </row>
    <row r="20" spans="1:11" x14ac:dyDescent="0.35">
      <c r="A20" s="1" t="s">
        <v>18</v>
      </c>
      <c r="B20" s="1" t="s">
        <v>92</v>
      </c>
      <c r="C20" s="1" t="s">
        <v>106</v>
      </c>
      <c r="D20" s="1" t="str">
        <f>"3895"</f>
        <v>3895</v>
      </c>
      <c r="E20" s="1" t="s">
        <v>107</v>
      </c>
      <c r="F20" s="1" t="s">
        <v>108</v>
      </c>
      <c r="G20" s="1" t="s">
        <v>16</v>
      </c>
      <c r="H20" s="1" t="str">
        <f>"1"</f>
        <v>1</v>
      </c>
      <c r="I20" s="2" t="str">
        <f>"25831"</f>
        <v>25831</v>
      </c>
      <c r="J20" s="3">
        <v>46125</v>
      </c>
      <c r="K20" s="1" t="s">
        <v>109</v>
      </c>
    </row>
    <row r="21" spans="1:11" x14ac:dyDescent="0.35">
      <c r="A21" s="1" t="s">
        <v>18</v>
      </c>
      <c r="B21" s="1" t="s">
        <v>92</v>
      </c>
      <c r="C21" s="1" t="s">
        <v>116</v>
      </c>
      <c r="D21" s="1" t="str">
        <f>"8150"</f>
        <v>8150</v>
      </c>
      <c r="E21" s="1" t="str">
        <f>"014839121"</f>
        <v>014839121</v>
      </c>
      <c r="F21" s="1" t="s">
        <v>117</v>
      </c>
      <c r="G21" s="1" t="s">
        <v>16</v>
      </c>
      <c r="H21" s="1" t="str">
        <f>"1"</f>
        <v>1</v>
      </c>
      <c r="I21" s="2">
        <v>7028.48</v>
      </c>
      <c r="J21" s="3">
        <v>46125</v>
      </c>
      <c r="K21" s="1" t="s">
        <v>118</v>
      </c>
    </row>
    <row r="22" spans="1:11" x14ac:dyDescent="0.35">
      <c r="A22" s="1" t="s">
        <v>18</v>
      </c>
      <c r="B22" s="1" t="s">
        <v>92</v>
      </c>
      <c r="C22" s="1" t="s">
        <v>119</v>
      </c>
      <c r="D22" s="1" t="str">
        <f>"8150"</f>
        <v>8150</v>
      </c>
      <c r="E22" s="1" t="str">
        <f>"014839121"</f>
        <v>014839121</v>
      </c>
      <c r="F22" s="1" t="s">
        <v>117</v>
      </c>
      <c r="G22" s="1" t="s">
        <v>16</v>
      </c>
      <c r="H22" s="1" t="str">
        <f>"1"</f>
        <v>1</v>
      </c>
      <c r="I22" s="2">
        <v>7028.48</v>
      </c>
      <c r="J22" s="3">
        <v>46125</v>
      </c>
      <c r="K22" s="1" t="s">
        <v>118</v>
      </c>
    </row>
    <row r="23" spans="1:11" x14ac:dyDescent="0.35">
      <c r="A23" s="1" t="s">
        <v>18</v>
      </c>
      <c r="B23" s="1" t="s">
        <v>181</v>
      </c>
      <c r="C23" s="1" t="s">
        <v>235</v>
      </c>
      <c r="D23" s="1" t="str">
        <f>"6545"</f>
        <v>6545</v>
      </c>
      <c r="E23" s="1" t="str">
        <f>"015300929"</f>
        <v>015300929</v>
      </c>
      <c r="F23" s="1" t="s">
        <v>236</v>
      </c>
      <c r="G23" s="1" t="s">
        <v>215</v>
      </c>
      <c r="H23" s="1" t="str">
        <f>"6"</f>
        <v>6</v>
      </c>
      <c r="I23" s="2">
        <v>48.71</v>
      </c>
      <c r="J23" s="3">
        <v>46125</v>
      </c>
      <c r="K23" s="1" t="s">
        <v>237</v>
      </c>
    </row>
    <row r="24" spans="1:11" x14ac:dyDescent="0.35">
      <c r="A24" s="1" t="s">
        <v>18</v>
      </c>
      <c r="B24" s="1" t="s">
        <v>59</v>
      </c>
      <c r="C24" s="1" t="s">
        <v>60</v>
      </c>
      <c r="D24" s="1" t="str">
        <f>"2340"</f>
        <v>2340</v>
      </c>
      <c r="E24" s="1" t="s">
        <v>61</v>
      </c>
      <c r="F24" s="1" t="s">
        <v>62</v>
      </c>
      <c r="G24" s="1" t="s">
        <v>16</v>
      </c>
      <c r="H24" s="1" t="str">
        <f>"1"</f>
        <v>1</v>
      </c>
      <c r="I24" s="2" t="str">
        <f>"27028"</f>
        <v>27028</v>
      </c>
      <c r="J24" s="3">
        <v>46126</v>
      </c>
      <c r="K24" s="1" t="s">
        <v>63</v>
      </c>
    </row>
    <row r="25" spans="1:11" x14ac:dyDescent="0.35">
      <c r="A25" s="1" t="s">
        <v>18</v>
      </c>
      <c r="B25" s="1" t="s">
        <v>59</v>
      </c>
      <c r="C25" s="1" t="s">
        <v>64</v>
      </c>
      <c r="D25" s="1" t="str">
        <f>"2340"</f>
        <v>2340</v>
      </c>
      <c r="E25" s="1" t="s">
        <v>61</v>
      </c>
      <c r="F25" s="1" t="s">
        <v>62</v>
      </c>
      <c r="G25" s="1" t="s">
        <v>16</v>
      </c>
      <c r="H25" s="1" t="str">
        <f>"1"</f>
        <v>1</v>
      </c>
      <c r="I25" s="2" t="str">
        <f>"27028"</f>
        <v>27028</v>
      </c>
      <c r="J25" s="3">
        <v>46126</v>
      </c>
      <c r="K25" s="1" t="s">
        <v>63</v>
      </c>
    </row>
    <row r="26" spans="1:11" x14ac:dyDescent="0.35">
      <c r="A26" s="1" t="s">
        <v>18</v>
      </c>
      <c r="B26" s="1" t="s">
        <v>181</v>
      </c>
      <c r="C26" s="1" t="s">
        <v>223</v>
      </c>
      <c r="D26" s="1" t="str">
        <f>"6115"</f>
        <v>6115</v>
      </c>
      <c r="E26" s="1" t="str">
        <f>"013199033"</f>
        <v>013199033</v>
      </c>
      <c r="F26" s="1" t="s">
        <v>224</v>
      </c>
      <c r="G26" s="1" t="s">
        <v>16</v>
      </c>
      <c r="H26" s="1" t="str">
        <f>"1"</f>
        <v>1</v>
      </c>
      <c r="I26" s="2" t="str">
        <f>"18183"</f>
        <v>18183</v>
      </c>
      <c r="J26" s="3">
        <v>46129</v>
      </c>
      <c r="K26" s="1" t="s">
        <v>225</v>
      </c>
    </row>
    <row r="27" spans="1:11" x14ac:dyDescent="0.35">
      <c r="A27" s="1" t="s">
        <v>18</v>
      </c>
      <c r="B27" s="1" t="s">
        <v>181</v>
      </c>
      <c r="C27" s="1" t="s">
        <v>251</v>
      </c>
      <c r="D27" s="1" t="str">
        <f>"8340"</f>
        <v>8340</v>
      </c>
      <c r="E27" s="1" t="s">
        <v>252</v>
      </c>
      <c r="F27" s="1" t="s">
        <v>253</v>
      </c>
      <c r="G27" s="1" t="s">
        <v>16</v>
      </c>
      <c r="H27" s="1" t="str">
        <f>"1"</f>
        <v>1</v>
      </c>
      <c r="I27" s="2" t="str">
        <f>"100000"</f>
        <v>100000</v>
      </c>
      <c r="J27" s="3">
        <v>46129</v>
      </c>
      <c r="K27" s="1" t="s">
        <v>254</v>
      </c>
    </row>
    <row r="28" spans="1:11" x14ac:dyDescent="0.35">
      <c r="A28" s="1" t="s">
        <v>18</v>
      </c>
      <c r="B28" s="1" t="s">
        <v>362</v>
      </c>
      <c r="C28" s="1" t="s">
        <v>367</v>
      </c>
      <c r="D28" s="1" t="str">
        <f>"2320"</f>
        <v>2320</v>
      </c>
      <c r="E28" s="1" t="str">
        <f>"010907892"</f>
        <v>010907892</v>
      </c>
      <c r="F28" s="1" t="s">
        <v>271</v>
      </c>
      <c r="G28" s="1" t="s">
        <v>16</v>
      </c>
      <c r="H28" s="1" t="str">
        <f>"1"</f>
        <v>1</v>
      </c>
      <c r="I28" s="2" t="str">
        <f>"23000"</f>
        <v>23000</v>
      </c>
      <c r="J28" s="3">
        <v>46129</v>
      </c>
      <c r="K28" s="1" t="s">
        <v>368</v>
      </c>
    </row>
    <row r="29" spans="1:11" x14ac:dyDescent="0.35">
      <c r="A29" s="1" t="s">
        <v>18</v>
      </c>
      <c r="B29" s="1" t="s">
        <v>362</v>
      </c>
      <c r="C29" s="1" t="s">
        <v>387</v>
      </c>
      <c r="D29" s="1" t="str">
        <f>"4110"</f>
        <v>4110</v>
      </c>
      <c r="E29" s="1" t="s">
        <v>388</v>
      </c>
      <c r="F29" s="1" t="s">
        <v>389</v>
      </c>
      <c r="G29" s="1" t="s">
        <v>16</v>
      </c>
      <c r="H29" s="1" t="str">
        <f>"1"</f>
        <v>1</v>
      </c>
      <c r="I29" s="2" t="str">
        <f>"1200"</f>
        <v>1200</v>
      </c>
      <c r="J29" s="3">
        <v>46129</v>
      </c>
      <c r="K29" s="1" t="s">
        <v>390</v>
      </c>
    </row>
    <row r="30" spans="1:11" x14ac:dyDescent="0.35">
      <c r="A30" s="1" t="s">
        <v>18</v>
      </c>
      <c r="B30" s="1" t="s">
        <v>362</v>
      </c>
      <c r="C30" s="1" t="s">
        <v>395</v>
      </c>
      <c r="D30" s="1" t="str">
        <f>"4110"</f>
        <v>4110</v>
      </c>
      <c r="E30" s="1" t="str">
        <f>"016299593"</f>
        <v>016299593</v>
      </c>
      <c r="F30" s="1" t="s">
        <v>396</v>
      </c>
      <c r="G30" s="1" t="s">
        <v>16</v>
      </c>
      <c r="H30" s="1" t="str">
        <f>"1"</f>
        <v>1</v>
      </c>
      <c r="I30" s="2">
        <v>15213.33</v>
      </c>
      <c r="J30" s="3">
        <v>46129</v>
      </c>
      <c r="K30" s="1" t="s">
        <v>390</v>
      </c>
    </row>
    <row r="31" spans="1:11" x14ac:dyDescent="0.35">
      <c r="A31" s="1" t="s">
        <v>18</v>
      </c>
      <c r="B31" s="1" t="s">
        <v>152</v>
      </c>
      <c r="C31" s="1" t="s">
        <v>165</v>
      </c>
      <c r="D31" s="1" t="str">
        <f>"7025"</f>
        <v>7025</v>
      </c>
      <c r="E31" s="1" t="str">
        <f>"016415458"</f>
        <v>016415458</v>
      </c>
      <c r="F31" s="1" t="s">
        <v>166</v>
      </c>
      <c r="G31" s="1" t="s">
        <v>16</v>
      </c>
      <c r="H31" s="1" t="str">
        <f>"1"</f>
        <v>1</v>
      </c>
      <c r="I31" s="2">
        <v>217980.28</v>
      </c>
      <c r="J31" s="3">
        <v>46134</v>
      </c>
      <c r="K31" s="1" t="s">
        <v>167</v>
      </c>
    </row>
    <row r="32" spans="1:11" x14ac:dyDescent="0.35">
      <c r="A32" s="1" t="s">
        <v>18</v>
      </c>
      <c r="B32" s="1" t="s">
        <v>181</v>
      </c>
      <c r="C32" s="1" t="s">
        <v>193</v>
      </c>
      <c r="D32" s="1" t="str">
        <f>"1095"</f>
        <v>1095</v>
      </c>
      <c r="E32" s="1" t="str">
        <f>"015432189"</f>
        <v>015432189</v>
      </c>
      <c r="F32" s="1" t="s">
        <v>25</v>
      </c>
      <c r="G32" s="1" t="s">
        <v>16</v>
      </c>
      <c r="H32" s="1" t="str">
        <f>"6"</f>
        <v>6</v>
      </c>
      <c r="I32" s="2" t="str">
        <f>"959"</f>
        <v>959</v>
      </c>
      <c r="J32" s="3">
        <v>46134</v>
      </c>
      <c r="K32" s="1" t="s">
        <v>194</v>
      </c>
    </row>
    <row r="33" spans="1:11" x14ac:dyDescent="0.35">
      <c r="A33" s="1" t="s">
        <v>18</v>
      </c>
      <c r="B33" s="1" t="s">
        <v>269</v>
      </c>
      <c r="C33" s="1" t="s">
        <v>292</v>
      </c>
      <c r="D33" s="1" t="str">
        <f>"5340"</f>
        <v>5340</v>
      </c>
      <c r="E33" s="1" t="str">
        <f>"016060221"</f>
        <v>016060221</v>
      </c>
      <c r="F33" s="1" t="s">
        <v>293</v>
      </c>
      <c r="G33" s="1" t="s">
        <v>16</v>
      </c>
      <c r="H33" s="1" t="str">
        <f>"1"</f>
        <v>1</v>
      </c>
      <c r="I33" s="2">
        <v>743.3</v>
      </c>
      <c r="J33" s="3">
        <v>46134</v>
      </c>
      <c r="K33" s="1" t="s">
        <v>294</v>
      </c>
    </row>
    <row r="34" spans="1:11" x14ac:dyDescent="0.35">
      <c r="A34" s="1" t="s">
        <v>18</v>
      </c>
      <c r="B34" s="1" t="s">
        <v>269</v>
      </c>
      <c r="C34" s="1" t="s">
        <v>295</v>
      </c>
      <c r="D34" s="1" t="str">
        <f>"5340"</f>
        <v>5340</v>
      </c>
      <c r="E34" s="1" t="str">
        <f>"016060221"</f>
        <v>016060221</v>
      </c>
      <c r="F34" s="1" t="s">
        <v>293</v>
      </c>
      <c r="G34" s="1" t="s">
        <v>16</v>
      </c>
      <c r="H34" s="1" t="str">
        <f>"1"</f>
        <v>1</v>
      </c>
      <c r="I34" s="2">
        <v>743.3</v>
      </c>
      <c r="J34" s="3">
        <v>46134</v>
      </c>
      <c r="K34" s="1" t="s">
        <v>294</v>
      </c>
    </row>
    <row r="35" spans="1:11" x14ac:dyDescent="0.35">
      <c r="A35" s="1" t="s">
        <v>18</v>
      </c>
      <c r="B35" s="1" t="s">
        <v>362</v>
      </c>
      <c r="C35" s="1" t="s">
        <v>397</v>
      </c>
      <c r="D35" s="1" t="str">
        <f>"4140"</f>
        <v>4140</v>
      </c>
      <c r="E35" s="1" t="s">
        <v>398</v>
      </c>
      <c r="F35" s="1" t="s">
        <v>399</v>
      </c>
      <c r="G35" s="1" t="s">
        <v>16</v>
      </c>
      <c r="H35" s="1" t="str">
        <f>"2"</f>
        <v>2</v>
      </c>
      <c r="I35" s="2" t="str">
        <f>"1500"</f>
        <v>1500</v>
      </c>
      <c r="J35" s="3">
        <v>46134</v>
      </c>
      <c r="K35" s="1" t="s">
        <v>400</v>
      </c>
    </row>
    <row r="36" spans="1:11" x14ac:dyDescent="0.35">
      <c r="A36" s="1" t="s">
        <v>18</v>
      </c>
      <c r="B36" s="1" t="s">
        <v>120</v>
      </c>
      <c r="C36" s="1" t="s">
        <v>131</v>
      </c>
      <c r="D36" s="1" t="str">
        <f>"3805"</f>
        <v>3805</v>
      </c>
      <c r="E36" s="1" t="str">
        <f>"012729749"</f>
        <v>012729749</v>
      </c>
      <c r="F36" s="1" t="s">
        <v>132</v>
      </c>
      <c r="G36" s="1" t="s">
        <v>16</v>
      </c>
      <c r="H36" s="1" t="str">
        <f>"1"</f>
        <v>1</v>
      </c>
      <c r="I36" s="2">
        <v>138265.54999999999</v>
      </c>
      <c r="J36" s="3">
        <v>46135</v>
      </c>
      <c r="K36" s="1" t="s">
        <v>5165</v>
      </c>
    </row>
    <row r="37" spans="1:11" x14ac:dyDescent="0.35">
      <c r="A37" s="1" t="s">
        <v>18</v>
      </c>
      <c r="B37" s="1" t="s">
        <v>362</v>
      </c>
      <c r="C37" s="1" t="s">
        <v>363</v>
      </c>
      <c r="D37" s="1" t="str">
        <f>"1990"</f>
        <v>1990</v>
      </c>
      <c r="E37" s="1" t="s">
        <v>364</v>
      </c>
      <c r="F37" s="1" t="s">
        <v>365</v>
      </c>
      <c r="G37" s="1" t="s">
        <v>16</v>
      </c>
      <c r="H37" s="1" t="str">
        <f>"1"</f>
        <v>1</v>
      </c>
      <c r="I37" s="2" t="str">
        <f>"42624"</f>
        <v>42624</v>
      </c>
      <c r="J37" s="3">
        <v>46135</v>
      </c>
      <c r="K37" s="1" t="s">
        <v>366</v>
      </c>
    </row>
    <row r="38" spans="1:11" x14ac:dyDescent="0.35">
      <c r="A38" s="1" t="s">
        <v>18</v>
      </c>
      <c r="B38" s="1" t="s">
        <v>362</v>
      </c>
      <c r="C38" s="1" t="s">
        <v>372</v>
      </c>
      <c r="D38" s="1" t="str">
        <f>"2330"</f>
        <v>2330</v>
      </c>
      <c r="E38" s="1" t="s">
        <v>70</v>
      </c>
      <c r="F38" s="1" t="s">
        <v>71</v>
      </c>
      <c r="G38" s="1" t="s">
        <v>16</v>
      </c>
      <c r="H38" s="1" t="str">
        <f>"1"</f>
        <v>1</v>
      </c>
      <c r="I38" s="2" t="str">
        <f>"10400"</f>
        <v>10400</v>
      </c>
      <c r="J38" s="3">
        <v>46135</v>
      </c>
      <c r="K38" s="1" t="s">
        <v>373</v>
      </c>
    </row>
    <row r="39" spans="1:11" x14ac:dyDescent="0.35">
      <c r="A39" s="1" t="s">
        <v>18</v>
      </c>
      <c r="B39" s="1" t="s">
        <v>362</v>
      </c>
      <c r="C39" s="1" t="s">
        <v>374</v>
      </c>
      <c r="D39" s="1" t="str">
        <f>"2420"</f>
        <v>2420</v>
      </c>
      <c r="E39" s="1" t="str">
        <f>"013916071"</f>
        <v>013916071</v>
      </c>
      <c r="F39" s="1" t="s">
        <v>98</v>
      </c>
      <c r="G39" s="1" t="s">
        <v>16</v>
      </c>
      <c r="H39" s="1" t="str">
        <f>"1"</f>
        <v>1</v>
      </c>
      <c r="I39" s="2" t="str">
        <f>"23945"</f>
        <v>23945</v>
      </c>
      <c r="J39" s="3">
        <v>46135</v>
      </c>
      <c r="K39" s="1" t="s">
        <v>375</v>
      </c>
    </row>
    <row r="40" spans="1:11" x14ac:dyDescent="0.35">
      <c r="A40" s="1" t="s">
        <v>18</v>
      </c>
      <c r="B40" s="1" t="s">
        <v>362</v>
      </c>
      <c r="C40" s="1" t="s">
        <v>369</v>
      </c>
      <c r="D40" s="1" t="str">
        <f>"2320"</f>
        <v>2320</v>
      </c>
      <c r="E40" s="1" t="str">
        <f>"007529812"</f>
        <v>007529812</v>
      </c>
      <c r="F40" s="1" t="s">
        <v>370</v>
      </c>
      <c r="G40" s="1" t="s">
        <v>16</v>
      </c>
      <c r="H40" s="1" t="str">
        <f>"1"</f>
        <v>1</v>
      </c>
      <c r="I40" s="2" t="str">
        <f>"21046"</f>
        <v>21046</v>
      </c>
      <c r="J40" s="3">
        <v>46140</v>
      </c>
      <c r="K40" s="1" t="s">
        <v>371</v>
      </c>
    </row>
    <row r="41" spans="1:11" x14ac:dyDescent="0.35">
      <c r="A41" s="1" t="s">
        <v>18</v>
      </c>
      <c r="B41" s="1" t="s">
        <v>23</v>
      </c>
      <c r="C41" s="1" t="s">
        <v>24</v>
      </c>
      <c r="D41" s="1" t="str">
        <f>"1095"</f>
        <v>1095</v>
      </c>
      <c r="E41" s="1" t="str">
        <f>"015432189"</f>
        <v>015432189</v>
      </c>
      <c r="F41" s="1" t="s">
        <v>25</v>
      </c>
      <c r="G41" s="1" t="s">
        <v>16</v>
      </c>
      <c r="H41" s="1" t="str">
        <f>"27"</f>
        <v>27</v>
      </c>
      <c r="I41" s="2" t="str">
        <f>"959"</f>
        <v>959</v>
      </c>
      <c r="J41" s="3">
        <v>46141</v>
      </c>
      <c r="K41" s="1" t="s">
        <v>26</v>
      </c>
    </row>
    <row r="42" spans="1:11" x14ac:dyDescent="0.35">
      <c r="A42" s="1" t="s">
        <v>18</v>
      </c>
      <c r="B42" s="1" t="s">
        <v>181</v>
      </c>
      <c r="C42" s="1" t="s">
        <v>195</v>
      </c>
      <c r="D42" s="1" t="str">
        <f>"1385"</f>
        <v>1385</v>
      </c>
      <c r="E42" s="1" t="str">
        <f>"016724286"</f>
        <v>016724286</v>
      </c>
      <c r="F42" s="1" t="s">
        <v>196</v>
      </c>
      <c r="G42" s="1" t="s">
        <v>16</v>
      </c>
      <c r="H42" s="1" t="str">
        <f>"1"</f>
        <v>1</v>
      </c>
      <c r="I42" s="2" t="str">
        <f>"83364"</f>
        <v>83364</v>
      </c>
      <c r="J42" s="3">
        <v>46148</v>
      </c>
      <c r="K42" s="1" t="s">
        <v>197</v>
      </c>
    </row>
    <row r="43" spans="1:11" x14ac:dyDescent="0.35">
      <c r="A43" s="1" t="s">
        <v>18</v>
      </c>
      <c r="B43" s="1" t="s">
        <v>181</v>
      </c>
      <c r="C43" s="1" t="s">
        <v>207</v>
      </c>
      <c r="D43" s="1" t="str">
        <f>"4240"</f>
        <v>4240</v>
      </c>
      <c r="E43" s="1" t="str">
        <f>"015391517"</f>
        <v>015391517</v>
      </c>
      <c r="F43" s="1" t="s">
        <v>208</v>
      </c>
      <c r="G43" s="1" t="s">
        <v>16</v>
      </c>
      <c r="H43" s="1" t="str">
        <f>"10"</f>
        <v>10</v>
      </c>
      <c r="I43" s="2">
        <v>23.28</v>
      </c>
      <c r="J43" s="3">
        <v>46148</v>
      </c>
      <c r="K43" s="1" t="s">
        <v>209</v>
      </c>
    </row>
    <row r="44" spans="1:11" x14ac:dyDescent="0.35">
      <c r="A44" s="1" t="s">
        <v>18</v>
      </c>
      <c r="B44" s="1" t="s">
        <v>181</v>
      </c>
      <c r="C44" s="1" t="s">
        <v>210</v>
      </c>
      <c r="D44" s="1" t="str">
        <f>"4240"</f>
        <v>4240</v>
      </c>
      <c r="E44" s="1" t="str">
        <f>"015184626"</f>
        <v>015184626</v>
      </c>
      <c r="F44" s="1" t="s">
        <v>211</v>
      </c>
      <c r="G44" s="1" t="s">
        <v>16</v>
      </c>
      <c r="H44" s="1" t="str">
        <f>"4"</f>
        <v>4</v>
      </c>
      <c r="I44" s="2">
        <v>6334.95</v>
      </c>
      <c r="J44" s="3">
        <v>46148</v>
      </c>
      <c r="K44" s="1" t="s">
        <v>212</v>
      </c>
    </row>
    <row r="45" spans="1:11" x14ac:dyDescent="0.35">
      <c r="A45" s="1" t="s">
        <v>18</v>
      </c>
      <c r="B45" s="1" t="s">
        <v>181</v>
      </c>
      <c r="C45" s="1" t="s">
        <v>229</v>
      </c>
      <c r="D45" s="1" t="str">
        <f>"6230"</f>
        <v>6230</v>
      </c>
      <c r="E45" s="1" t="str">
        <f>"015389928"</f>
        <v>015389928</v>
      </c>
      <c r="F45" s="1" t="s">
        <v>230</v>
      </c>
      <c r="G45" s="1" t="s">
        <v>16</v>
      </c>
      <c r="H45" s="1" t="str">
        <f>"4"</f>
        <v>4</v>
      </c>
      <c r="I45" s="2">
        <v>5290.07</v>
      </c>
      <c r="J45" s="3">
        <v>46148</v>
      </c>
      <c r="K45" s="1" t="s">
        <v>231</v>
      </c>
    </row>
    <row r="46" spans="1:11" x14ac:dyDescent="0.35">
      <c r="A46" s="1" t="s">
        <v>18</v>
      </c>
      <c r="B46" s="1" t="s">
        <v>152</v>
      </c>
      <c r="C46" s="1" t="s">
        <v>153</v>
      </c>
      <c r="D46" s="1" t="str">
        <f>"2330"</f>
        <v>2330</v>
      </c>
      <c r="E46" s="1" t="s">
        <v>70</v>
      </c>
      <c r="F46" s="1" t="s">
        <v>71</v>
      </c>
      <c r="G46" s="1" t="s">
        <v>16</v>
      </c>
      <c r="H46" s="1" t="str">
        <f>"1"</f>
        <v>1</v>
      </c>
      <c r="I46" s="2">
        <v>7835.92</v>
      </c>
      <c r="J46" s="3">
        <v>46149</v>
      </c>
      <c r="K46" s="1" t="s">
        <v>154</v>
      </c>
    </row>
    <row r="47" spans="1:11" x14ac:dyDescent="0.35">
      <c r="A47" s="1" t="s">
        <v>18</v>
      </c>
      <c r="B47" s="1" t="s">
        <v>181</v>
      </c>
      <c r="C47" s="1" t="s">
        <v>182</v>
      </c>
      <c r="D47" s="1" t="str">
        <f>"1005"</f>
        <v>1005</v>
      </c>
      <c r="E47" s="1" t="str">
        <f>"015617200"</f>
        <v>015617200</v>
      </c>
      <c r="F47" s="1" t="s">
        <v>183</v>
      </c>
      <c r="G47" s="1" t="s">
        <v>16</v>
      </c>
      <c r="H47" s="1" t="str">
        <f>"18"</f>
        <v>18</v>
      </c>
      <c r="I47" s="2">
        <v>16.170000000000002</v>
      </c>
      <c r="J47" s="3">
        <v>46149</v>
      </c>
      <c r="K47" s="1" t="s">
        <v>184</v>
      </c>
    </row>
    <row r="48" spans="1:11" x14ac:dyDescent="0.35">
      <c r="A48" s="1" t="s">
        <v>18</v>
      </c>
      <c r="B48" s="1" t="s">
        <v>181</v>
      </c>
      <c r="C48" s="1" t="s">
        <v>205</v>
      </c>
      <c r="D48" s="1" t="str">
        <f>"2340"</f>
        <v>2340</v>
      </c>
      <c r="E48" s="1" t="s">
        <v>61</v>
      </c>
      <c r="F48" s="1" t="s">
        <v>62</v>
      </c>
      <c r="G48" s="1" t="s">
        <v>16</v>
      </c>
      <c r="H48" s="1" t="str">
        <f>"1"</f>
        <v>1</v>
      </c>
      <c r="I48" s="2">
        <v>8960.68</v>
      </c>
      <c r="J48" s="3">
        <v>46149</v>
      </c>
      <c r="K48" s="1" t="s">
        <v>206</v>
      </c>
    </row>
    <row r="49" spans="1:11" x14ac:dyDescent="0.35">
      <c r="A49" s="1" t="s">
        <v>18</v>
      </c>
      <c r="B49" s="1" t="s">
        <v>181</v>
      </c>
      <c r="C49" s="1" t="s">
        <v>213</v>
      </c>
      <c r="D49" s="1" t="str">
        <f>"5180"</f>
        <v>5180</v>
      </c>
      <c r="E49" s="1" t="str">
        <f>"006995273"</f>
        <v>006995273</v>
      </c>
      <c r="F49" s="1" t="s">
        <v>214</v>
      </c>
      <c r="G49" s="1" t="s">
        <v>215</v>
      </c>
      <c r="H49" s="1" t="str">
        <f>"1"</f>
        <v>1</v>
      </c>
      <c r="I49" s="2" t="str">
        <f>"2363"</f>
        <v>2363</v>
      </c>
      <c r="J49" s="3">
        <v>46149</v>
      </c>
      <c r="K49" s="1" t="s">
        <v>216</v>
      </c>
    </row>
    <row r="50" spans="1:11" x14ac:dyDescent="0.35">
      <c r="A50" s="1" t="s">
        <v>18</v>
      </c>
      <c r="B50" s="1" t="s">
        <v>181</v>
      </c>
      <c r="C50" s="1" t="s">
        <v>241</v>
      </c>
      <c r="D50" s="1" t="str">
        <f>"6920"</f>
        <v>6920</v>
      </c>
      <c r="E50" s="1" t="str">
        <f>"015922039"</f>
        <v>015922039</v>
      </c>
      <c r="F50" s="1" t="s">
        <v>242</v>
      </c>
      <c r="G50" s="1" t="s">
        <v>16</v>
      </c>
      <c r="H50" s="1" t="str">
        <f>"6"</f>
        <v>6</v>
      </c>
      <c r="I50" s="2" t="str">
        <f>"7424"</f>
        <v>7424</v>
      </c>
      <c r="J50" s="3">
        <v>46149</v>
      </c>
      <c r="K50" s="1" t="s">
        <v>243</v>
      </c>
    </row>
    <row r="51" spans="1:11" x14ac:dyDescent="0.35">
      <c r="A51" s="1" t="s">
        <v>18</v>
      </c>
      <c r="B51" s="1" t="s">
        <v>181</v>
      </c>
      <c r="C51" s="1" t="s">
        <v>244</v>
      </c>
      <c r="D51" s="1" t="str">
        <f>"6920"</f>
        <v>6920</v>
      </c>
      <c r="E51" s="1" t="str">
        <f>"015922109"</f>
        <v>015922109</v>
      </c>
      <c r="F51" s="1" t="s">
        <v>245</v>
      </c>
      <c r="G51" s="1" t="s">
        <v>16</v>
      </c>
      <c r="H51" s="1" t="str">
        <f>"6"</f>
        <v>6</v>
      </c>
      <c r="I51" s="2" t="str">
        <f>"6872"</f>
        <v>6872</v>
      </c>
      <c r="J51" s="3">
        <v>46149</v>
      </c>
      <c r="K51" s="1" t="s">
        <v>246</v>
      </c>
    </row>
    <row r="52" spans="1:11" x14ac:dyDescent="0.35">
      <c r="A52" s="1" t="s">
        <v>18</v>
      </c>
      <c r="B52" s="1" t="s">
        <v>181</v>
      </c>
      <c r="C52" s="1" t="s">
        <v>266</v>
      </c>
      <c r="D52" s="1" t="str">
        <f>"8465"</f>
        <v>8465</v>
      </c>
      <c r="E52" s="1" t="str">
        <f>"015800967"</f>
        <v>015800967</v>
      </c>
      <c r="F52" s="1" t="s">
        <v>267</v>
      </c>
      <c r="G52" s="1" t="s">
        <v>16</v>
      </c>
      <c r="H52" s="1" t="str">
        <f>"6"</f>
        <v>6</v>
      </c>
      <c r="I52" s="2">
        <v>22.17</v>
      </c>
      <c r="J52" s="3">
        <v>46149</v>
      </c>
      <c r="K52" s="1" t="s">
        <v>268</v>
      </c>
    </row>
    <row r="53" spans="1:11" x14ac:dyDescent="0.35">
      <c r="A53" s="1" t="s">
        <v>18</v>
      </c>
      <c r="B53" s="1" t="s">
        <v>30</v>
      </c>
      <c r="C53" s="1" t="s">
        <v>47</v>
      </c>
      <c r="D53" s="1" t="str">
        <f>"8415"</f>
        <v>8415</v>
      </c>
      <c r="E53" s="1" t="str">
        <f>"003101140"</f>
        <v>003101140</v>
      </c>
      <c r="F53" s="1" t="s">
        <v>48</v>
      </c>
      <c r="G53" s="1" t="s">
        <v>16</v>
      </c>
      <c r="H53" s="1" t="str">
        <f>"2"</f>
        <v>2</v>
      </c>
      <c r="I53" s="2">
        <v>218.54</v>
      </c>
      <c r="J53" s="3">
        <v>46150</v>
      </c>
      <c r="K53" s="1" t="s">
        <v>49</v>
      </c>
    </row>
    <row r="54" spans="1:11" x14ac:dyDescent="0.35">
      <c r="A54" s="1" t="s">
        <v>18</v>
      </c>
      <c r="B54" s="1" t="s">
        <v>80</v>
      </c>
      <c r="C54" s="1" t="s">
        <v>83</v>
      </c>
      <c r="D54" s="1" t="str">
        <f>"2340"</f>
        <v>2340</v>
      </c>
      <c r="E54" s="1" t="s">
        <v>84</v>
      </c>
      <c r="F54" s="1" t="s">
        <v>85</v>
      </c>
      <c r="G54" s="1" t="s">
        <v>16</v>
      </c>
      <c r="H54" s="1" t="str">
        <f>"1"</f>
        <v>1</v>
      </c>
      <c r="I54" s="2">
        <v>4900.57</v>
      </c>
      <c r="J54" s="3">
        <v>46150</v>
      </c>
      <c r="K54" s="1" t="s">
        <v>86</v>
      </c>
    </row>
    <row r="55" spans="1:11" x14ac:dyDescent="0.35">
      <c r="A55" s="1" t="s">
        <v>18</v>
      </c>
      <c r="B55" s="1" t="s">
        <v>80</v>
      </c>
      <c r="C55" s="1" t="s">
        <v>87</v>
      </c>
      <c r="D55" s="1" t="str">
        <f>"5180"</f>
        <v>5180</v>
      </c>
      <c r="E55" s="1" t="s">
        <v>88</v>
      </c>
      <c r="F55" s="1" t="s">
        <v>89</v>
      </c>
      <c r="G55" s="1" t="s">
        <v>16</v>
      </c>
      <c r="H55" s="1" t="str">
        <f>"1"</f>
        <v>1</v>
      </c>
      <c r="I55" s="2">
        <v>843.41</v>
      </c>
      <c r="J55" s="3">
        <v>46150</v>
      </c>
      <c r="K55" s="1" t="s">
        <v>90</v>
      </c>
    </row>
    <row r="56" spans="1:11" x14ac:dyDescent="0.35">
      <c r="A56" s="1" t="s">
        <v>18</v>
      </c>
      <c r="B56" s="1" t="s">
        <v>80</v>
      </c>
      <c r="C56" s="1" t="s">
        <v>91</v>
      </c>
      <c r="D56" s="1" t="str">
        <f>"5180"</f>
        <v>5180</v>
      </c>
      <c r="E56" s="1" t="s">
        <v>88</v>
      </c>
      <c r="F56" s="1" t="s">
        <v>89</v>
      </c>
      <c r="G56" s="1" t="s">
        <v>16</v>
      </c>
      <c r="H56" s="1" t="str">
        <f>"1"</f>
        <v>1</v>
      </c>
      <c r="I56" s="2">
        <v>434.76</v>
      </c>
      <c r="J56" s="3">
        <v>46150</v>
      </c>
      <c r="K56" s="1" t="s">
        <v>90</v>
      </c>
    </row>
    <row r="57" spans="1:11" x14ac:dyDescent="0.35">
      <c r="A57" s="1" t="s">
        <v>18</v>
      </c>
      <c r="B57" s="1" t="s">
        <v>269</v>
      </c>
      <c r="C57" s="1" t="s">
        <v>270</v>
      </c>
      <c r="D57" s="1" t="str">
        <f>"2320"</f>
        <v>2320</v>
      </c>
      <c r="E57" s="1" t="str">
        <f>"010907880"</f>
        <v>010907880</v>
      </c>
      <c r="F57" s="1" t="s">
        <v>271</v>
      </c>
      <c r="G57" s="1" t="s">
        <v>16</v>
      </c>
      <c r="H57" s="1" t="str">
        <f>"2"</f>
        <v>2</v>
      </c>
      <c r="I57" s="2" t="str">
        <f>"11198"</f>
        <v>11198</v>
      </c>
      <c r="J57" s="3">
        <v>46150</v>
      </c>
      <c r="K57" s="1" t="s">
        <v>272</v>
      </c>
    </row>
    <row r="58" spans="1:11" x14ac:dyDescent="0.35">
      <c r="A58" s="1" t="s">
        <v>18</v>
      </c>
      <c r="B58" s="1" t="s">
        <v>269</v>
      </c>
      <c r="C58" s="1" t="s">
        <v>296</v>
      </c>
      <c r="D58" s="1" t="str">
        <f>"6515"</f>
        <v>6515</v>
      </c>
      <c r="E58" s="1" t="s">
        <v>297</v>
      </c>
      <c r="F58" s="1" t="s">
        <v>298</v>
      </c>
      <c r="G58" s="1" t="s">
        <v>16</v>
      </c>
      <c r="H58" s="1" t="str">
        <f>"1"</f>
        <v>1</v>
      </c>
      <c r="I58" s="2" t="str">
        <f>"1000"</f>
        <v>1000</v>
      </c>
      <c r="J58" s="3">
        <v>46150</v>
      </c>
      <c r="K58" s="1" t="s">
        <v>299</v>
      </c>
    </row>
    <row r="59" spans="1:11" x14ac:dyDescent="0.35">
      <c r="A59" s="1" t="s">
        <v>18</v>
      </c>
      <c r="B59" s="1" t="s">
        <v>269</v>
      </c>
      <c r="C59" s="1" t="s">
        <v>300</v>
      </c>
      <c r="D59" s="1" t="str">
        <f>"6515"</f>
        <v>6515</v>
      </c>
      <c r="E59" s="1" t="s">
        <v>297</v>
      </c>
      <c r="F59" s="1" t="s">
        <v>298</v>
      </c>
      <c r="G59" s="1" t="s">
        <v>16</v>
      </c>
      <c r="H59" s="1" t="str">
        <f>"1"</f>
        <v>1</v>
      </c>
      <c r="I59" s="2" t="str">
        <f>"1000"</f>
        <v>1000</v>
      </c>
      <c r="J59" s="3">
        <v>46150</v>
      </c>
      <c r="K59" s="1" t="s">
        <v>299</v>
      </c>
    </row>
    <row r="60" spans="1:11" x14ac:dyDescent="0.35">
      <c r="A60" s="1" t="s">
        <v>18</v>
      </c>
      <c r="B60" s="1" t="s">
        <v>269</v>
      </c>
      <c r="C60" s="1" t="s">
        <v>301</v>
      </c>
      <c r="D60" s="1" t="str">
        <f>"6515"</f>
        <v>6515</v>
      </c>
      <c r="E60" s="1" t="s">
        <v>302</v>
      </c>
      <c r="F60" s="1" t="s">
        <v>298</v>
      </c>
      <c r="G60" s="1" t="s">
        <v>303</v>
      </c>
      <c r="H60" s="1" t="str">
        <f>"1"</f>
        <v>1</v>
      </c>
      <c r="I60" s="2">
        <v>172.68</v>
      </c>
      <c r="J60" s="3">
        <v>46150</v>
      </c>
      <c r="K60" s="1" t="s">
        <v>299</v>
      </c>
    </row>
    <row r="61" spans="1:11" x14ac:dyDescent="0.35">
      <c r="A61" s="1" t="s">
        <v>18</v>
      </c>
      <c r="B61" s="1" t="s">
        <v>269</v>
      </c>
      <c r="C61" s="1" t="s">
        <v>343</v>
      </c>
      <c r="D61" s="1" t="str">
        <f>"9515"</f>
        <v>9515</v>
      </c>
      <c r="E61" s="1" t="str">
        <f>"013624564"</f>
        <v>013624564</v>
      </c>
      <c r="F61" s="1" t="s">
        <v>344</v>
      </c>
      <c r="G61" s="1" t="s">
        <v>345</v>
      </c>
      <c r="H61" s="1" t="str">
        <f>"2"</f>
        <v>2</v>
      </c>
      <c r="I61" s="2">
        <v>558.99</v>
      </c>
      <c r="J61" s="3">
        <v>46150</v>
      </c>
      <c r="K61" s="1" t="s">
        <v>346</v>
      </c>
    </row>
    <row r="62" spans="1:11" x14ac:dyDescent="0.35">
      <c r="A62" s="1" t="s">
        <v>18</v>
      </c>
      <c r="B62" s="1" t="s">
        <v>269</v>
      </c>
      <c r="C62" s="1" t="s">
        <v>347</v>
      </c>
      <c r="D62" s="1" t="str">
        <f>"9535"</f>
        <v>9535</v>
      </c>
      <c r="E62" s="1" t="str">
        <f>"002326874"</f>
        <v>002326874</v>
      </c>
      <c r="F62" s="1" t="s">
        <v>348</v>
      </c>
      <c r="G62" s="1" t="s">
        <v>345</v>
      </c>
      <c r="H62" s="1" t="str">
        <f>"12"</f>
        <v>12</v>
      </c>
      <c r="I62" s="2">
        <v>191.75</v>
      </c>
      <c r="J62" s="3">
        <v>46150</v>
      </c>
      <c r="K62" s="1" t="s">
        <v>349</v>
      </c>
    </row>
    <row r="63" spans="1:11" x14ac:dyDescent="0.35">
      <c r="A63" s="1" t="s">
        <v>18</v>
      </c>
      <c r="B63" s="1" t="s">
        <v>120</v>
      </c>
      <c r="C63" s="1" t="s">
        <v>149</v>
      </c>
      <c r="D63" s="1" t="str">
        <f>"9905"</f>
        <v>9905</v>
      </c>
      <c r="E63" s="1" t="s">
        <v>150</v>
      </c>
      <c r="F63" s="1" t="s">
        <v>151</v>
      </c>
      <c r="G63" s="1" t="s">
        <v>16</v>
      </c>
      <c r="H63" s="1" t="str">
        <f>"4"</f>
        <v>4</v>
      </c>
      <c r="I63" s="2">
        <v>17428.57</v>
      </c>
      <c r="J63" s="3">
        <v>46154</v>
      </c>
      <c r="K63" s="1" t="s">
        <v>5165</v>
      </c>
    </row>
    <row r="64" spans="1:11" x14ac:dyDescent="0.35">
      <c r="A64" s="1" t="s">
        <v>18</v>
      </c>
      <c r="B64" s="1" t="s">
        <v>120</v>
      </c>
      <c r="C64" s="1" t="s">
        <v>121</v>
      </c>
      <c r="D64" s="1" t="str">
        <f>"2330"</f>
        <v>2330</v>
      </c>
      <c r="E64" s="1" t="str">
        <f>"001331731"</f>
        <v>001331731</v>
      </c>
      <c r="F64" s="1" t="s">
        <v>122</v>
      </c>
      <c r="G64" s="1" t="s">
        <v>16</v>
      </c>
      <c r="H64" s="1" t="str">
        <f>"1"</f>
        <v>1</v>
      </c>
      <c r="I64" s="2" t="str">
        <f>"20007"</f>
        <v>20007</v>
      </c>
      <c r="J64" s="3">
        <v>46156</v>
      </c>
      <c r="K64" s="1" t="s">
        <v>123</v>
      </c>
    </row>
    <row r="65" spans="1:11" x14ac:dyDescent="0.35">
      <c r="A65" s="1" t="s">
        <v>18</v>
      </c>
      <c r="B65" s="1" t="s">
        <v>354</v>
      </c>
      <c r="C65" s="1" t="s">
        <v>359</v>
      </c>
      <c r="D65" s="1" t="str">
        <f>"2320"</f>
        <v>2320</v>
      </c>
      <c r="E65" s="1" t="str">
        <f>"010907774"</f>
        <v>010907774</v>
      </c>
      <c r="F65" s="1" t="s">
        <v>360</v>
      </c>
      <c r="G65" s="1" t="s">
        <v>16</v>
      </c>
      <c r="H65" s="1" t="str">
        <f>"1"</f>
        <v>1</v>
      </c>
      <c r="I65" s="2" t="str">
        <f>"26436"</f>
        <v>26436</v>
      </c>
      <c r="J65" s="3">
        <v>46160</v>
      </c>
      <c r="K65" s="1" t="s">
        <v>361</v>
      </c>
    </row>
    <row r="66" spans="1:11" x14ac:dyDescent="0.35">
      <c r="A66" s="1" t="s">
        <v>18</v>
      </c>
      <c r="B66" s="1" t="s">
        <v>80</v>
      </c>
      <c r="C66" s="1" t="s">
        <v>81</v>
      </c>
      <c r="D66" s="1" t="str">
        <f>"2330"</f>
        <v>2330</v>
      </c>
      <c r="E66" s="1" t="s">
        <v>70</v>
      </c>
      <c r="F66" s="1" t="s">
        <v>71</v>
      </c>
      <c r="G66" s="1" t="s">
        <v>16</v>
      </c>
      <c r="H66" s="1" t="str">
        <f>"2"</f>
        <v>2</v>
      </c>
      <c r="I66" s="2" t="str">
        <f>"300"</f>
        <v>300</v>
      </c>
      <c r="J66" s="3">
        <v>46162</v>
      </c>
      <c r="K66" s="1" t="s">
        <v>82</v>
      </c>
    </row>
    <row r="67" spans="1:11" x14ac:dyDescent="0.35">
      <c r="A67" s="1" t="s">
        <v>18</v>
      </c>
      <c r="B67" s="1" t="s">
        <v>173</v>
      </c>
      <c r="C67" s="1" t="s">
        <v>174</v>
      </c>
      <c r="D67" s="1" t="str">
        <f>"1240"</f>
        <v>1240</v>
      </c>
      <c r="E67" s="1" t="str">
        <f>"015065920"</f>
        <v>015065920</v>
      </c>
      <c r="F67" s="1" t="s">
        <v>175</v>
      </c>
      <c r="G67" s="1" t="s">
        <v>16</v>
      </c>
      <c r="H67" s="1" t="str">
        <f>"4"</f>
        <v>4</v>
      </c>
      <c r="I67" s="2">
        <v>1185.0999999999999</v>
      </c>
      <c r="J67" s="3">
        <v>46162</v>
      </c>
      <c r="K67" s="1" t="s">
        <v>176</v>
      </c>
    </row>
    <row r="68" spans="1:11" x14ac:dyDescent="0.35">
      <c r="A68" s="1" t="s">
        <v>18</v>
      </c>
      <c r="B68" s="1" t="s">
        <v>181</v>
      </c>
      <c r="C68" s="1" t="s">
        <v>185</v>
      </c>
      <c r="D68" s="1" t="str">
        <f>"1005"</f>
        <v>1005</v>
      </c>
      <c r="E68" s="1" t="str">
        <f>"002839439"</f>
        <v>002839439</v>
      </c>
      <c r="F68" s="1" t="s">
        <v>186</v>
      </c>
      <c r="G68" s="1" t="s">
        <v>16</v>
      </c>
      <c r="H68" s="1" t="str">
        <f>"6"</f>
        <v>6</v>
      </c>
      <c r="I68" s="2">
        <v>15.96</v>
      </c>
      <c r="J68" s="3">
        <v>46162</v>
      </c>
      <c r="K68" s="1" t="s">
        <v>187</v>
      </c>
    </row>
    <row r="69" spans="1:11" x14ac:dyDescent="0.35">
      <c r="A69" s="1" t="s">
        <v>18</v>
      </c>
      <c r="B69" s="1" t="s">
        <v>181</v>
      </c>
      <c r="C69" s="1" t="s">
        <v>190</v>
      </c>
      <c r="D69" s="1" t="str">
        <f>"1005"</f>
        <v>1005</v>
      </c>
      <c r="E69" s="1" t="str">
        <f>"009926676"</f>
        <v>009926676</v>
      </c>
      <c r="F69" s="1" t="s">
        <v>191</v>
      </c>
      <c r="G69" s="1" t="s">
        <v>16</v>
      </c>
      <c r="H69" s="1" t="str">
        <f>"6"</f>
        <v>6</v>
      </c>
      <c r="I69" s="2">
        <v>40.29</v>
      </c>
      <c r="J69" s="3">
        <v>46162</v>
      </c>
      <c r="K69" s="1" t="s">
        <v>192</v>
      </c>
    </row>
    <row r="70" spans="1:11" x14ac:dyDescent="0.35">
      <c r="A70" s="1" t="s">
        <v>18</v>
      </c>
      <c r="B70" s="1" t="s">
        <v>181</v>
      </c>
      <c r="C70" s="1" t="s">
        <v>198</v>
      </c>
      <c r="D70" s="1" t="str">
        <f>"1550"</f>
        <v>1550</v>
      </c>
      <c r="E70" s="1" t="s">
        <v>199</v>
      </c>
      <c r="F70" s="1" t="s">
        <v>200</v>
      </c>
      <c r="G70" s="1" t="s">
        <v>16</v>
      </c>
      <c r="H70" s="1" t="str">
        <f>"1"</f>
        <v>1</v>
      </c>
      <c r="I70" s="2">
        <v>13223.93</v>
      </c>
      <c r="J70" s="3">
        <v>46162</v>
      </c>
      <c r="K70" s="1" t="s">
        <v>201</v>
      </c>
    </row>
    <row r="71" spans="1:11" x14ac:dyDescent="0.35">
      <c r="A71" s="1" t="s">
        <v>18</v>
      </c>
      <c r="B71" s="1" t="s">
        <v>181</v>
      </c>
      <c r="C71" s="1" t="s">
        <v>217</v>
      </c>
      <c r="D71" s="1" t="str">
        <f>"5860"</f>
        <v>5860</v>
      </c>
      <c r="E71" s="1" t="str">
        <f>"014712091"</f>
        <v>014712091</v>
      </c>
      <c r="F71" s="1" t="s">
        <v>218</v>
      </c>
      <c r="G71" s="1" t="s">
        <v>16</v>
      </c>
      <c r="H71" s="1" t="str">
        <f>"1"</f>
        <v>1</v>
      </c>
      <c r="I71" s="2" t="str">
        <f>"1218"</f>
        <v>1218</v>
      </c>
      <c r="J71" s="3">
        <v>46162</v>
      </c>
      <c r="K71" s="1" t="s">
        <v>219</v>
      </c>
    </row>
    <row r="72" spans="1:11" x14ac:dyDescent="0.35">
      <c r="A72" s="1" t="s">
        <v>18</v>
      </c>
      <c r="B72" s="1" t="s">
        <v>181</v>
      </c>
      <c r="C72" s="1" t="s">
        <v>226</v>
      </c>
      <c r="D72" s="1" t="str">
        <f>"6130"</f>
        <v>6130</v>
      </c>
      <c r="E72" s="1" t="str">
        <f>"015819480"</f>
        <v>015819480</v>
      </c>
      <c r="F72" s="1" t="s">
        <v>227</v>
      </c>
      <c r="G72" s="1" t="s">
        <v>16</v>
      </c>
      <c r="H72" s="1" t="str">
        <f>"1"</f>
        <v>1</v>
      </c>
      <c r="I72" s="2" t="str">
        <f>"2661"</f>
        <v>2661</v>
      </c>
      <c r="J72" s="3">
        <v>46162</v>
      </c>
      <c r="K72" s="1" t="s">
        <v>228</v>
      </c>
    </row>
    <row r="73" spans="1:11" x14ac:dyDescent="0.35">
      <c r="A73" s="1" t="s">
        <v>18</v>
      </c>
      <c r="B73" s="1" t="s">
        <v>362</v>
      </c>
      <c r="C73" s="1" t="s">
        <v>376</v>
      </c>
      <c r="D73" s="1" t="str">
        <f>"2510"</f>
        <v>2510</v>
      </c>
      <c r="E73" s="1" t="str">
        <f>"015739755"</f>
        <v>015739755</v>
      </c>
      <c r="F73" s="1" t="s">
        <v>377</v>
      </c>
      <c r="G73" s="1" t="s">
        <v>16</v>
      </c>
      <c r="H73" s="1" t="str">
        <f>"1"</f>
        <v>1</v>
      </c>
      <c r="I73" s="2">
        <v>12788.64</v>
      </c>
      <c r="J73" s="3">
        <v>46163</v>
      </c>
      <c r="K73" s="1" t="s">
        <v>378</v>
      </c>
    </row>
    <row r="74" spans="1:11" x14ac:dyDescent="0.35">
      <c r="A74" s="1" t="s">
        <v>18</v>
      </c>
      <c r="B74" s="1" t="s">
        <v>362</v>
      </c>
      <c r="C74" s="1" t="s">
        <v>379</v>
      </c>
      <c r="D74" s="1" t="str">
        <f>"2590"</f>
        <v>2590</v>
      </c>
      <c r="E74" s="1" t="s">
        <v>380</v>
      </c>
      <c r="F74" s="1" t="s">
        <v>381</v>
      </c>
      <c r="G74" s="1" t="s">
        <v>16</v>
      </c>
      <c r="H74" s="1" t="str">
        <f>"1"</f>
        <v>1</v>
      </c>
      <c r="I74" s="2" t="str">
        <f>"8000"</f>
        <v>8000</v>
      </c>
      <c r="J74" s="3">
        <v>46163</v>
      </c>
      <c r="K74" s="1" t="s">
        <v>382</v>
      </c>
    </row>
    <row r="75" spans="1:11" x14ac:dyDescent="0.35">
      <c r="A75" s="1" t="s">
        <v>18</v>
      </c>
      <c r="B75" s="1" t="s">
        <v>362</v>
      </c>
      <c r="C75" s="1" t="s">
        <v>391</v>
      </c>
      <c r="D75" s="1" t="str">
        <f>"4110"</f>
        <v>4110</v>
      </c>
      <c r="E75" s="1" t="s">
        <v>392</v>
      </c>
      <c r="F75" s="1" t="s">
        <v>393</v>
      </c>
      <c r="G75" s="1" t="s">
        <v>16</v>
      </c>
      <c r="H75" s="1" t="str">
        <f>"1"</f>
        <v>1</v>
      </c>
      <c r="I75" s="2" t="str">
        <f>"50"</f>
        <v>50</v>
      </c>
      <c r="J75" s="3">
        <v>46163</v>
      </c>
      <c r="K75" s="1" t="s">
        <v>394</v>
      </c>
    </row>
    <row r="76" spans="1:11" x14ac:dyDescent="0.35">
      <c r="A76" s="1" t="s">
        <v>18</v>
      </c>
      <c r="B76" s="1" t="s">
        <v>362</v>
      </c>
      <c r="C76" s="1" t="s">
        <v>404</v>
      </c>
      <c r="D76" s="1" t="str">
        <f>"4940"</f>
        <v>4940</v>
      </c>
      <c r="E76" s="1" t="str">
        <f>"010836052"</f>
        <v>010836052</v>
      </c>
      <c r="F76" s="1" t="s">
        <v>405</v>
      </c>
      <c r="G76" s="1" t="s">
        <v>16</v>
      </c>
      <c r="H76" s="1" t="str">
        <f>"1"</f>
        <v>1</v>
      </c>
      <c r="I76" s="2" t="str">
        <f>"55324"</f>
        <v>55324</v>
      </c>
      <c r="J76" s="3">
        <v>46163</v>
      </c>
      <c r="K76" s="1" t="s">
        <v>406</v>
      </c>
    </row>
    <row r="77" spans="1:11" x14ac:dyDescent="0.35">
      <c r="A77" s="1" t="s">
        <v>18</v>
      </c>
      <c r="B77" s="1" t="s">
        <v>354</v>
      </c>
      <c r="C77" s="1" t="s">
        <v>355</v>
      </c>
      <c r="D77" s="1" t="str">
        <f>"1385"</f>
        <v>1385</v>
      </c>
      <c r="E77" s="1" t="s">
        <v>356</v>
      </c>
      <c r="F77" s="1" t="s">
        <v>357</v>
      </c>
      <c r="G77" s="1" t="s">
        <v>16</v>
      </c>
      <c r="H77" s="1" t="str">
        <f>"1"</f>
        <v>1</v>
      </c>
      <c r="I77" s="2">
        <v>14608.44</v>
      </c>
      <c r="J77" s="3">
        <v>46169</v>
      </c>
      <c r="K77" s="1" t="s">
        <v>358</v>
      </c>
    </row>
    <row r="78" spans="1:11" x14ac:dyDescent="0.35">
      <c r="A78" s="1" t="s">
        <v>18</v>
      </c>
      <c r="B78" s="1" t="s">
        <v>23</v>
      </c>
      <c r="C78" s="1" t="s">
        <v>27</v>
      </c>
      <c r="D78" s="1" t="str">
        <f>"1095"</f>
        <v>1095</v>
      </c>
      <c r="E78" s="1" t="str">
        <f>"015333012"</f>
        <v>015333012</v>
      </c>
      <c r="F78" s="1" t="s">
        <v>28</v>
      </c>
      <c r="G78" s="1" t="s">
        <v>16</v>
      </c>
      <c r="H78" s="1" t="str">
        <f>"5"</f>
        <v>5</v>
      </c>
      <c r="I78" s="2" t="str">
        <f>"59"</f>
        <v>59</v>
      </c>
      <c r="J78" s="3">
        <v>46171</v>
      </c>
      <c r="K78" s="1" t="s">
        <v>29</v>
      </c>
    </row>
    <row r="79" spans="1:11" x14ac:dyDescent="0.35">
      <c r="A79" s="1" t="s">
        <v>18</v>
      </c>
      <c r="B79" s="1" t="s">
        <v>92</v>
      </c>
      <c r="C79" s="1" t="s">
        <v>110</v>
      </c>
      <c r="D79" s="1" t="str">
        <f>"7125"</f>
        <v>7125</v>
      </c>
      <c r="E79" s="1" t="s">
        <v>111</v>
      </c>
      <c r="F79" s="1" t="s">
        <v>112</v>
      </c>
      <c r="G79" s="1" t="s">
        <v>16</v>
      </c>
      <c r="H79" s="1" t="str">
        <f>"1"</f>
        <v>1</v>
      </c>
      <c r="I79" s="2" t="str">
        <f>"100"</f>
        <v>100</v>
      </c>
      <c r="J79" s="3">
        <v>46171</v>
      </c>
      <c r="K79" s="1" t="s">
        <v>113</v>
      </c>
    </row>
    <row r="80" spans="1:11" x14ac:dyDescent="0.35">
      <c r="A80" s="1" t="s">
        <v>18</v>
      </c>
      <c r="B80" s="1" t="s">
        <v>92</v>
      </c>
      <c r="C80" s="1" t="s">
        <v>114</v>
      </c>
      <c r="D80" s="1" t="str">
        <f>"7125"</f>
        <v>7125</v>
      </c>
      <c r="E80" s="1" t="s">
        <v>111</v>
      </c>
      <c r="F80" s="1" t="s">
        <v>112</v>
      </c>
      <c r="G80" s="1" t="s">
        <v>16</v>
      </c>
      <c r="H80" s="1" t="str">
        <f>"4"</f>
        <v>4</v>
      </c>
      <c r="I80" s="2" t="str">
        <f>"100"</f>
        <v>100</v>
      </c>
      <c r="J80" s="3">
        <v>46171</v>
      </c>
      <c r="K80" s="1" t="s">
        <v>115</v>
      </c>
    </row>
    <row r="81" spans="1:11" x14ac:dyDescent="0.35">
      <c r="A81" s="1" t="s">
        <v>18</v>
      </c>
      <c r="B81" s="1" t="s">
        <v>68</v>
      </c>
      <c r="C81" s="1" t="s">
        <v>69</v>
      </c>
      <c r="D81" s="1" t="str">
        <f>"2330"</f>
        <v>2330</v>
      </c>
      <c r="E81" s="1" t="s">
        <v>70</v>
      </c>
      <c r="F81" s="1" t="s">
        <v>71</v>
      </c>
      <c r="G81" s="1" t="s">
        <v>16</v>
      </c>
      <c r="H81" s="1" t="str">
        <f>"1"</f>
        <v>1</v>
      </c>
      <c r="I81" s="2" t="str">
        <f>"18349"</f>
        <v>18349</v>
      </c>
      <c r="J81" s="3">
        <v>46174</v>
      </c>
      <c r="K81" s="1" t="s">
        <v>72</v>
      </c>
    </row>
    <row r="82" spans="1:11" x14ac:dyDescent="0.35">
      <c r="A82" s="1" t="s">
        <v>18</v>
      </c>
      <c r="B82" s="1" t="s">
        <v>181</v>
      </c>
      <c r="C82" s="1" t="s">
        <v>232</v>
      </c>
      <c r="D82" s="1" t="str">
        <f>"6515"</f>
        <v>6515</v>
      </c>
      <c r="E82" s="1" t="str">
        <f>"015571136"</f>
        <v>015571136</v>
      </c>
      <c r="F82" s="1" t="s">
        <v>233</v>
      </c>
      <c r="G82" s="1" t="s">
        <v>16</v>
      </c>
      <c r="H82" s="1" t="str">
        <f>"1"</f>
        <v>1</v>
      </c>
      <c r="I82" s="2">
        <v>354.13</v>
      </c>
      <c r="J82" s="3">
        <v>46175</v>
      </c>
      <c r="K82" s="1" t="s">
        <v>234</v>
      </c>
    </row>
    <row r="83" spans="1:11" x14ac:dyDescent="0.35">
      <c r="A83" s="1" t="s">
        <v>18</v>
      </c>
      <c r="B83" s="1" t="s">
        <v>181</v>
      </c>
      <c r="C83" s="1" t="s">
        <v>247</v>
      </c>
      <c r="D83" s="1" t="str">
        <f>"7025"</f>
        <v>7025</v>
      </c>
      <c r="E83" s="1" t="s">
        <v>248</v>
      </c>
      <c r="F83" s="1" t="s">
        <v>249</v>
      </c>
      <c r="G83" s="1" t="s">
        <v>16</v>
      </c>
      <c r="H83" s="1" t="str">
        <f>"4"</f>
        <v>4</v>
      </c>
      <c r="I83" s="2" t="str">
        <f>"179"</f>
        <v>179</v>
      </c>
      <c r="J83" s="3">
        <v>46175</v>
      </c>
      <c r="K83" s="1" t="s">
        <v>250</v>
      </c>
    </row>
    <row r="84" spans="1:11" x14ac:dyDescent="0.35">
      <c r="A84" s="1" t="s">
        <v>18</v>
      </c>
      <c r="B84" s="1" t="s">
        <v>181</v>
      </c>
      <c r="C84" s="1" t="s">
        <v>255</v>
      </c>
      <c r="D84" s="1" t="str">
        <f>"8415"</f>
        <v>8415</v>
      </c>
      <c r="E84" s="1" t="str">
        <f>"001774974"</f>
        <v>001774974</v>
      </c>
      <c r="F84" s="1" t="s">
        <v>256</v>
      </c>
      <c r="G84" s="1" t="s">
        <v>16</v>
      </c>
      <c r="H84" s="1" t="str">
        <f>"6"</f>
        <v>6</v>
      </c>
      <c r="I84" s="2">
        <v>40.42</v>
      </c>
      <c r="J84" s="3">
        <v>46175</v>
      </c>
      <c r="K84" s="1" t="s">
        <v>257</v>
      </c>
    </row>
    <row r="85" spans="1:11" x14ac:dyDescent="0.35">
      <c r="A85" s="1" t="s">
        <v>18</v>
      </c>
      <c r="B85" s="1" t="s">
        <v>59</v>
      </c>
      <c r="C85" s="1" t="s">
        <v>65</v>
      </c>
      <c r="D85" s="1" t="str">
        <f>"6230"</f>
        <v>6230</v>
      </c>
      <c r="E85" s="1" t="str">
        <f>"014393732"</f>
        <v>014393732</v>
      </c>
      <c r="F85" s="1" t="s">
        <v>66</v>
      </c>
      <c r="G85" s="1" t="s">
        <v>16</v>
      </c>
      <c r="H85" s="1" t="str">
        <f>"4"</f>
        <v>4</v>
      </c>
      <c r="I85" s="2" t="str">
        <f>"12000"</f>
        <v>12000</v>
      </c>
      <c r="J85" s="3">
        <v>46177</v>
      </c>
      <c r="K85" s="1" t="s">
        <v>67</v>
      </c>
    </row>
    <row r="86" spans="1:11" x14ac:dyDescent="0.35">
      <c r="A86" s="1" t="s">
        <v>18</v>
      </c>
      <c r="B86" s="1" t="s">
        <v>181</v>
      </c>
      <c r="C86" s="1" t="s">
        <v>202</v>
      </c>
      <c r="D86" s="1" t="str">
        <f>"1550"</f>
        <v>1550</v>
      </c>
      <c r="E86" s="1" t="str">
        <f>"015389256"</f>
        <v>015389256</v>
      </c>
      <c r="F86" s="1" t="s">
        <v>203</v>
      </c>
      <c r="G86" s="1" t="s">
        <v>16</v>
      </c>
      <c r="H86" s="1" t="str">
        <f>"1"</f>
        <v>1</v>
      </c>
      <c r="I86" s="2" t="str">
        <f>"100000"</f>
        <v>100000</v>
      </c>
      <c r="J86" s="3">
        <v>46177</v>
      </c>
      <c r="K86" s="1" t="s">
        <v>204</v>
      </c>
    </row>
    <row r="87" spans="1:11" x14ac:dyDescent="0.35">
      <c r="A87" s="1" t="s">
        <v>18</v>
      </c>
      <c r="B87" s="1" t="s">
        <v>362</v>
      </c>
      <c r="C87" s="1" t="s">
        <v>401</v>
      </c>
      <c r="D87" s="1" t="str">
        <f>"4910"</f>
        <v>4910</v>
      </c>
      <c r="E87" s="1" t="str">
        <f>"010815222"</f>
        <v>010815222</v>
      </c>
      <c r="F87" s="1" t="s">
        <v>402</v>
      </c>
      <c r="G87" s="1" t="s">
        <v>16</v>
      </c>
      <c r="H87" s="1" t="str">
        <f>"1"</f>
        <v>1</v>
      </c>
      <c r="I87" s="2" t="str">
        <f>"2000"</f>
        <v>2000</v>
      </c>
      <c r="J87" s="3">
        <v>46177</v>
      </c>
      <c r="K87" s="1" t="s">
        <v>403</v>
      </c>
    </row>
    <row r="88" spans="1:11" x14ac:dyDescent="0.35">
      <c r="A88" s="1" t="s">
        <v>18</v>
      </c>
      <c r="B88" s="1" t="s">
        <v>92</v>
      </c>
      <c r="C88" s="1" t="s">
        <v>100</v>
      </c>
      <c r="D88" s="1" t="str">
        <f>"3805"</f>
        <v>3805</v>
      </c>
      <c r="E88" s="1" t="str">
        <f>"004381483"</f>
        <v>004381483</v>
      </c>
      <c r="F88" s="1" t="s">
        <v>101</v>
      </c>
      <c r="G88" s="1" t="s">
        <v>16</v>
      </c>
      <c r="H88" s="1" t="str">
        <f>"1"</f>
        <v>1</v>
      </c>
      <c r="I88" s="2" t="str">
        <f>"175000"</f>
        <v>175000</v>
      </c>
      <c r="J88" s="3">
        <v>46178</v>
      </c>
      <c r="K88" s="1" t="s">
        <v>102</v>
      </c>
    </row>
    <row r="89" spans="1:11" x14ac:dyDescent="0.35">
      <c r="A89" s="1" t="s">
        <v>18</v>
      </c>
      <c r="B89" s="1" t="s">
        <v>173</v>
      </c>
      <c r="C89" s="1" t="s">
        <v>177</v>
      </c>
      <c r="D89" s="1" t="str">
        <f>"2310"</f>
        <v>2310</v>
      </c>
      <c r="E89" s="1" t="s">
        <v>178</v>
      </c>
      <c r="F89" s="1" t="s">
        <v>179</v>
      </c>
      <c r="G89" s="1" t="s">
        <v>16</v>
      </c>
      <c r="H89" s="1" t="str">
        <f>"1"</f>
        <v>1</v>
      </c>
      <c r="I89" s="2" t="str">
        <f>"3000"</f>
        <v>3000</v>
      </c>
      <c r="J89" s="3">
        <v>46178</v>
      </c>
      <c r="K89" s="1" t="s">
        <v>180</v>
      </c>
    </row>
    <row r="90" spans="1:11" x14ac:dyDescent="0.35">
      <c r="A90" s="1" t="s">
        <v>18</v>
      </c>
      <c r="B90" s="1" t="s">
        <v>92</v>
      </c>
      <c r="C90" s="1" t="s">
        <v>103</v>
      </c>
      <c r="D90" s="1" t="str">
        <f>"3830"</f>
        <v>3830</v>
      </c>
      <c r="E90" s="1" t="s">
        <v>75</v>
      </c>
      <c r="F90" s="1" t="s">
        <v>76</v>
      </c>
      <c r="G90" s="1" t="s">
        <v>16</v>
      </c>
      <c r="H90" s="1" t="str">
        <f>"1"</f>
        <v>1</v>
      </c>
      <c r="I90" s="2" t="str">
        <f>"400"</f>
        <v>400</v>
      </c>
      <c r="J90" s="3">
        <v>46182</v>
      </c>
      <c r="K90" s="1" t="s">
        <v>104</v>
      </c>
    </row>
    <row r="91" spans="1:11" x14ac:dyDescent="0.35">
      <c r="A91" s="1" t="s">
        <v>18</v>
      </c>
      <c r="B91" s="1" t="s">
        <v>92</v>
      </c>
      <c r="C91" s="1" t="s">
        <v>105</v>
      </c>
      <c r="D91" s="1" t="str">
        <f>"3830"</f>
        <v>3830</v>
      </c>
      <c r="E91" s="1" t="s">
        <v>75</v>
      </c>
      <c r="F91" s="1" t="s">
        <v>76</v>
      </c>
      <c r="G91" s="1" t="s">
        <v>16</v>
      </c>
      <c r="H91" s="1" t="str">
        <f>"1"</f>
        <v>1</v>
      </c>
      <c r="I91" s="2" t="str">
        <f>"400"</f>
        <v>400</v>
      </c>
      <c r="J91" s="3">
        <v>46182</v>
      </c>
      <c r="K91" s="1" t="s">
        <v>104</v>
      </c>
    </row>
    <row r="92" spans="1:11" x14ac:dyDescent="0.35">
      <c r="A92" s="1" t="s">
        <v>18</v>
      </c>
      <c r="B92" s="1" t="s">
        <v>30</v>
      </c>
      <c r="C92" s="1" t="s">
        <v>34</v>
      </c>
      <c r="D92" s="1" t="str">
        <f>"4020"</f>
        <v>4020</v>
      </c>
      <c r="E92" s="1" t="str">
        <f>"002708245"</f>
        <v>002708245</v>
      </c>
      <c r="F92" s="1" t="s">
        <v>35</v>
      </c>
      <c r="G92" s="1" t="s">
        <v>16</v>
      </c>
      <c r="H92" s="1" t="str">
        <f>"2"</f>
        <v>2</v>
      </c>
      <c r="I92" s="2">
        <v>17.600000000000001</v>
      </c>
      <c r="J92" s="3">
        <v>46184</v>
      </c>
      <c r="K92" s="1" t="s">
        <v>36</v>
      </c>
    </row>
    <row r="93" spans="1:11" x14ac:dyDescent="0.35">
      <c r="A93" s="1" t="s">
        <v>18</v>
      </c>
      <c r="B93" s="1" t="s">
        <v>92</v>
      </c>
      <c r="C93" s="1" t="s">
        <v>97</v>
      </c>
      <c r="D93" s="1" t="str">
        <f>"2420"</f>
        <v>2420</v>
      </c>
      <c r="E93" s="1" t="str">
        <f>"015323399"</f>
        <v>015323399</v>
      </c>
      <c r="F93" s="1" t="s">
        <v>98</v>
      </c>
      <c r="G93" s="1" t="s">
        <v>16</v>
      </c>
      <c r="H93" s="1" t="str">
        <f>"1"</f>
        <v>1</v>
      </c>
      <c r="I93" s="2" t="str">
        <f>"78000"</f>
        <v>78000</v>
      </c>
      <c r="J93" s="3">
        <v>46184</v>
      </c>
      <c r="K93" s="1" t="s">
        <v>99</v>
      </c>
    </row>
    <row r="94" spans="1:11" x14ac:dyDescent="0.35">
      <c r="A94" s="1" t="s">
        <v>18</v>
      </c>
      <c r="B94" s="1" t="s">
        <v>152</v>
      </c>
      <c r="C94" s="1" t="s">
        <v>157</v>
      </c>
      <c r="D94" s="1" t="str">
        <f>"3750"</f>
        <v>3750</v>
      </c>
      <c r="E94" s="1" t="s">
        <v>158</v>
      </c>
      <c r="F94" s="1" t="s">
        <v>159</v>
      </c>
      <c r="G94" s="1" t="s">
        <v>16</v>
      </c>
      <c r="H94" s="1" t="str">
        <f>"1"</f>
        <v>1</v>
      </c>
      <c r="I94" s="2" t="str">
        <f>"2500"</f>
        <v>2500</v>
      </c>
      <c r="J94" s="3">
        <v>46184</v>
      </c>
      <c r="K94" s="1" t="s">
        <v>160</v>
      </c>
    </row>
    <row r="95" spans="1:11" x14ac:dyDescent="0.35">
      <c r="A95" s="1" t="s">
        <v>18</v>
      </c>
      <c r="B95" s="1" t="s">
        <v>152</v>
      </c>
      <c r="C95" s="1" t="s">
        <v>161</v>
      </c>
      <c r="D95" s="1" t="str">
        <f>"5660"</f>
        <v>5660</v>
      </c>
      <c r="E95" s="1" t="s">
        <v>162</v>
      </c>
      <c r="F95" s="1" t="s">
        <v>163</v>
      </c>
      <c r="G95" s="1" t="s">
        <v>16</v>
      </c>
      <c r="H95" s="1" t="str">
        <f>"25"</f>
        <v>25</v>
      </c>
      <c r="I95" s="2" t="str">
        <f>"14500"</f>
        <v>14500</v>
      </c>
      <c r="J95" s="3">
        <v>46189</v>
      </c>
      <c r="K95" s="1" t="s">
        <v>164</v>
      </c>
    </row>
    <row r="96" spans="1:11" x14ac:dyDescent="0.35">
      <c r="A96" s="1" t="s">
        <v>18</v>
      </c>
      <c r="B96" s="1" t="s">
        <v>269</v>
      </c>
      <c r="C96" s="1" t="s">
        <v>284</v>
      </c>
      <c r="D96" s="1" t="str">
        <f>"4240"</f>
        <v>4240</v>
      </c>
      <c r="E96" s="1" t="str">
        <f>"013116917"</f>
        <v>013116917</v>
      </c>
      <c r="F96" s="1" t="s">
        <v>285</v>
      </c>
      <c r="G96" s="1" t="s">
        <v>286</v>
      </c>
      <c r="H96" s="1" t="str">
        <f>"2"</f>
        <v>2</v>
      </c>
      <c r="I96" s="2">
        <v>6.22</v>
      </c>
      <c r="J96" s="3">
        <v>46189</v>
      </c>
      <c r="K96" s="1" t="s">
        <v>287</v>
      </c>
    </row>
    <row r="97" spans="1:11" x14ac:dyDescent="0.35">
      <c r="A97" s="1" t="s">
        <v>18</v>
      </c>
      <c r="B97" s="1" t="s">
        <v>269</v>
      </c>
      <c r="C97" s="1" t="s">
        <v>304</v>
      </c>
      <c r="D97" s="1" t="str">
        <f>"6545"</f>
        <v>6545</v>
      </c>
      <c r="E97" s="1" t="str">
        <f>"015841582"</f>
        <v>015841582</v>
      </c>
      <c r="F97" s="1" t="s">
        <v>305</v>
      </c>
      <c r="G97" s="1" t="s">
        <v>215</v>
      </c>
      <c r="H97" s="1" t="str">
        <f>"34"</f>
        <v>34</v>
      </c>
      <c r="I97" s="2">
        <v>103.24</v>
      </c>
      <c r="J97" s="3">
        <v>46189</v>
      </c>
      <c r="K97" s="1" t="s">
        <v>306</v>
      </c>
    </row>
    <row r="98" spans="1:11" x14ac:dyDescent="0.35">
      <c r="A98" s="1" t="s">
        <v>18</v>
      </c>
      <c r="B98" s="1" t="s">
        <v>269</v>
      </c>
      <c r="C98" s="1" t="s">
        <v>307</v>
      </c>
      <c r="D98" s="1" t="str">
        <f>"6545"</f>
        <v>6545</v>
      </c>
      <c r="E98" s="1" t="str">
        <f>"015300929"</f>
        <v>015300929</v>
      </c>
      <c r="F98" s="1" t="s">
        <v>236</v>
      </c>
      <c r="G98" s="1" t="s">
        <v>215</v>
      </c>
      <c r="H98" s="1" t="str">
        <f>"17"</f>
        <v>17</v>
      </c>
      <c r="I98" s="2">
        <v>48.71</v>
      </c>
      <c r="J98" s="3">
        <v>46189</v>
      </c>
      <c r="K98" s="1" t="s">
        <v>308</v>
      </c>
    </row>
    <row r="99" spans="1:11" x14ac:dyDescent="0.35">
      <c r="A99" s="1" t="s">
        <v>18</v>
      </c>
      <c r="B99" s="1" t="s">
        <v>269</v>
      </c>
      <c r="C99" s="1" t="s">
        <v>309</v>
      </c>
      <c r="D99" s="1" t="str">
        <f>"8430"</f>
        <v>8430</v>
      </c>
      <c r="E99" s="1" t="str">
        <f>"015404042"</f>
        <v>015404042</v>
      </c>
      <c r="F99" s="1" t="s">
        <v>310</v>
      </c>
      <c r="G99" s="1" t="s">
        <v>311</v>
      </c>
      <c r="H99" s="1" t="str">
        <f>"4"</f>
        <v>4</v>
      </c>
      <c r="I99" s="2" t="str">
        <f>"115"</f>
        <v>115</v>
      </c>
      <c r="J99" s="3">
        <v>46189</v>
      </c>
      <c r="K99" s="1" t="s">
        <v>312</v>
      </c>
    </row>
    <row r="100" spans="1:11" x14ac:dyDescent="0.35">
      <c r="A100" s="1" t="s">
        <v>18</v>
      </c>
      <c r="B100" s="1" t="s">
        <v>269</v>
      </c>
      <c r="C100" s="1" t="s">
        <v>313</v>
      </c>
      <c r="D100" s="1" t="str">
        <f>"8430"</f>
        <v>8430</v>
      </c>
      <c r="E100" s="1" t="str">
        <f>"015403884"</f>
        <v>015403884</v>
      </c>
      <c r="F100" s="1" t="s">
        <v>314</v>
      </c>
      <c r="G100" s="1" t="s">
        <v>311</v>
      </c>
      <c r="H100" s="1" t="str">
        <f>"8"</f>
        <v>8</v>
      </c>
      <c r="I100" s="2" t="str">
        <f>"115"</f>
        <v>115</v>
      </c>
      <c r="J100" s="3">
        <v>46189</v>
      </c>
      <c r="K100" s="1" t="s">
        <v>312</v>
      </c>
    </row>
    <row r="101" spans="1:11" x14ac:dyDescent="0.35">
      <c r="A101" s="1" t="s">
        <v>18</v>
      </c>
      <c r="B101" s="1" t="s">
        <v>269</v>
      </c>
      <c r="C101" s="1" t="s">
        <v>315</v>
      </c>
      <c r="D101" s="1" t="str">
        <f>"8430"</f>
        <v>8430</v>
      </c>
      <c r="E101" s="1" t="str">
        <f>"015403844"</f>
        <v>015403844</v>
      </c>
      <c r="F101" s="1" t="s">
        <v>314</v>
      </c>
      <c r="G101" s="1" t="s">
        <v>311</v>
      </c>
      <c r="H101" s="1" t="str">
        <f>"9"</f>
        <v>9</v>
      </c>
      <c r="I101" s="2" t="str">
        <f>"115"</f>
        <v>115</v>
      </c>
      <c r="J101" s="3">
        <v>46189</v>
      </c>
      <c r="K101" s="1" t="s">
        <v>312</v>
      </c>
    </row>
    <row r="102" spans="1:11" x14ac:dyDescent="0.35">
      <c r="A102" s="1" t="s">
        <v>18</v>
      </c>
      <c r="B102" s="1" t="s">
        <v>269</v>
      </c>
      <c r="C102" s="1" t="s">
        <v>316</v>
      </c>
      <c r="D102" s="1" t="str">
        <f>"8430"</f>
        <v>8430</v>
      </c>
      <c r="E102" s="1" t="str">
        <f>"015403873"</f>
        <v>015403873</v>
      </c>
      <c r="F102" s="1" t="s">
        <v>310</v>
      </c>
      <c r="G102" s="1" t="s">
        <v>311</v>
      </c>
      <c r="H102" s="1" t="str">
        <f>"11"</f>
        <v>11</v>
      </c>
      <c r="I102" s="2" t="str">
        <f>"115"</f>
        <v>115</v>
      </c>
      <c r="J102" s="3">
        <v>46189</v>
      </c>
      <c r="K102" s="1" t="s">
        <v>312</v>
      </c>
    </row>
    <row r="103" spans="1:11" x14ac:dyDescent="0.35">
      <c r="A103" s="1" t="s">
        <v>18</v>
      </c>
      <c r="B103" s="1" t="s">
        <v>269</v>
      </c>
      <c r="C103" s="1" t="s">
        <v>317</v>
      </c>
      <c r="D103" s="1" t="str">
        <f>"8430"</f>
        <v>8430</v>
      </c>
      <c r="E103" s="1" t="str">
        <f>"015403887"</f>
        <v>015403887</v>
      </c>
      <c r="F103" s="1" t="s">
        <v>310</v>
      </c>
      <c r="G103" s="1" t="s">
        <v>311</v>
      </c>
      <c r="H103" s="1" t="str">
        <f>"17"</f>
        <v>17</v>
      </c>
      <c r="I103" s="2" t="str">
        <f>"115"</f>
        <v>115</v>
      </c>
      <c r="J103" s="3">
        <v>46189</v>
      </c>
      <c r="K103" s="1" t="s">
        <v>312</v>
      </c>
    </row>
    <row r="104" spans="1:11" x14ac:dyDescent="0.35">
      <c r="A104" s="1" t="s">
        <v>18</v>
      </c>
      <c r="B104" s="1" t="s">
        <v>269</v>
      </c>
      <c r="C104" s="1" t="s">
        <v>318</v>
      </c>
      <c r="D104" s="1" t="str">
        <f>"8430"</f>
        <v>8430</v>
      </c>
      <c r="E104" s="1" t="str">
        <f>"015403879"</f>
        <v>015403879</v>
      </c>
      <c r="F104" s="1" t="s">
        <v>310</v>
      </c>
      <c r="G104" s="1" t="s">
        <v>311</v>
      </c>
      <c r="H104" s="1" t="str">
        <f>"7"</f>
        <v>7</v>
      </c>
      <c r="I104" s="2" t="str">
        <f>"115"</f>
        <v>115</v>
      </c>
      <c r="J104" s="3">
        <v>46189</v>
      </c>
      <c r="K104" s="1" t="s">
        <v>312</v>
      </c>
    </row>
    <row r="105" spans="1:11" x14ac:dyDescent="0.35">
      <c r="A105" s="1" t="s">
        <v>18</v>
      </c>
      <c r="B105" s="1" t="s">
        <v>269</v>
      </c>
      <c r="C105" s="1" t="s">
        <v>319</v>
      </c>
      <c r="D105" s="1" t="str">
        <f>"8430"</f>
        <v>8430</v>
      </c>
      <c r="E105" s="1" t="str">
        <f>"015403847"</f>
        <v>015403847</v>
      </c>
      <c r="F105" s="1" t="s">
        <v>314</v>
      </c>
      <c r="G105" s="1" t="s">
        <v>311</v>
      </c>
      <c r="H105" s="1" t="str">
        <f>"4"</f>
        <v>4</v>
      </c>
      <c r="I105" s="2" t="str">
        <f>"115"</f>
        <v>115</v>
      </c>
      <c r="J105" s="3">
        <v>46189</v>
      </c>
      <c r="K105" s="1" t="s">
        <v>312</v>
      </c>
    </row>
    <row r="106" spans="1:11" x14ac:dyDescent="0.35">
      <c r="A106" s="1" t="s">
        <v>18</v>
      </c>
      <c r="B106" s="1" t="s">
        <v>269</v>
      </c>
      <c r="C106" s="1" t="s">
        <v>320</v>
      </c>
      <c r="D106" s="1" t="str">
        <f>"8430"</f>
        <v>8430</v>
      </c>
      <c r="E106" s="1" t="str">
        <f>"015403847"</f>
        <v>015403847</v>
      </c>
      <c r="F106" s="1" t="s">
        <v>314</v>
      </c>
      <c r="G106" s="1" t="s">
        <v>311</v>
      </c>
      <c r="H106" s="1" t="str">
        <f>"7"</f>
        <v>7</v>
      </c>
      <c r="I106" s="2" t="str">
        <f>"115"</f>
        <v>115</v>
      </c>
      <c r="J106" s="3">
        <v>46189</v>
      </c>
      <c r="K106" s="1" t="s">
        <v>312</v>
      </c>
    </row>
    <row r="107" spans="1:11" x14ac:dyDescent="0.35">
      <c r="A107" s="1" t="s">
        <v>18</v>
      </c>
      <c r="B107" s="1" t="s">
        <v>269</v>
      </c>
      <c r="C107" s="1" t="s">
        <v>321</v>
      </c>
      <c r="D107" s="1" t="str">
        <f>"8430"</f>
        <v>8430</v>
      </c>
      <c r="E107" s="1" t="str">
        <f>"015403883"</f>
        <v>015403883</v>
      </c>
      <c r="F107" s="1" t="s">
        <v>310</v>
      </c>
      <c r="G107" s="1" t="s">
        <v>311</v>
      </c>
      <c r="H107" s="1" t="str">
        <f>"21"</f>
        <v>21</v>
      </c>
      <c r="I107" s="2" t="str">
        <f>"115"</f>
        <v>115</v>
      </c>
      <c r="J107" s="3">
        <v>46189</v>
      </c>
      <c r="K107" s="1" t="s">
        <v>312</v>
      </c>
    </row>
    <row r="108" spans="1:11" x14ac:dyDescent="0.35">
      <c r="A108" s="1" t="s">
        <v>18</v>
      </c>
      <c r="B108" s="1" t="s">
        <v>269</v>
      </c>
      <c r="C108" s="1" t="s">
        <v>322</v>
      </c>
      <c r="D108" s="1" t="str">
        <f>"8430"</f>
        <v>8430</v>
      </c>
      <c r="E108" s="1" t="str">
        <f>"015403877"</f>
        <v>015403877</v>
      </c>
      <c r="F108" s="1" t="s">
        <v>314</v>
      </c>
      <c r="G108" s="1" t="s">
        <v>311</v>
      </c>
      <c r="H108" s="1" t="str">
        <f>"8"</f>
        <v>8</v>
      </c>
      <c r="I108" s="2" t="str">
        <f>"115"</f>
        <v>115</v>
      </c>
      <c r="J108" s="3">
        <v>46189</v>
      </c>
      <c r="K108" s="1" t="s">
        <v>312</v>
      </c>
    </row>
    <row r="109" spans="1:11" x14ac:dyDescent="0.35">
      <c r="A109" s="1" t="s">
        <v>18</v>
      </c>
      <c r="B109" s="1" t="s">
        <v>269</v>
      </c>
      <c r="C109" s="1" t="s">
        <v>323</v>
      </c>
      <c r="D109" s="1" t="str">
        <f>"8430"</f>
        <v>8430</v>
      </c>
      <c r="E109" s="1" t="str">
        <f>"015404027"</f>
        <v>015404027</v>
      </c>
      <c r="F109" s="1" t="s">
        <v>314</v>
      </c>
      <c r="G109" s="1" t="s">
        <v>311</v>
      </c>
      <c r="H109" s="1" t="str">
        <f>"3"</f>
        <v>3</v>
      </c>
      <c r="I109" s="2" t="str">
        <f>"115"</f>
        <v>115</v>
      </c>
      <c r="J109" s="3">
        <v>46189</v>
      </c>
      <c r="K109" s="1" t="s">
        <v>312</v>
      </c>
    </row>
    <row r="110" spans="1:11" x14ac:dyDescent="0.35">
      <c r="A110" s="1" t="s">
        <v>18</v>
      </c>
      <c r="B110" s="1" t="s">
        <v>269</v>
      </c>
      <c r="C110" s="1" t="s">
        <v>324</v>
      </c>
      <c r="D110" s="1" t="str">
        <f>"8430"</f>
        <v>8430</v>
      </c>
      <c r="E110" s="1" t="str">
        <f>"015404197"</f>
        <v>015404197</v>
      </c>
      <c r="F110" s="1" t="s">
        <v>314</v>
      </c>
      <c r="G110" s="1" t="s">
        <v>311</v>
      </c>
      <c r="H110" s="1" t="str">
        <f>"2"</f>
        <v>2</v>
      </c>
      <c r="I110" s="2" t="str">
        <f>"115"</f>
        <v>115</v>
      </c>
      <c r="J110" s="3">
        <v>46189</v>
      </c>
      <c r="K110" s="1" t="s">
        <v>312</v>
      </c>
    </row>
    <row r="111" spans="1:11" x14ac:dyDescent="0.35">
      <c r="A111" s="1" t="s">
        <v>18</v>
      </c>
      <c r="B111" s="1" t="s">
        <v>269</v>
      </c>
      <c r="C111" s="1" t="s">
        <v>325</v>
      </c>
      <c r="D111" s="1" t="str">
        <f>"8430"</f>
        <v>8430</v>
      </c>
      <c r="E111" s="1" t="str">
        <f>"015404196"</f>
        <v>015404196</v>
      </c>
      <c r="F111" s="1" t="s">
        <v>310</v>
      </c>
      <c r="G111" s="1" t="s">
        <v>311</v>
      </c>
      <c r="H111" s="1" t="str">
        <f>"3"</f>
        <v>3</v>
      </c>
      <c r="I111" s="2" t="str">
        <f>"115"</f>
        <v>115</v>
      </c>
      <c r="J111" s="3">
        <v>46189</v>
      </c>
      <c r="K111" s="1" t="s">
        <v>312</v>
      </c>
    </row>
    <row r="112" spans="1:11" x14ac:dyDescent="0.35">
      <c r="A112" s="1" t="s">
        <v>18</v>
      </c>
      <c r="B112" s="1" t="s">
        <v>269</v>
      </c>
      <c r="C112" s="1" t="s">
        <v>326</v>
      </c>
      <c r="D112" s="1" t="str">
        <f>"8430"</f>
        <v>8430</v>
      </c>
      <c r="E112" s="1" t="str">
        <f>"015404050"</f>
        <v>015404050</v>
      </c>
      <c r="F112" s="1" t="s">
        <v>310</v>
      </c>
      <c r="G112" s="1" t="s">
        <v>311</v>
      </c>
      <c r="H112" s="1" t="str">
        <f>"5"</f>
        <v>5</v>
      </c>
      <c r="I112" s="2" t="str">
        <f>"115"</f>
        <v>115</v>
      </c>
      <c r="J112" s="3">
        <v>46189</v>
      </c>
      <c r="K112" s="1" t="s">
        <v>312</v>
      </c>
    </row>
    <row r="113" spans="1:11" x14ac:dyDescent="0.35">
      <c r="A113" s="1" t="s">
        <v>18</v>
      </c>
      <c r="B113" s="1" t="s">
        <v>269</v>
      </c>
      <c r="C113" s="1" t="s">
        <v>327</v>
      </c>
      <c r="D113" s="1" t="str">
        <f>"8430"</f>
        <v>8430</v>
      </c>
      <c r="E113" s="1" t="str">
        <f>"015404047"</f>
        <v>015404047</v>
      </c>
      <c r="F113" s="1" t="s">
        <v>310</v>
      </c>
      <c r="G113" s="1" t="s">
        <v>311</v>
      </c>
      <c r="H113" s="1" t="str">
        <f>"6"</f>
        <v>6</v>
      </c>
      <c r="I113" s="2" t="str">
        <f>"115"</f>
        <v>115</v>
      </c>
      <c r="J113" s="3">
        <v>46189</v>
      </c>
      <c r="K113" s="1" t="s">
        <v>312</v>
      </c>
    </row>
    <row r="114" spans="1:11" x14ac:dyDescent="0.35">
      <c r="A114" s="1" t="s">
        <v>18</v>
      </c>
      <c r="B114" s="1" t="s">
        <v>269</v>
      </c>
      <c r="C114" s="1" t="s">
        <v>328</v>
      </c>
      <c r="D114" s="1" t="str">
        <f>"8430"</f>
        <v>8430</v>
      </c>
      <c r="E114" s="1" t="str">
        <f>"015404043"</f>
        <v>015404043</v>
      </c>
      <c r="F114" s="1" t="s">
        <v>310</v>
      </c>
      <c r="G114" s="1" t="s">
        <v>311</v>
      </c>
      <c r="H114" s="1" t="str">
        <f>"3"</f>
        <v>3</v>
      </c>
      <c r="I114" s="2" t="str">
        <f>"115"</f>
        <v>115</v>
      </c>
      <c r="J114" s="3">
        <v>46189</v>
      </c>
      <c r="K114" s="1" t="s">
        <v>312</v>
      </c>
    </row>
    <row r="115" spans="1:11" x14ac:dyDescent="0.35">
      <c r="A115" s="1" t="s">
        <v>18</v>
      </c>
      <c r="B115" s="1" t="s">
        <v>269</v>
      </c>
      <c r="C115" s="1" t="s">
        <v>329</v>
      </c>
      <c r="D115" s="1" t="str">
        <f>"8430"</f>
        <v>8430</v>
      </c>
      <c r="E115" s="1" t="str">
        <f>"015404033"</f>
        <v>015404033</v>
      </c>
      <c r="F115" s="1" t="s">
        <v>314</v>
      </c>
      <c r="G115" s="1" t="s">
        <v>311</v>
      </c>
      <c r="H115" s="1" t="str">
        <f>"3"</f>
        <v>3</v>
      </c>
      <c r="I115" s="2" t="str">
        <f>"115"</f>
        <v>115</v>
      </c>
      <c r="J115" s="3">
        <v>46189</v>
      </c>
      <c r="K115" s="1" t="s">
        <v>312</v>
      </c>
    </row>
    <row r="116" spans="1:11" x14ac:dyDescent="0.35">
      <c r="A116" s="1" t="s">
        <v>18</v>
      </c>
      <c r="B116" s="1" t="s">
        <v>269</v>
      </c>
      <c r="C116" s="1" t="s">
        <v>330</v>
      </c>
      <c r="D116" s="1" t="str">
        <f>"8430"</f>
        <v>8430</v>
      </c>
      <c r="E116" s="1" t="str">
        <f>"015404029"</f>
        <v>015404029</v>
      </c>
      <c r="F116" s="1" t="s">
        <v>310</v>
      </c>
      <c r="G116" s="1" t="s">
        <v>311</v>
      </c>
      <c r="H116" s="1" t="str">
        <f>"2"</f>
        <v>2</v>
      </c>
      <c r="I116" s="2" t="str">
        <f>"115"</f>
        <v>115</v>
      </c>
      <c r="J116" s="3">
        <v>46189</v>
      </c>
      <c r="K116" s="1" t="s">
        <v>312</v>
      </c>
    </row>
    <row r="117" spans="1:11" x14ac:dyDescent="0.35">
      <c r="A117" s="1" t="s">
        <v>18</v>
      </c>
      <c r="B117" s="1" t="s">
        <v>269</v>
      </c>
      <c r="C117" s="1" t="s">
        <v>331</v>
      </c>
      <c r="D117" s="1" t="str">
        <f>"8430"</f>
        <v>8430</v>
      </c>
      <c r="E117" s="1" t="str">
        <f>"015403806"</f>
        <v>015403806</v>
      </c>
      <c r="F117" s="1" t="s">
        <v>310</v>
      </c>
      <c r="G117" s="1" t="s">
        <v>311</v>
      </c>
      <c r="H117" s="1" t="str">
        <f>"7"</f>
        <v>7</v>
      </c>
      <c r="I117" s="2" t="str">
        <f>"115"</f>
        <v>115</v>
      </c>
      <c r="J117" s="3">
        <v>46189</v>
      </c>
      <c r="K117" s="1" t="s">
        <v>312</v>
      </c>
    </row>
    <row r="118" spans="1:11" x14ac:dyDescent="0.35">
      <c r="A118" s="1" t="s">
        <v>18</v>
      </c>
      <c r="B118" s="1" t="s">
        <v>269</v>
      </c>
      <c r="C118" s="1" t="s">
        <v>332</v>
      </c>
      <c r="D118" s="1" t="str">
        <f>"8430"</f>
        <v>8430</v>
      </c>
      <c r="E118" s="1" t="str">
        <f>"015403808"</f>
        <v>015403808</v>
      </c>
      <c r="F118" s="1" t="s">
        <v>310</v>
      </c>
      <c r="G118" s="1" t="s">
        <v>311</v>
      </c>
      <c r="H118" s="1" t="str">
        <f>"6"</f>
        <v>6</v>
      </c>
      <c r="I118" s="2" t="str">
        <f>"115"</f>
        <v>115</v>
      </c>
      <c r="J118" s="3">
        <v>46189</v>
      </c>
      <c r="K118" s="1" t="s">
        <v>312</v>
      </c>
    </row>
    <row r="119" spans="1:11" x14ac:dyDescent="0.35">
      <c r="A119" s="1" t="s">
        <v>18</v>
      </c>
      <c r="B119" s="1" t="s">
        <v>269</v>
      </c>
      <c r="C119" s="1" t="s">
        <v>333</v>
      </c>
      <c r="D119" s="1" t="str">
        <f>"8430"</f>
        <v>8430</v>
      </c>
      <c r="E119" s="1" t="str">
        <f>"015403810"</f>
        <v>015403810</v>
      </c>
      <c r="F119" s="1" t="s">
        <v>310</v>
      </c>
      <c r="G119" s="1" t="s">
        <v>311</v>
      </c>
      <c r="H119" s="1" t="str">
        <f>"6"</f>
        <v>6</v>
      </c>
      <c r="I119" s="2" t="str">
        <f>"115"</f>
        <v>115</v>
      </c>
      <c r="J119" s="3">
        <v>46189</v>
      </c>
      <c r="K119" s="1" t="s">
        <v>312</v>
      </c>
    </row>
    <row r="120" spans="1:11" x14ac:dyDescent="0.35">
      <c r="A120" s="1" t="s">
        <v>18</v>
      </c>
      <c r="B120" s="1" t="s">
        <v>269</v>
      </c>
      <c r="C120" s="1" t="s">
        <v>334</v>
      </c>
      <c r="D120" s="1" t="str">
        <f>"8430"</f>
        <v>8430</v>
      </c>
      <c r="E120" s="1" t="str">
        <f>"015403817"</f>
        <v>015403817</v>
      </c>
      <c r="F120" s="1" t="s">
        <v>310</v>
      </c>
      <c r="G120" s="1" t="s">
        <v>311</v>
      </c>
      <c r="H120" s="1" t="str">
        <f>"6"</f>
        <v>6</v>
      </c>
      <c r="I120" s="2" t="str">
        <f>"115"</f>
        <v>115</v>
      </c>
      <c r="J120" s="3">
        <v>46189</v>
      </c>
      <c r="K120" s="1" t="s">
        <v>312</v>
      </c>
    </row>
    <row r="121" spans="1:11" x14ac:dyDescent="0.35">
      <c r="A121" s="1" t="s">
        <v>18</v>
      </c>
      <c r="B121" s="1" t="s">
        <v>269</v>
      </c>
      <c r="C121" s="1" t="s">
        <v>335</v>
      </c>
      <c r="D121" s="1" t="str">
        <f>"8430"</f>
        <v>8430</v>
      </c>
      <c r="E121" s="1" t="str">
        <f>"015403818"</f>
        <v>015403818</v>
      </c>
      <c r="F121" s="1" t="s">
        <v>310</v>
      </c>
      <c r="G121" s="1" t="s">
        <v>311</v>
      </c>
      <c r="H121" s="1" t="str">
        <f>"6"</f>
        <v>6</v>
      </c>
      <c r="I121" s="2" t="str">
        <f>"115"</f>
        <v>115</v>
      </c>
      <c r="J121" s="3">
        <v>46189</v>
      </c>
      <c r="K121" s="1" t="s">
        <v>312</v>
      </c>
    </row>
    <row r="122" spans="1:11" x14ac:dyDescent="0.35">
      <c r="A122" s="1" t="s">
        <v>18</v>
      </c>
      <c r="B122" s="1" t="s">
        <v>269</v>
      </c>
      <c r="C122" s="1" t="s">
        <v>336</v>
      </c>
      <c r="D122" s="1" t="str">
        <f>"8430"</f>
        <v>8430</v>
      </c>
      <c r="E122" s="1" t="str">
        <f>"015403819"</f>
        <v>015403819</v>
      </c>
      <c r="F122" s="1" t="s">
        <v>310</v>
      </c>
      <c r="G122" s="1" t="s">
        <v>311</v>
      </c>
      <c r="H122" s="1" t="str">
        <f>"6"</f>
        <v>6</v>
      </c>
      <c r="I122" s="2" t="str">
        <f>"115"</f>
        <v>115</v>
      </c>
      <c r="J122" s="3">
        <v>46189</v>
      </c>
      <c r="K122" s="1" t="s">
        <v>312</v>
      </c>
    </row>
    <row r="123" spans="1:11" x14ac:dyDescent="0.35">
      <c r="A123" s="1" t="s">
        <v>18</v>
      </c>
      <c r="B123" s="1" t="s">
        <v>269</v>
      </c>
      <c r="C123" s="1" t="s">
        <v>337</v>
      </c>
      <c r="D123" s="1" t="str">
        <f>"8430"</f>
        <v>8430</v>
      </c>
      <c r="E123" s="1" t="str">
        <f>"015403827"</f>
        <v>015403827</v>
      </c>
      <c r="F123" s="1" t="s">
        <v>310</v>
      </c>
      <c r="G123" s="1" t="s">
        <v>311</v>
      </c>
      <c r="H123" s="1" t="str">
        <f>"6"</f>
        <v>6</v>
      </c>
      <c r="I123" s="2" t="str">
        <f>"115"</f>
        <v>115</v>
      </c>
      <c r="J123" s="3">
        <v>46189</v>
      </c>
      <c r="K123" s="1" t="s">
        <v>312</v>
      </c>
    </row>
    <row r="124" spans="1:11" x14ac:dyDescent="0.35">
      <c r="A124" s="1" t="s">
        <v>18</v>
      </c>
      <c r="B124" s="1" t="s">
        <v>269</v>
      </c>
      <c r="C124" s="1" t="s">
        <v>338</v>
      </c>
      <c r="D124" s="1" t="str">
        <f>"8430"</f>
        <v>8430</v>
      </c>
      <c r="E124" s="1" t="str">
        <f>"015404032"</f>
        <v>015404032</v>
      </c>
      <c r="F124" s="1" t="s">
        <v>310</v>
      </c>
      <c r="G124" s="1" t="s">
        <v>311</v>
      </c>
      <c r="H124" s="1" t="str">
        <f>"3"</f>
        <v>3</v>
      </c>
      <c r="I124" s="2" t="str">
        <f>"115"</f>
        <v>115</v>
      </c>
      <c r="J124" s="3">
        <v>46189</v>
      </c>
      <c r="K124" s="1" t="s">
        <v>312</v>
      </c>
    </row>
    <row r="125" spans="1:11" x14ac:dyDescent="0.35">
      <c r="A125" s="1" t="s">
        <v>18</v>
      </c>
      <c r="B125" s="1" t="s">
        <v>269</v>
      </c>
      <c r="C125" s="1" t="s">
        <v>339</v>
      </c>
      <c r="D125" s="1" t="str">
        <f>"8430"</f>
        <v>8430</v>
      </c>
      <c r="E125" s="1" t="str">
        <f>"015403833"</f>
        <v>015403833</v>
      </c>
      <c r="F125" s="1" t="s">
        <v>310</v>
      </c>
      <c r="G125" s="1" t="s">
        <v>311</v>
      </c>
      <c r="H125" s="1" t="str">
        <f>"11"</f>
        <v>11</v>
      </c>
      <c r="I125" s="2" t="str">
        <f>"115"</f>
        <v>115</v>
      </c>
      <c r="J125" s="3">
        <v>46189</v>
      </c>
      <c r="K125" s="1" t="s">
        <v>312</v>
      </c>
    </row>
    <row r="126" spans="1:11" x14ac:dyDescent="0.35">
      <c r="A126" s="1" t="s">
        <v>18</v>
      </c>
      <c r="B126" s="1" t="s">
        <v>269</v>
      </c>
      <c r="C126" s="1" t="s">
        <v>340</v>
      </c>
      <c r="D126" s="1" t="str">
        <f>"8430"</f>
        <v>8430</v>
      </c>
      <c r="E126" s="1" t="str">
        <f>"015403834"</f>
        <v>015403834</v>
      </c>
      <c r="F126" s="1" t="s">
        <v>310</v>
      </c>
      <c r="G126" s="1" t="s">
        <v>311</v>
      </c>
      <c r="H126" s="1" t="str">
        <f>"11"</f>
        <v>11</v>
      </c>
      <c r="I126" s="2" t="str">
        <f>"115"</f>
        <v>115</v>
      </c>
      <c r="J126" s="3">
        <v>46189</v>
      </c>
      <c r="K126" s="1" t="s">
        <v>312</v>
      </c>
    </row>
    <row r="127" spans="1:11" x14ac:dyDescent="0.35">
      <c r="A127" s="1" t="s">
        <v>18</v>
      </c>
      <c r="B127" s="1" t="s">
        <v>269</v>
      </c>
      <c r="C127" s="1" t="s">
        <v>341</v>
      </c>
      <c r="D127" s="1" t="str">
        <f>"8430"</f>
        <v>8430</v>
      </c>
      <c r="E127" s="1" t="str">
        <f>"015403843"</f>
        <v>015403843</v>
      </c>
      <c r="F127" s="1" t="s">
        <v>314</v>
      </c>
      <c r="G127" s="1" t="s">
        <v>311</v>
      </c>
      <c r="H127" s="1" t="str">
        <f>"8"</f>
        <v>8</v>
      </c>
      <c r="I127" s="2" t="str">
        <f>"115"</f>
        <v>115</v>
      </c>
      <c r="J127" s="3">
        <v>46189</v>
      </c>
      <c r="K127" s="1" t="s">
        <v>312</v>
      </c>
    </row>
    <row r="128" spans="1:11" x14ac:dyDescent="0.35">
      <c r="A128" s="1" t="s">
        <v>18</v>
      </c>
      <c r="B128" s="1" t="s">
        <v>269</v>
      </c>
      <c r="C128" s="1" t="s">
        <v>342</v>
      </c>
      <c r="D128" s="1" t="str">
        <f>"8430"</f>
        <v>8430</v>
      </c>
      <c r="E128" s="1" t="str">
        <f>"015403828"</f>
        <v>015403828</v>
      </c>
      <c r="F128" s="1" t="s">
        <v>310</v>
      </c>
      <c r="G128" s="1" t="s">
        <v>311</v>
      </c>
      <c r="H128" s="1" t="str">
        <f>"5"</f>
        <v>5</v>
      </c>
      <c r="I128" s="2" t="str">
        <f>"115"</f>
        <v>115</v>
      </c>
      <c r="J128" s="3">
        <v>46189</v>
      </c>
      <c r="K128" s="1" t="s">
        <v>312</v>
      </c>
    </row>
    <row r="129" spans="1:11" x14ac:dyDescent="0.35">
      <c r="A129" s="1" t="s">
        <v>18</v>
      </c>
      <c r="B129" s="1" t="s">
        <v>181</v>
      </c>
      <c r="C129" s="1" t="s">
        <v>220</v>
      </c>
      <c r="D129" s="1" t="str">
        <f>"5895"</f>
        <v>5895</v>
      </c>
      <c r="E129" s="1" t="str">
        <f>"016129051"</f>
        <v>016129051</v>
      </c>
      <c r="F129" s="1" t="s">
        <v>221</v>
      </c>
      <c r="G129" s="1" t="s">
        <v>16</v>
      </c>
      <c r="H129" s="1" t="str">
        <f>"1"</f>
        <v>1</v>
      </c>
      <c r="I129" s="2">
        <v>5109.3100000000004</v>
      </c>
      <c r="J129" s="3">
        <v>46191</v>
      </c>
      <c r="K129" s="1" t="s">
        <v>222</v>
      </c>
    </row>
    <row r="130" spans="1:11" x14ac:dyDescent="0.35">
      <c r="A130" s="1" t="s">
        <v>18</v>
      </c>
      <c r="B130" s="1" t="s">
        <v>181</v>
      </c>
      <c r="C130" s="1" t="s">
        <v>238</v>
      </c>
      <c r="D130" s="1" t="str">
        <f>"6695"</f>
        <v>6695</v>
      </c>
      <c r="E130" s="1" t="str">
        <f>"014716027"</f>
        <v>014716027</v>
      </c>
      <c r="F130" s="1" t="s">
        <v>239</v>
      </c>
      <c r="G130" s="1" t="s">
        <v>16</v>
      </c>
      <c r="H130" s="1" t="str">
        <f>"1"</f>
        <v>1</v>
      </c>
      <c r="I130" s="2">
        <v>151.78</v>
      </c>
      <c r="J130" s="3">
        <v>46191</v>
      </c>
      <c r="K130" s="1" t="s">
        <v>240</v>
      </c>
    </row>
    <row r="131" spans="1:11" x14ac:dyDescent="0.35">
      <c r="A131" s="1" t="s">
        <v>18</v>
      </c>
      <c r="B131" s="1" t="s">
        <v>181</v>
      </c>
      <c r="C131" s="1" t="s">
        <v>258</v>
      </c>
      <c r="D131" s="1" t="str">
        <f>"8465"</f>
        <v>8465</v>
      </c>
      <c r="E131" s="1" t="str">
        <f>"016007830"</f>
        <v>016007830</v>
      </c>
      <c r="F131" s="1" t="s">
        <v>259</v>
      </c>
      <c r="G131" s="1" t="s">
        <v>16</v>
      </c>
      <c r="H131" s="1" t="str">
        <f>"6"</f>
        <v>6</v>
      </c>
      <c r="I131" s="2">
        <v>123.43</v>
      </c>
      <c r="J131" s="3">
        <v>46191</v>
      </c>
      <c r="K131" s="1" t="s">
        <v>260</v>
      </c>
    </row>
    <row r="132" spans="1:11" x14ac:dyDescent="0.35">
      <c r="A132" s="1" t="s">
        <v>18</v>
      </c>
      <c r="B132" s="1" t="s">
        <v>181</v>
      </c>
      <c r="C132" s="1" t="s">
        <v>261</v>
      </c>
      <c r="D132" s="1" t="str">
        <f>"8465"</f>
        <v>8465</v>
      </c>
      <c r="E132" s="1" t="str">
        <f>"016155140"</f>
        <v>016155140</v>
      </c>
      <c r="F132" s="1" t="s">
        <v>262</v>
      </c>
      <c r="G132" s="1" t="s">
        <v>16</v>
      </c>
      <c r="H132" s="1" t="str">
        <f>"6"</f>
        <v>6</v>
      </c>
      <c r="I132" s="2">
        <v>31.75</v>
      </c>
      <c r="J132" s="3">
        <v>46191</v>
      </c>
      <c r="K132" s="1" t="s">
        <v>263</v>
      </c>
    </row>
    <row r="133" spans="1:11" x14ac:dyDescent="0.35">
      <c r="A133" s="1" t="s">
        <v>18</v>
      </c>
      <c r="B133" s="1" t="s">
        <v>181</v>
      </c>
      <c r="C133" s="1" t="s">
        <v>264</v>
      </c>
      <c r="D133" s="1" t="str">
        <f>"8465"</f>
        <v>8465</v>
      </c>
      <c r="E133" s="1" t="str">
        <f>"016007830"</f>
        <v>016007830</v>
      </c>
      <c r="F133" s="1" t="s">
        <v>259</v>
      </c>
      <c r="G133" s="1" t="s">
        <v>16</v>
      </c>
      <c r="H133" s="1" t="str">
        <f>"6"</f>
        <v>6</v>
      </c>
      <c r="I133" s="2">
        <v>123.43</v>
      </c>
      <c r="J133" s="3">
        <v>46191</v>
      </c>
      <c r="K133" s="1" t="s">
        <v>265</v>
      </c>
    </row>
    <row r="134" spans="1:11" x14ac:dyDescent="0.35">
      <c r="A134" s="1" t="s">
        <v>18</v>
      </c>
      <c r="B134" s="1" t="s">
        <v>73</v>
      </c>
      <c r="C134" s="1" t="s">
        <v>74</v>
      </c>
      <c r="D134" s="1" t="str">
        <f>"3830"</f>
        <v>3830</v>
      </c>
      <c r="E134" s="1" t="s">
        <v>75</v>
      </c>
      <c r="F134" s="1" t="s">
        <v>76</v>
      </c>
      <c r="G134" s="1" t="s">
        <v>16</v>
      </c>
      <c r="H134" s="1" t="str">
        <f>"1"</f>
        <v>1</v>
      </c>
      <c r="I134" s="2" t="str">
        <f>"905"</f>
        <v>905</v>
      </c>
      <c r="J134" s="3">
        <v>46197</v>
      </c>
      <c r="K134" s="1" t="s">
        <v>77</v>
      </c>
    </row>
    <row r="135" spans="1:11" x14ac:dyDescent="0.35">
      <c r="A135" s="1" t="s">
        <v>18</v>
      </c>
      <c r="B135" s="1" t="s">
        <v>73</v>
      </c>
      <c r="C135" s="1" t="s">
        <v>78</v>
      </c>
      <c r="D135" s="1" t="str">
        <f>"3830"</f>
        <v>3830</v>
      </c>
      <c r="E135" s="1" t="s">
        <v>75</v>
      </c>
      <c r="F135" s="1" t="s">
        <v>76</v>
      </c>
      <c r="G135" s="1" t="s">
        <v>16</v>
      </c>
      <c r="H135" s="1" t="str">
        <f>"1"</f>
        <v>1</v>
      </c>
      <c r="I135" s="2" t="str">
        <f>"1300"</f>
        <v>1300</v>
      </c>
      <c r="J135" s="3">
        <v>46197</v>
      </c>
      <c r="K135" s="1" t="s">
        <v>79</v>
      </c>
    </row>
    <row r="136" spans="1:11" x14ac:dyDescent="0.35">
      <c r="A136" s="1" t="s">
        <v>18</v>
      </c>
      <c r="B136" s="1" t="s">
        <v>269</v>
      </c>
      <c r="C136" s="1" t="s">
        <v>273</v>
      </c>
      <c r="D136" s="1" t="str">
        <f>"2320"</f>
        <v>2320</v>
      </c>
      <c r="E136" s="1" t="str">
        <f>"014476343"</f>
        <v>014476343</v>
      </c>
      <c r="F136" s="1" t="s">
        <v>271</v>
      </c>
      <c r="G136" s="1" t="s">
        <v>16</v>
      </c>
      <c r="H136" s="1" t="str">
        <f>"1"</f>
        <v>1</v>
      </c>
      <c r="I136" s="2" t="str">
        <f>"176428"</f>
        <v>176428</v>
      </c>
      <c r="J136" s="3">
        <v>46198</v>
      </c>
      <c r="K136" s="1" t="s">
        <v>274</v>
      </c>
    </row>
    <row r="137" spans="1:11" x14ac:dyDescent="0.35">
      <c r="A137" s="1" t="s">
        <v>18</v>
      </c>
      <c r="B137" s="1" t="s">
        <v>269</v>
      </c>
      <c r="C137" s="1" t="s">
        <v>275</v>
      </c>
      <c r="D137" s="1" t="str">
        <f>"2330"</f>
        <v>2330</v>
      </c>
      <c r="E137" s="1" t="s">
        <v>70</v>
      </c>
      <c r="F137" s="1" t="s">
        <v>71</v>
      </c>
      <c r="G137" s="1" t="s">
        <v>16</v>
      </c>
      <c r="H137" s="1" t="str">
        <f>"1"</f>
        <v>1</v>
      </c>
      <c r="I137" s="2" t="str">
        <f>"4000"</f>
        <v>4000</v>
      </c>
      <c r="J137" s="3">
        <v>46198</v>
      </c>
      <c r="K137" s="1" t="s">
        <v>276</v>
      </c>
    </row>
    <row r="138" spans="1:11" x14ac:dyDescent="0.35">
      <c r="A138" s="1" t="s">
        <v>18</v>
      </c>
      <c r="B138" s="1" t="s">
        <v>269</v>
      </c>
      <c r="C138" s="1" t="s">
        <v>277</v>
      </c>
      <c r="D138" s="1" t="str">
        <f>"3438"</f>
        <v>3438</v>
      </c>
      <c r="E138" s="1" t="s">
        <v>278</v>
      </c>
      <c r="F138" s="1" t="s">
        <v>279</v>
      </c>
      <c r="G138" s="1" t="s">
        <v>16</v>
      </c>
      <c r="H138" s="1" t="str">
        <f>"1"</f>
        <v>1</v>
      </c>
      <c r="I138" s="2" t="str">
        <f>"1000"</f>
        <v>1000</v>
      </c>
      <c r="J138" s="3">
        <v>46198</v>
      </c>
      <c r="K138" s="1" t="s">
        <v>280</v>
      </c>
    </row>
    <row r="139" spans="1:11" x14ac:dyDescent="0.35">
      <c r="A139" s="1" t="s">
        <v>18</v>
      </c>
      <c r="B139" s="1" t="s">
        <v>269</v>
      </c>
      <c r="C139" s="1" t="s">
        <v>281</v>
      </c>
      <c r="D139" s="1" t="str">
        <f>"3695"</f>
        <v>3695</v>
      </c>
      <c r="E139" s="1" t="str">
        <f>"000125866"</f>
        <v>000125866</v>
      </c>
      <c r="F139" s="1" t="s">
        <v>282</v>
      </c>
      <c r="G139" s="1" t="s">
        <v>16</v>
      </c>
      <c r="H139" s="1" t="str">
        <f>"1"</f>
        <v>1</v>
      </c>
      <c r="I139" s="2" t="str">
        <f>"2743"</f>
        <v>2743</v>
      </c>
      <c r="J139" s="3">
        <v>46198</v>
      </c>
      <c r="K139" s="1" t="s">
        <v>283</v>
      </c>
    </row>
    <row r="140" spans="1:11" x14ac:dyDescent="0.35">
      <c r="A140" s="1" t="s">
        <v>18</v>
      </c>
      <c r="B140" s="1" t="s">
        <v>269</v>
      </c>
      <c r="C140" s="1" t="s">
        <v>288</v>
      </c>
      <c r="D140" s="1" t="str">
        <f>"4910"</f>
        <v>4910</v>
      </c>
      <c r="E140" s="1" t="s">
        <v>289</v>
      </c>
      <c r="F140" s="1" t="s">
        <v>290</v>
      </c>
      <c r="G140" s="1" t="s">
        <v>16</v>
      </c>
      <c r="H140" s="1" t="str">
        <f>"1"</f>
        <v>1</v>
      </c>
      <c r="I140" s="2">
        <v>25453.32</v>
      </c>
      <c r="J140" s="3">
        <v>46198</v>
      </c>
      <c r="K140" s="1" t="s">
        <v>291</v>
      </c>
    </row>
    <row r="141" spans="1:11" x14ac:dyDescent="0.35">
      <c r="A141" s="1" t="s">
        <v>18</v>
      </c>
      <c r="B141" s="1" t="s">
        <v>269</v>
      </c>
      <c r="C141" s="1" t="s">
        <v>350</v>
      </c>
      <c r="D141" s="1" t="str">
        <f>"9920"</f>
        <v>9920</v>
      </c>
      <c r="E141" s="1" t="str">
        <f>"002929946"</f>
        <v>002929946</v>
      </c>
      <c r="F141" s="1" t="s">
        <v>351</v>
      </c>
      <c r="G141" s="1" t="s">
        <v>352</v>
      </c>
      <c r="H141" s="1" t="str">
        <f>"17"</f>
        <v>17</v>
      </c>
      <c r="I141" s="2">
        <v>29.51</v>
      </c>
      <c r="J141" s="3">
        <v>46198</v>
      </c>
      <c r="K141" s="1" t="s">
        <v>353</v>
      </c>
    </row>
    <row r="142" spans="1:11" x14ac:dyDescent="0.35">
      <c r="A142" s="1" t="s">
        <v>18</v>
      </c>
      <c r="B142" s="1" t="s">
        <v>362</v>
      </c>
      <c r="C142" s="1" t="s">
        <v>407</v>
      </c>
      <c r="D142" s="1" t="str">
        <f>"8145"</f>
        <v>8145</v>
      </c>
      <c r="E142" s="1" t="s">
        <v>408</v>
      </c>
      <c r="F142" s="1" t="s">
        <v>409</v>
      </c>
      <c r="G142" s="1" t="s">
        <v>16</v>
      </c>
      <c r="H142" s="1" t="str">
        <f>"4"</f>
        <v>4</v>
      </c>
      <c r="I142" s="2" t="str">
        <f>"100"</f>
        <v>100</v>
      </c>
      <c r="J142" s="3">
        <v>46198</v>
      </c>
      <c r="K142" s="1" t="s">
        <v>410</v>
      </c>
    </row>
    <row r="143" spans="1:11" x14ac:dyDescent="0.35">
      <c r="A143" s="1" t="s">
        <v>18</v>
      </c>
      <c r="B143" s="1" t="s">
        <v>362</v>
      </c>
      <c r="C143" s="1" t="s">
        <v>383</v>
      </c>
      <c r="D143" s="1" t="str">
        <f>"3805"</f>
        <v>3805</v>
      </c>
      <c r="E143" s="1" t="s">
        <v>384</v>
      </c>
      <c r="F143" s="1" t="s">
        <v>385</v>
      </c>
      <c r="G143" s="1" t="s">
        <v>16</v>
      </c>
      <c r="H143" s="1" t="str">
        <f>"1"</f>
        <v>1</v>
      </c>
      <c r="I143" s="2" t="str">
        <f>"22711"</f>
        <v>22711</v>
      </c>
      <c r="J143" s="3">
        <v>46202</v>
      </c>
      <c r="K143" s="1" t="s">
        <v>386</v>
      </c>
    </row>
    <row r="144" spans="1:11" x14ac:dyDescent="0.35">
      <c r="A144" s="1" t="s">
        <v>18</v>
      </c>
      <c r="B144" s="1" t="s">
        <v>181</v>
      </c>
      <c r="C144" s="1" t="s">
        <v>188</v>
      </c>
      <c r="D144" s="1" t="str">
        <f>"1005"</f>
        <v>1005</v>
      </c>
      <c r="E144" s="1" t="str">
        <f>"016309508"</f>
        <v>016309508</v>
      </c>
      <c r="F144" s="1" t="s">
        <v>183</v>
      </c>
      <c r="G144" s="1" t="s">
        <v>16</v>
      </c>
      <c r="H144" s="1" t="str">
        <f>"20"</f>
        <v>20</v>
      </c>
      <c r="I144" s="2">
        <v>13.87</v>
      </c>
      <c r="J144" s="3">
        <v>46203</v>
      </c>
      <c r="K144" s="1" t="s">
        <v>189</v>
      </c>
    </row>
    <row r="145" spans="1:11" x14ac:dyDescent="0.35">
      <c r="A145" s="1" t="s">
        <v>411</v>
      </c>
      <c r="B145" s="1" t="s">
        <v>412</v>
      </c>
      <c r="C145" s="1" t="s">
        <v>416</v>
      </c>
      <c r="D145" s="1" t="str">
        <f>"2320"</f>
        <v>2320</v>
      </c>
      <c r="E145" s="1" t="str">
        <f>"011236827"</f>
        <v>011236827</v>
      </c>
      <c r="F145" s="1" t="s">
        <v>271</v>
      </c>
      <c r="G145" s="1" t="s">
        <v>16</v>
      </c>
      <c r="H145" s="1" t="str">
        <f>"1"</f>
        <v>1</v>
      </c>
      <c r="I145" s="2" t="str">
        <f>"15751"</f>
        <v>15751</v>
      </c>
      <c r="J145" s="3">
        <v>46113</v>
      </c>
      <c r="K145" s="1" t="s">
        <v>417</v>
      </c>
    </row>
    <row r="146" spans="1:11" x14ac:dyDescent="0.35">
      <c r="A146" s="1" t="s">
        <v>411</v>
      </c>
      <c r="B146" s="1" t="s">
        <v>412</v>
      </c>
      <c r="C146" s="1" t="s">
        <v>418</v>
      </c>
      <c r="D146" s="1" t="str">
        <f>"8145"</f>
        <v>8145</v>
      </c>
      <c r="E146" s="1" t="str">
        <f>"014842623"</f>
        <v>014842623</v>
      </c>
      <c r="F146" s="1" t="s">
        <v>419</v>
      </c>
      <c r="G146" s="1" t="s">
        <v>16</v>
      </c>
      <c r="H146" s="1" t="str">
        <f>"1"</f>
        <v>1</v>
      </c>
      <c r="I146" s="2">
        <v>18868.59</v>
      </c>
      <c r="J146" s="3">
        <v>46113</v>
      </c>
      <c r="K146" s="1" t="s">
        <v>420</v>
      </c>
    </row>
    <row r="147" spans="1:11" x14ac:dyDescent="0.35">
      <c r="A147" s="1" t="s">
        <v>411</v>
      </c>
      <c r="B147" s="1" t="s">
        <v>412</v>
      </c>
      <c r="C147" s="1" t="s">
        <v>413</v>
      </c>
      <c r="D147" s="1" t="str">
        <f>"2320"</f>
        <v>2320</v>
      </c>
      <c r="E147" s="1" t="str">
        <f>"013469317"</f>
        <v>013469317</v>
      </c>
      <c r="F147" s="1" t="s">
        <v>414</v>
      </c>
      <c r="G147" s="1" t="s">
        <v>16</v>
      </c>
      <c r="H147" s="1" t="str">
        <f>"1"</f>
        <v>1</v>
      </c>
      <c r="I147" s="2" t="str">
        <f>"94171"</f>
        <v>94171</v>
      </c>
      <c r="J147" s="3">
        <v>46142</v>
      </c>
      <c r="K147" s="1" t="s">
        <v>415</v>
      </c>
    </row>
    <row r="148" spans="1:11" x14ac:dyDescent="0.35">
      <c r="A148" s="1" t="s">
        <v>411</v>
      </c>
      <c r="B148" s="1" t="s">
        <v>421</v>
      </c>
      <c r="C148" s="1" t="s">
        <v>422</v>
      </c>
      <c r="D148" s="1" t="str">
        <f>"8145"</f>
        <v>8145</v>
      </c>
      <c r="E148" s="1" t="str">
        <f>"013749926"</f>
        <v>013749926</v>
      </c>
      <c r="F148" s="1" t="s">
        <v>423</v>
      </c>
      <c r="G148" s="1" t="s">
        <v>16</v>
      </c>
      <c r="H148" s="1" t="str">
        <f>"3"</f>
        <v>3</v>
      </c>
      <c r="I148" s="2">
        <v>1072.3</v>
      </c>
      <c r="J148" s="3">
        <v>46153</v>
      </c>
      <c r="K148" s="1" t="s">
        <v>424</v>
      </c>
    </row>
    <row r="149" spans="1:11" x14ac:dyDescent="0.35">
      <c r="A149" s="1" t="s">
        <v>411</v>
      </c>
      <c r="B149" s="1" t="s">
        <v>421</v>
      </c>
      <c r="C149" s="1" t="s">
        <v>425</v>
      </c>
      <c r="D149" s="1" t="str">
        <f>"8145"</f>
        <v>8145</v>
      </c>
      <c r="E149" s="1" t="str">
        <f>"013749926"</f>
        <v>013749926</v>
      </c>
      <c r="F149" s="1" t="s">
        <v>423</v>
      </c>
      <c r="G149" s="1" t="s">
        <v>16</v>
      </c>
      <c r="H149" s="1" t="str">
        <f>"7"</f>
        <v>7</v>
      </c>
      <c r="I149" s="2">
        <v>1072.3</v>
      </c>
      <c r="J149" s="3">
        <v>46153</v>
      </c>
      <c r="K149" s="1" t="s">
        <v>424</v>
      </c>
    </row>
    <row r="150" spans="1:11" x14ac:dyDescent="0.35">
      <c r="A150" s="1" t="s">
        <v>426</v>
      </c>
      <c r="B150" s="1" t="s">
        <v>468</v>
      </c>
      <c r="C150" s="1" t="s">
        <v>482</v>
      </c>
      <c r="D150" s="1" t="str">
        <f>"8115"</f>
        <v>8115</v>
      </c>
      <c r="E150" s="1" t="s">
        <v>483</v>
      </c>
      <c r="F150" s="1" t="s">
        <v>484</v>
      </c>
      <c r="G150" s="1" t="s">
        <v>16</v>
      </c>
      <c r="H150" s="1" t="str">
        <f>"2"</f>
        <v>2</v>
      </c>
      <c r="I150" s="2" t="str">
        <f>"50"</f>
        <v>50</v>
      </c>
      <c r="J150" s="3">
        <v>46114</v>
      </c>
      <c r="K150" s="1" t="s">
        <v>485</v>
      </c>
    </row>
    <row r="151" spans="1:11" x14ac:dyDescent="0.35">
      <c r="A151" s="1" t="s">
        <v>426</v>
      </c>
      <c r="B151" s="1" t="s">
        <v>468</v>
      </c>
      <c r="C151" s="1" t="s">
        <v>486</v>
      </c>
      <c r="D151" s="1" t="str">
        <f>"8115"</f>
        <v>8115</v>
      </c>
      <c r="E151" s="1" t="s">
        <v>483</v>
      </c>
      <c r="F151" s="1" t="s">
        <v>484</v>
      </c>
      <c r="G151" s="1" t="s">
        <v>16</v>
      </c>
      <c r="H151" s="1" t="str">
        <f>"1"</f>
        <v>1</v>
      </c>
      <c r="I151" s="2" t="str">
        <f>"300"</f>
        <v>300</v>
      </c>
      <c r="J151" s="3">
        <v>46114</v>
      </c>
      <c r="K151" s="1" t="s">
        <v>485</v>
      </c>
    </row>
    <row r="152" spans="1:11" x14ac:dyDescent="0.35">
      <c r="A152" s="1" t="s">
        <v>426</v>
      </c>
      <c r="B152" s="1" t="s">
        <v>468</v>
      </c>
      <c r="C152" s="1" t="s">
        <v>487</v>
      </c>
      <c r="D152" s="1" t="str">
        <f>"8115"</f>
        <v>8115</v>
      </c>
      <c r="E152" s="1" t="s">
        <v>483</v>
      </c>
      <c r="F152" s="1" t="s">
        <v>484</v>
      </c>
      <c r="G152" s="1" t="s">
        <v>16</v>
      </c>
      <c r="H152" s="1" t="str">
        <f>"2"</f>
        <v>2</v>
      </c>
      <c r="I152" s="2" t="str">
        <f>"300"</f>
        <v>300</v>
      </c>
      <c r="J152" s="3">
        <v>46114</v>
      </c>
      <c r="K152" s="1" t="s">
        <v>485</v>
      </c>
    </row>
    <row r="153" spans="1:11" x14ac:dyDescent="0.35">
      <c r="A153" s="1" t="s">
        <v>426</v>
      </c>
      <c r="B153" s="1" t="s">
        <v>468</v>
      </c>
      <c r="C153" s="1" t="s">
        <v>492</v>
      </c>
      <c r="D153" s="1" t="str">
        <f>"8415"</f>
        <v>8415</v>
      </c>
      <c r="E153" s="1" t="str">
        <f>"015386739"</f>
        <v>015386739</v>
      </c>
      <c r="F153" s="1" t="s">
        <v>493</v>
      </c>
      <c r="G153" s="1" t="s">
        <v>16</v>
      </c>
      <c r="H153" s="1" t="str">
        <f>"7"</f>
        <v>7</v>
      </c>
      <c r="I153" s="2">
        <v>70.05</v>
      </c>
      <c r="J153" s="3">
        <v>46114</v>
      </c>
      <c r="K153" s="1" t="s">
        <v>494</v>
      </c>
    </row>
    <row r="154" spans="1:11" x14ac:dyDescent="0.35">
      <c r="A154" s="1" t="s">
        <v>426</v>
      </c>
      <c r="B154" s="1" t="s">
        <v>468</v>
      </c>
      <c r="C154" s="1" t="s">
        <v>495</v>
      </c>
      <c r="D154" s="1" t="str">
        <f>"8415"</f>
        <v>8415</v>
      </c>
      <c r="E154" s="1" t="str">
        <f>"015386739"</f>
        <v>015386739</v>
      </c>
      <c r="F154" s="1" t="s">
        <v>493</v>
      </c>
      <c r="G154" s="1" t="s">
        <v>16</v>
      </c>
      <c r="H154" s="1" t="str">
        <f>"3"</f>
        <v>3</v>
      </c>
      <c r="I154" s="2">
        <v>70.05</v>
      </c>
      <c r="J154" s="3">
        <v>46114</v>
      </c>
      <c r="K154" s="1" t="s">
        <v>494</v>
      </c>
    </row>
    <row r="155" spans="1:11" x14ac:dyDescent="0.35">
      <c r="A155" s="1" t="s">
        <v>426</v>
      </c>
      <c r="B155" s="1" t="s">
        <v>468</v>
      </c>
      <c r="C155" s="1" t="s">
        <v>496</v>
      </c>
      <c r="D155" s="1" t="str">
        <f>"8415"</f>
        <v>8415</v>
      </c>
      <c r="E155" s="1" t="str">
        <f>"015386739"</f>
        <v>015386739</v>
      </c>
      <c r="F155" s="1" t="s">
        <v>493</v>
      </c>
      <c r="G155" s="1" t="s">
        <v>16</v>
      </c>
      <c r="H155" s="1" t="str">
        <f>"5"</f>
        <v>5</v>
      </c>
      <c r="I155" s="2">
        <v>70.05</v>
      </c>
      <c r="J155" s="3">
        <v>46114</v>
      </c>
      <c r="K155" s="1" t="s">
        <v>494</v>
      </c>
    </row>
    <row r="156" spans="1:11" x14ac:dyDescent="0.35">
      <c r="A156" s="1" t="s">
        <v>426</v>
      </c>
      <c r="B156" s="1" t="s">
        <v>468</v>
      </c>
      <c r="C156" s="1" t="s">
        <v>497</v>
      </c>
      <c r="D156" s="1" t="str">
        <f>"8415"</f>
        <v>8415</v>
      </c>
      <c r="E156" s="1" t="str">
        <f>"015467550"</f>
        <v>015467550</v>
      </c>
      <c r="F156" s="1" t="s">
        <v>493</v>
      </c>
      <c r="G156" s="1" t="s">
        <v>16</v>
      </c>
      <c r="H156" s="1" t="str">
        <f>"1"</f>
        <v>1</v>
      </c>
      <c r="I156" s="2">
        <v>72.510000000000005</v>
      </c>
      <c r="J156" s="3">
        <v>46114</v>
      </c>
      <c r="K156" s="1" t="s">
        <v>498</v>
      </c>
    </row>
    <row r="157" spans="1:11" x14ac:dyDescent="0.35">
      <c r="A157" s="1" t="s">
        <v>426</v>
      </c>
      <c r="B157" s="1" t="s">
        <v>499</v>
      </c>
      <c r="C157" s="1" t="s">
        <v>504</v>
      </c>
      <c r="D157" s="1" t="str">
        <f>"6545"</f>
        <v>6545</v>
      </c>
      <c r="E157" s="1" t="str">
        <f>"015300929"</f>
        <v>015300929</v>
      </c>
      <c r="F157" s="1" t="s">
        <v>236</v>
      </c>
      <c r="G157" s="1" t="s">
        <v>215</v>
      </c>
      <c r="H157" s="1" t="str">
        <f>"50"</f>
        <v>50</v>
      </c>
      <c r="I157" s="2">
        <v>48.71</v>
      </c>
      <c r="J157" s="3">
        <v>46114</v>
      </c>
      <c r="K157" s="1" t="s">
        <v>505</v>
      </c>
    </row>
    <row r="158" spans="1:11" x14ac:dyDescent="0.35">
      <c r="A158" s="1" t="s">
        <v>426</v>
      </c>
      <c r="B158" s="1" t="s">
        <v>468</v>
      </c>
      <c r="C158" s="1" t="s">
        <v>472</v>
      </c>
      <c r="D158" s="1" t="str">
        <f>"4240"</f>
        <v>4240</v>
      </c>
      <c r="E158" s="1" t="str">
        <f>"016001785"</f>
        <v>016001785</v>
      </c>
      <c r="F158" s="1" t="s">
        <v>473</v>
      </c>
      <c r="G158" s="1" t="s">
        <v>16</v>
      </c>
      <c r="H158" s="1" t="str">
        <f>"73"</f>
        <v>73</v>
      </c>
      <c r="I158" s="2">
        <v>68.75</v>
      </c>
      <c r="J158" s="3">
        <v>46119</v>
      </c>
      <c r="K158" s="1" t="s">
        <v>5165</v>
      </c>
    </row>
    <row r="159" spans="1:11" x14ac:dyDescent="0.35">
      <c r="A159" s="1" t="s">
        <v>426</v>
      </c>
      <c r="B159" s="1" t="s">
        <v>468</v>
      </c>
      <c r="C159" s="1" t="s">
        <v>469</v>
      </c>
      <c r="D159" s="1" t="str">
        <f>"3940"</f>
        <v>3940</v>
      </c>
      <c r="E159" s="1" t="str">
        <f>"014754983"</f>
        <v>014754983</v>
      </c>
      <c r="F159" s="1" t="s">
        <v>470</v>
      </c>
      <c r="G159" s="1" t="s">
        <v>16</v>
      </c>
      <c r="H159" s="1" t="str">
        <f>"3"</f>
        <v>3</v>
      </c>
      <c r="I159" s="2">
        <v>309.49</v>
      </c>
      <c r="J159" s="3">
        <v>46128</v>
      </c>
      <c r="K159" s="1" t="s">
        <v>471</v>
      </c>
    </row>
    <row r="160" spans="1:11" x14ac:dyDescent="0.35">
      <c r="A160" s="1" t="s">
        <v>426</v>
      </c>
      <c r="B160" s="1" t="s">
        <v>464</v>
      </c>
      <c r="C160" s="1" t="s">
        <v>465</v>
      </c>
      <c r="D160" s="1" t="str">
        <f>"2610"</f>
        <v>2610</v>
      </c>
      <c r="E160" s="1" t="str">
        <f>"013578333"</f>
        <v>013578333</v>
      </c>
      <c r="F160" s="1" t="s">
        <v>466</v>
      </c>
      <c r="G160" s="1" t="s">
        <v>16</v>
      </c>
      <c r="H160" s="1" t="str">
        <f>"4"</f>
        <v>4</v>
      </c>
      <c r="I160" s="2">
        <v>2473.69</v>
      </c>
      <c r="J160" s="3">
        <v>46133</v>
      </c>
      <c r="K160" s="1" t="s">
        <v>467</v>
      </c>
    </row>
    <row r="161" spans="1:11" x14ac:dyDescent="0.35">
      <c r="A161" s="1" t="s">
        <v>426</v>
      </c>
      <c r="B161" s="1" t="s">
        <v>468</v>
      </c>
      <c r="C161" s="1" t="s">
        <v>474</v>
      </c>
      <c r="D161" s="1" t="str">
        <f>"5180"</f>
        <v>5180</v>
      </c>
      <c r="E161" s="1" t="str">
        <f>"015632596"</f>
        <v>015632596</v>
      </c>
      <c r="F161" s="1" t="s">
        <v>475</v>
      </c>
      <c r="G161" s="1" t="s">
        <v>16</v>
      </c>
      <c r="H161" s="1" t="str">
        <f>"1"</f>
        <v>1</v>
      </c>
      <c r="I161" s="2" t="str">
        <f>"5569"</f>
        <v>5569</v>
      </c>
      <c r="J161" s="3">
        <v>46133</v>
      </c>
      <c r="K161" s="1" t="s">
        <v>476</v>
      </c>
    </row>
    <row r="162" spans="1:11" x14ac:dyDescent="0.35">
      <c r="A162" s="1" t="s">
        <v>426</v>
      </c>
      <c r="B162" s="1" t="s">
        <v>468</v>
      </c>
      <c r="C162" s="1" t="s">
        <v>477</v>
      </c>
      <c r="D162" s="1" t="str">
        <f>"5180"</f>
        <v>5180</v>
      </c>
      <c r="E162" s="1" t="str">
        <f>"015375424"</f>
        <v>015375424</v>
      </c>
      <c r="F162" s="1" t="s">
        <v>478</v>
      </c>
      <c r="G162" s="1" t="s">
        <v>215</v>
      </c>
      <c r="H162" s="1" t="str">
        <f>"2"</f>
        <v>2</v>
      </c>
      <c r="I162" s="2" t="str">
        <f>"10334"</f>
        <v>10334</v>
      </c>
      <c r="J162" s="3">
        <v>46133</v>
      </c>
      <c r="K162" s="1" t="s">
        <v>476</v>
      </c>
    </row>
    <row r="163" spans="1:11" x14ac:dyDescent="0.35">
      <c r="A163" s="1" t="s">
        <v>426</v>
      </c>
      <c r="B163" s="1" t="s">
        <v>468</v>
      </c>
      <c r="C163" s="1" t="s">
        <v>479</v>
      </c>
      <c r="D163" s="1" t="str">
        <f>"6605"</f>
        <v>6605</v>
      </c>
      <c r="E163" s="1" t="str">
        <f>"014442955"</f>
        <v>014442955</v>
      </c>
      <c r="F163" s="1" t="s">
        <v>480</v>
      </c>
      <c r="G163" s="1" t="s">
        <v>16</v>
      </c>
      <c r="H163" s="1" t="str">
        <f>"27"</f>
        <v>27</v>
      </c>
      <c r="I163" s="2">
        <v>36.18</v>
      </c>
      <c r="J163" s="3">
        <v>46133</v>
      </c>
      <c r="K163" s="1" t="s">
        <v>481</v>
      </c>
    </row>
    <row r="164" spans="1:11" x14ac:dyDescent="0.35">
      <c r="A164" s="1" t="s">
        <v>426</v>
      </c>
      <c r="B164" s="1" t="s">
        <v>427</v>
      </c>
      <c r="C164" s="1" t="s">
        <v>440</v>
      </c>
      <c r="D164" s="1" t="str">
        <f>"7830"</f>
        <v>7830</v>
      </c>
      <c r="E164" s="1" t="s">
        <v>441</v>
      </c>
      <c r="F164" s="1" t="s">
        <v>442</v>
      </c>
      <c r="G164" s="1" t="s">
        <v>16</v>
      </c>
      <c r="H164" s="1" t="str">
        <f>"1"</f>
        <v>1</v>
      </c>
      <c r="I164" s="2">
        <v>3699.99</v>
      </c>
      <c r="J164" s="3">
        <v>46148</v>
      </c>
      <c r="K164" s="1" t="s">
        <v>443</v>
      </c>
    </row>
    <row r="165" spans="1:11" x14ac:dyDescent="0.35">
      <c r="A165" s="1" t="s">
        <v>426</v>
      </c>
      <c r="B165" s="1" t="s">
        <v>460</v>
      </c>
      <c r="C165" s="1" t="s">
        <v>461</v>
      </c>
      <c r="D165" s="1" t="str">
        <f>"5855"</f>
        <v>5855</v>
      </c>
      <c r="E165" s="1" t="str">
        <f>"015330555"</f>
        <v>015330555</v>
      </c>
      <c r="F165" s="1" t="s">
        <v>462</v>
      </c>
      <c r="G165" s="1" t="s">
        <v>16</v>
      </c>
      <c r="H165" s="1" t="str">
        <f>"2"</f>
        <v>2</v>
      </c>
      <c r="I165" s="2" t="str">
        <f>"1800"</f>
        <v>1800</v>
      </c>
      <c r="J165" s="3">
        <v>46150</v>
      </c>
      <c r="K165" s="1" t="s">
        <v>463</v>
      </c>
    </row>
    <row r="166" spans="1:11" x14ac:dyDescent="0.35">
      <c r="A166" s="1" t="s">
        <v>426</v>
      </c>
      <c r="B166" s="1" t="s">
        <v>427</v>
      </c>
      <c r="C166" s="1" t="s">
        <v>428</v>
      </c>
      <c r="D166" s="1" t="str">
        <f>"1550"</f>
        <v>1550</v>
      </c>
      <c r="E166" s="1" t="str">
        <f>"015389256"</f>
        <v>015389256</v>
      </c>
      <c r="F166" s="1" t="s">
        <v>203</v>
      </c>
      <c r="G166" s="1" t="s">
        <v>16</v>
      </c>
      <c r="H166" s="1" t="str">
        <f>"2"</f>
        <v>2</v>
      </c>
      <c r="I166" s="2" t="str">
        <f>"100000"</f>
        <v>100000</v>
      </c>
      <c r="J166" s="3">
        <v>46155</v>
      </c>
      <c r="K166" s="1" t="s">
        <v>429</v>
      </c>
    </row>
    <row r="167" spans="1:11" x14ac:dyDescent="0.35">
      <c r="A167" s="1" t="s">
        <v>426</v>
      </c>
      <c r="B167" s="1" t="s">
        <v>427</v>
      </c>
      <c r="C167" s="1" t="s">
        <v>430</v>
      </c>
      <c r="D167" s="1" t="str">
        <f>"5120"</f>
        <v>5120</v>
      </c>
      <c r="E167" s="1" t="str">
        <f>"016450078"</f>
        <v>016450078</v>
      </c>
      <c r="F167" s="1" t="s">
        <v>431</v>
      </c>
      <c r="G167" s="1" t="s">
        <v>16</v>
      </c>
      <c r="H167" s="1" t="str">
        <f>"1"</f>
        <v>1</v>
      </c>
      <c r="I167" s="2" t="str">
        <f>"142"</f>
        <v>142</v>
      </c>
      <c r="J167" s="3">
        <v>46155</v>
      </c>
      <c r="K167" s="1" t="s">
        <v>432</v>
      </c>
    </row>
    <row r="168" spans="1:11" x14ac:dyDescent="0.35">
      <c r="A168" s="1" t="s">
        <v>426</v>
      </c>
      <c r="B168" s="1" t="s">
        <v>427</v>
      </c>
      <c r="C168" s="1" t="s">
        <v>436</v>
      </c>
      <c r="D168" s="1" t="str">
        <f>"6625"</f>
        <v>6625</v>
      </c>
      <c r="E168" s="1" t="str">
        <f>"014664771"</f>
        <v>014664771</v>
      </c>
      <c r="F168" s="1" t="s">
        <v>437</v>
      </c>
      <c r="G168" s="1" t="s">
        <v>16</v>
      </c>
      <c r="H168" s="1" t="str">
        <f>"1"</f>
        <v>1</v>
      </c>
      <c r="I168" s="2">
        <v>7513.52</v>
      </c>
      <c r="J168" s="3">
        <v>46155</v>
      </c>
      <c r="K168" s="1" t="s">
        <v>432</v>
      </c>
    </row>
    <row r="169" spans="1:11" x14ac:dyDescent="0.35">
      <c r="A169" s="1" t="s">
        <v>426</v>
      </c>
      <c r="B169" s="1" t="s">
        <v>427</v>
      </c>
      <c r="C169" s="1" t="s">
        <v>438</v>
      </c>
      <c r="D169" s="1" t="str">
        <f>"6625"</f>
        <v>6625</v>
      </c>
      <c r="E169" s="1" t="str">
        <f>"013326985"</f>
        <v>013326985</v>
      </c>
      <c r="F169" s="1" t="s">
        <v>439</v>
      </c>
      <c r="G169" s="1" t="s">
        <v>16</v>
      </c>
      <c r="H169" s="1" t="str">
        <f>"1"</f>
        <v>1</v>
      </c>
      <c r="I169" s="2" t="str">
        <f>"12189"</f>
        <v>12189</v>
      </c>
      <c r="J169" s="3">
        <v>46155</v>
      </c>
      <c r="K169" s="1" t="s">
        <v>432</v>
      </c>
    </row>
    <row r="170" spans="1:11" x14ac:dyDescent="0.35">
      <c r="A170" s="1" t="s">
        <v>426</v>
      </c>
      <c r="B170" s="1" t="s">
        <v>427</v>
      </c>
      <c r="C170" s="1" t="s">
        <v>444</v>
      </c>
      <c r="D170" s="1" t="str">
        <f>"7830"</f>
        <v>7830</v>
      </c>
      <c r="E170" s="1" t="s">
        <v>445</v>
      </c>
      <c r="F170" s="1" t="s">
        <v>446</v>
      </c>
      <c r="G170" s="1" t="s">
        <v>16</v>
      </c>
      <c r="H170" s="1" t="str">
        <f>"1"</f>
        <v>1</v>
      </c>
      <c r="I170" s="2">
        <v>1098.96</v>
      </c>
      <c r="J170" s="3">
        <v>46155</v>
      </c>
      <c r="K170" s="1" t="s">
        <v>447</v>
      </c>
    </row>
    <row r="171" spans="1:11" x14ac:dyDescent="0.35">
      <c r="A171" s="1" t="s">
        <v>426</v>
      </c>
      <c r="B171" s="1" t="s">
        <v>427</v>
      </c>
      <c r="C171" s="1" t="s">
        <v>448</v>
      </c>
      <c r="D171" s="1" t="str">
        <f>"7830"</f>
        <v>7830</v>
      </c>
      <c r="E171" s="1" t="s">
        <v>14</v>
      </c>
      <c r="F171" s="1" t="s">
        <v>15</v>
      </c>
      <c r="G171" s="1" t="s">
        <v>16</v>
      </c>
      <c r="H171" s="1" t="str">
        <f>"1"</f>
        <v>1</v>
      </c>
      <c r="I171" s="2" t="str">
        <f>"3185"</f>
        <v>3185</v>
      </c>
      <c r="J171" s="3">
        <v>46155</v>
      </c>
      <c r="K171" s="1" t="s">
        <v>447</v>
      </c>
    </row>
    <row r="172" spans="1:11" x14ac:dyDescent="0.35">
      <c r="A172" s="1" t="s">
        <v>426</v>
      </c>
      <c r="B172" s="1" t="s">
        <v>427</v>
      </c>
      <c r="C172" s="1" t="s">
        <v>449</v>
      </c>
      <c r="D172" s="1" t="str">
        <f>"7830"</f>
        <v>7830</v>
      </c>
      <c r="E172" s="1" t="s">
        <v>14</v>
      </c>
      <c r="F172" s="1" t="s">
        <v>15</v>
      </c>
      <c r="G172" s="1" t="s">
        <v>16</v>
      </c>
      <c r="H172" s="1" t="str">
        <f>"1"</f>
        <v>1</v>
      </c>
      <c r="I172" s="2" t="str">
        <f>"1695"</f>
        <v>1695</v>
      </c>
      <c r="J172" s="3">
        <v>46155</v>
      </c>
      <c r="K172" s="1" t="s">
        <v>447</v>
      </c>
    </row>
    <row r="173" spans="1:11" x14ac:dyDescent="0.35">
      <c r="A173" s="1" t="s">
        <v>426</v>
      </c>
      <c r="B173" s="1" t="s">
        <v>427</v>
      </c>
      <c r="C173" s="1" t="s">
        <v>450</v>
      </c>
      <c r="D173" s="1" t="str">
        <f>"7830"</f>
        <v>7830</v>
      </c>
      <c r="E173" s="1" t="s">
        <v>441</v>
      </c>
      <c r="F173" s="1" t="s">
        <v>442</v>
      </c>
      <c r="G173" s="1" t="s">
        <v>16</v>
      </c>
      <c r="H173" s="1" t="str">
        <f>"1"</f>
        <v>1</v>
      </c>
      <c r="I173" s="2">
        <v>4889.49</v>
      </c>
      <c r="J173" s="3">
        <v>46155</v>
      </c>
      <c r="K173" s="1" t="s">
        <v>447</v>
      </c>
    </row>
    <row r="174" spans="1:11" x14ac:dyDescent="0.35">
      <c r="A174" s="1" t="s">
        <v>426</v>
      </c>
      <c r="B174" s="1" t="s">
        <v>427</v>
      </c>
      <c r="C174" s="1" t="s">
        <v>451</v>
      </c>
      <c r="D174" s="1" t="str">
        <f>"7830"</f>
        <v>7830</v>
      </c>
      <c r="E174" s="1" t="s">
        <v>14</v>
      </c>
      <c r="F174" s="1" t="s">
        <v>15</v>
      </c>
      <c r="G174" s="1" t="s">
        <v>16</v>
      </c>
      <c r="H174" s="1" t="str">
        <f>"1"</f>
        <v>1</v>
      </c>
      <c r="I174" s="2" t="str">
        <f>"3899"</f>
        <v>3899</v>
      </c>
      <c r="J174" s="3">
        <v>46155</v>
      </c>
      <c r="K174" s="1" t="s">
        <v>447</v>
      </c>
    </row>
    <row r="175" spans="1:11" x14ac:dyDescent="0.35">
      <c r="A175" s="1" t="s">
        <v>426</v>
      </c>
      <c r="B175" s="1" t="s">
        <v>427</v>
      </c>
      <c r="C175" s="1" t="s">
        <v>452</v>
      </c>
      <c r="D175" s="1" t="str">
        <f>"7830"</f>
        <v>7830</v>
      </c>
      <c r="E175" s="1" t="s">
        <v>453</v>
      </c>
      <c r="F175" s="1" t="s">
        <v>454</v>
      </c>
      <c r="G175" s="1" t="s">
        <v>16</v>
      </c>
      <c r="H175" s="1" t="str">
        <f>"1"</f>
        <v>1</v>
      </c>
      <c r="I175" s="2" t="str">
        <f>"9500"</f>
        <v>9500</v>
      </c>
      <c r="J175" s="3">
        <v>46155</v>
      </c>
      <c r="K175" s="1" t="s">
        <v>447</v>
      </c>
    </row>
    <row r="176" spans="1:11" x14ac:dyDescent="0.35">
      <c r="A176" s="1" t="s">
        <v>426</v>
      </c>
      <c r="B176" s="1" t="s">
        <v>427</v>
      </c>
      <c r="C176" s="1" t="s">
        <v>455</v>
      </c>
      <c r="D176" s="1" t="str">
        <f>"7830"</f>
        <v>7830</v>
      </c>
      <c r="E176" s="1" t="s">
        <v>453</v>
      </c>
      <c r="F176" s="1" t="s">
        <v>454</v>
      </c>
      <c r="G176" s="1" t="s">
        <v>16</v>
      </c>
      <c r="H176" s="1" t="str">
        <f>"1"</f>
        <v>1</v>
      </c>
      <c r="I176" s="2" t="str">
        <f>"11995"</f>
        <v>11995</v>
      </c>
      <c r="J176" s="3">
        <v>46155</v>
      </c>
      <c r="K176" s="1" t="s">
        <v>447</v>
      </c>
    </row>
    <row r="177" spans="1:11" x14ac:dyDescent="0.35">
      <c r="A177" s="1" t="s">
        <v>426</v>
      </c>
      <c r="B177" s="1" t="s">
        <v>427</v>
      </c>
      <c r="C177" s="1" t="s">
        <v>433</v>
      </c>
      <c r="D177" s="1" t="str">
        <f>"5180"</f>
        <v>5180</v>
      </c>
      <c r="E177" s="1" t="str">
        <f>"002932875"</f>
        <v>002932875</v>
      </c>
      <c r="F177" s="1" t="s">
        <v>434</v>
      </c>
      <c r="G177" s="1" t="s">
        <v>215</v>
      </c>
      <c r="H177" s="1" t="str">
        <f>"2"</f>
        <v>2</v>
      </c>
      <c r="I177" s="2" t="str">
        <f>"1251"</f>
        <v>1251</v>
      </c>
      <c r="J177" s="3">
        <v>46170</v>
      </c>
      <c r="K177" s="1" t="s">
        <v>435</v>
      </c>
    </row>
    <row r="178" spans="1:11" x14ac:dyDescent="0.35">
      <c r="A178" s="1" t="s">
        <v>426</v>
      </c>
      <c r="B178" s="1" t="s">
        <v>427</v>
      </c>
      <c r="C178" s="1" t="s">
        <v>456</v>
      </c>
      <c r="D178" s="1" t="str">
        <f>"8465"</f>
        <v>8465</v>
      </c>
      <c r="E178" s="1" t="str">
        <f>"015236276"</f>
        <v>015236276</v>
      </c>
      <c r="F178" s="1" t="s">
        <v>457</v>
      </c>
      <c r="G178" s="1" t="s">
        <v>458</v>
      </c>
      <c r="H178" s="1" t="str">
        <f>"15"</f>
        <v>15</v>
      </c>
      <c r="I178" s="2">
        <v>255.8</v>
      </c>
      <c r="J178" s="3">
        <v>46170</v>
      </c>
      <c r="K178" s="1" t="s">
        <v>459</v>
      </c>
    </row>
    <row r="179" spans="1:11" x14ac:dyDescent="0.35">
      <c r="A179" s="1" t="s">
        <v>426</v>
      </c>
      <c r="B179" s="1" t="s">
        <v>468</v>
      </c>
      <c r="C179" s="1" t="s">
        <v>488</v>
      </c>
      <c r="D179" s="1" t="str">
        <f>"8145"</f>
        <v>8145</v>
      </c>
      <c r="E179" s="1" t="s">
        <v>489</v>
      </c>
      <c r="F179" s="1" t="s">
        <v>490</v>
      </c>
      <c r="G179" s="1" t="s">
        <v>16</v>
      </c>
      <c r="H179" s="1" t="str">
        <f>"4"</f>
        <v>4</v>
      </c>
      <c r="I179" s="2" t="str">
        <f>"100"</f>
        <v>100</v>
      </c>
      <c r="J179" s="3">
        <v>46190</v>
      </c>
      <c r="K179" s="1" t="s">
        <v>491</v>
      </c>
    </row>
    <row r="180" spans="1:11" x14ac:dyDescent="0.35">
      <c r="A180" s="1" t="s">
        <v>426</v>
      </c>
      <c r="B180" s="1" t="s">
        <v>499</v>
      </c>
      <c r="C180" s="1" t="s">
        <v>500</v>
      </c>
      <c r="D180" s="1" t="str">
        <f>"2420"</f>
        <v>2420</v>
      </c>
      <c r="E180" s="1" t="s">
        <v>501</v>
      </c>
      <c r="F180" s="1" t="s">
        <v>502</v>
      </c>
      <c r="G180" s="1" t="s">
        <v>16</v>
      </c>
      <c r="H180" s="1" t="str">
        <f>"1"</f>
        <v>1</v>
      </c>
      <c r="I180" s="2" t="str">
        <f>"15000"</f>
        <v>15000</v>
      </c>
      <c r="J180" s="3">
        <v>46199</v>
      </c>
      <c r="K180" s="1" t="s">
        <v>503</v>
      </c>
    </row>
    <row r="181" spans="1:11" x14ac:dyDescent="0.35">
      <c r="A181" s="1" t="s">
        <v>506</v>
      </c>
      <c r="B181" s="1" t="s">
        <v>693</v>
      </c>
      <c r="C181" s="1" t="s">
        <v>854</v>
      </c>
      <c r="D181" s="1" t="str">
        <f>"6920"</f>
        <v>6920</v>
      </c>
      <c r="E181" s="1" t="str">
        <f>"015949967"</f>
        <v>015949967</v>
      </c>
      <c r="F181" s="1" t="s">
        <v>855</v>
      </c>
      <c r="G181" s="1" t="s">
        <v>16</v>
      </c>
      <c r="H181" s="1" t="str">
        <f>"26"</f>
        <v>26</v>
      </c>
      <c r="I181" s="2">
        <v>175.79</v>
      </c>
      <c r="J181" s="3">
        <v>46113</v>
      </c>
      <c r="K181" s="1" t="s">
        <v>856</v>
      </c>
    </row>
    <row r="182" spans="1:11" x14ac:dyDescent="0.35">
      <c r="A182" s="1" t="s">
        <v>506</v>
      </c>
      <c r="B182" s="1" t="s">
        <v>693</v>
      </c>
      <c r="C182" s="1" t="s">
        <v>885</v>
      </c>
      <c r="D182" s="1" t="str">
        <f>"8150"</f>
        <v>8150</v>
      </c>
      <c r="E182" s="1" t="str">
        <f>"014886545"</f>
        <v>014886545</v>
      </c>
      <c r="F182" s="1" t="s">
        <v>117</v>
      </c>
      <c r="G182" s="1" t="s">
        <v>16</v>
      </c>
      <c r="H182" s="1" t="str">
        <f>"1"</f>
        <v>1</v>
      </c>
      <c r="I182" s="2">
        <v>11267.94</v>
      </c>
      <c r="J182" s="3">
        <v>46113</v>
      </c>
      <c r="K182" s="1" t="s">
        <v>886</v>
      </c>
    </row>
    <row r="183" spans="1:11" x14ac:dyDescent="0.35">
      <c r="A183" s="1" t="s">
        <v>506</v>
      </c>
      <c r="B183" s="1" t="s">
        <v>693</v>
      </c>
      <c r="C183" s="1" t="s">
        <v>902</v>
      </c>
      <c r="D183" s="1" t="str">
        <f>"8430"</f>
        <v>8430</v>
      </c>
      <c r="E183" s="1" t="str">
        <f>"015145027"</f>
        <v>015145027</v>
      </c>
      <c r="F183" s="1" t="s">
        <v>898</v>
      </c>
      <c r="G183" s="1" t="s">
        <v>311</v>
      </c>
      <c r="H183" s="1" t="str">
        <f>"2"</f>
        <v>2</v>
      </c>
      <c r="I183" s="2">
        <v>67.489999999999995</v>
      </c>
      <c r="J183" s="3">
        <v>46113</v>
      </c>
      <c r="K183" s="1" t="s">
        <v>903</v>
      </c>
    </row>
    <row r="184" spans="1:11" x14ac:dyDescent="0.35">
      <c r="A184" s="1" t="s">
        <v>506</v>
      </c>
      <c r="B184" s="1" t="s">
        <v>693</v>
      </c>
      <c r="C184" s="1" t="s">
        <v>904</v>
      </c>
      <c r="D184" s="1" t="str">
        <f>"8430"</f>
        <v>8430</v>
      </c>
      <c r="E184" s="1" t="str">
        <f>"015145181"</f>
        <v>015145181</v>
      </c>
      <c r="F184" s="1" t="s">
        <v>898</v>
      </c>
      <c r="G184" s="1" t="s">
        <v>311</v>
      </c>
      <c r="H184" s="1" t="str">
        <f>"5"</f>
        <v>5</v>
      </c>
      <c r="I184" s="2">
        <v>67.489999999999995</v>
      </c>
      <c r="J184" s="3">
        <v>46113</v>
      </c>
      <c r="K184" s="1" t="s">
        <v>905</v>
      </c>
    </row>
    <row r="185" spans="1:11" x14ac:dyDescent="0.35">
      <c r="A185" s="1" t="s">
        <v>506</v>
      </c>
      <c r="B185" s="1" t="s">
        <v>693</v>
      </c>
      <c r="C185" s="1" t="s">
        <v>906</v>
      </c>
      <c r="D185" s="1" t="str">
        <f>"8430"</f>
        <v>8430</v>
      </c>
      <c r="E185" s="1" t="str">
        <f>"015145158"</f>
        <v>015145158</v>
      </c>
      <c r="F185" s="1" t="s">
        <v>898</v>
      </c>
      <c r="G185" s="1" t="s">
        <v>311</v>
      </c>
      <c r="H185" s="1" t="str">
        <f>"5"</f>
        <v>5</v>
      </c>
      <c r="I185" s="2">
        <v>67.489999999999995</v>
      </c>
      <c r="J185" s="3">
        <v>46113</v>
      </c>
      <c r="K185" s="1" t="s">
        <v>907</v>
      </c>
    </row>
    <row r="186" spans="1:11" x14ac:dyDescent="0.35">
      <c r="A186" s="1" t="s">
        <v>506</v>
      </c>
      <c r="B186" s="1" t="s">
        <v>693</v>
      </c>
      <c r="C186" s="1" t="s">
        <v>908</v>
      </c>
      <c r="D186" s="1" t="str">
        <f>"8430"</f>
        <v>8430</v>
      </c>
      <c r="E186" s="1" t="str">
        <f>"015145135"</f>
        <v>015145135</v>
      </c>
      <c r="F186" s="1" t="s">
        <v>898</v>
      </c>
      <c r="G186" s="1" t="s">
        <v>311</v>
      </c>
      <c r="H186" s="1" t="str">
        <f>"5"</f>
        <v>5</v>
      </c>
      <c r="I186" s="2">
        <v>67.489999999999995</v>
      </c>
      <c r="J186" s="3">
        <v>46113</v>
      </c>
      <c r="K186" s="1" t="s">
        <v>909</v>
      </c>
    </row>
    <row r="187" spans="1:11" x14ac:dyDescent="0.35">
      <c r="A187" s="1" t="s">
        <v>506</v>
      </c>
      <c r="B187" s="1" t="s">
        <v>693</v>
      </c>
      <c r="C187" s="1" t="s">
        <v>910</v>
      </c>
      <c r="D187" s="1" t="str">
        <f>"8430"</f>
        <v>8430</v>
      </c>
      <c r="E187" s="1" t="str">
        <f>"015145162"</f>
        <v>015145162</v>
      </c>
      <c r="F187" s="1" t="s">
        <v>898</v>
      </c>
      <c r="G187" s="1" t="s">
        <v>311</v>
      </c>
      <c r="H187" s="1" t="str">
        <f>"5"</f>
        <v>5</v>
      </c>
      <c r="I187" s="2">
        <v>67.489999999999995</v>
      </c>
      <c r="J187" s="3">
        <v>46113</v>
      </c>
      <c r="K187" s="1" t="s">
        <v>911</v>
      </c>
    </row>
    <row r="188" spans="1:11" x14ac:dyDescent="0.35">
      <c r="A188" s="1" t="s">
        <v>506</v>
      </c>
      <c r="B188" s="1" t="s">
        <v>693</v>
      </c>
      <c r="C188" s="1" t="s">
        <v>912</v>
      </c>
      <c r="D188" s="1" t="str">
        <f>"8430"</f>
        <v>8430</v>
      </c>
      <c r="E188" s="1" t="str">
        <f>"015145157"</f>
        <v>015145157</v>
      </c>
      <c r="F188" s="1" t="s">
        <v>898</v>
      </c>
      <c r="G188" s="1" t="s">
        <v>311</v>
      </c>
      <c r="H188" s="1" t="str">
        <f>"5"</f>
        <v>5</v>
      </c>
      <c r="I188" s="2">
        <v>67.489999999999995</v>
      </c>
      <c r="J188" s="3">
        <v>46113</v>
      </c>
      <c r="K188" s="1" t="s">
        <v>913</v>
      </c>
    </row>
    <row r="189" spans="1:11" x14ac:dyDescent="0.35">
      <c r="A189" s="1" t="s">
        <v>506</v>
      </c>
      <c r="B189" s="1" t="s">
        <v>693</v>
      </c>
      <c r="C189" s="1" t="s">
        <v>914</v>
      </c>
      <c r="D189" s="1" t="str">
        <f>"8430"</f>
        <v>8430</v>
      </c>
      <c r="E189" s="1" t="s">
        <v>522</v>
      </c>
      <c r="F189" s="1" t="s">
        <v>523</v>
      </c>
      <c r="G189" s="1" t="s">
        <v>311</v>
      </c>
      <c r="H189" s="1" t="str">
        <f>"5"</f>
        <v>5</v>
      </c>
      <c r="I189" s="2">
        <v>173.8</v>
      </c>
      <c r="J189" s="3">
        <v>46113</v>
      </c>
      <c r="K189" s="1" t="s">
        <v>915</v>
      </c>
    </row>
    <row r="190" spans="1:11" x14ac:dyDescent="0.35">
      <c r="A190" s="1" t="s">
        <v>506</v>
      </c>
      <c r="B190" s="1" t="s">
        <v>693</v>
      </c>
      <c r="C190" s="1" t="s">
        <v>916</v>
      </c>
      <c r="D190" s="1" t="str">
        <f>"8430"</f>
        <v>8430</v>
      </c>
      <c r="E190" s="1" t="s">
        <v>522</v>
      </c>
      <c r="F190" s="1" t="s">
        <v>523</v>
      </c>
      <c r="G190" s="1" t="s">
        <v>311</v>
      </c>
      <c r="H190" s="1" t="str">
        <f>"10"</f>
        <v>10</v>
      </c>
      <c r="I190" s="2">
        <v>173.6</v>
      </c>
      <c r="J190" s="3">
        <v>46113</v>
      </c>
      <c r="K190" s="1" t="s">
        <v>917</v>
      </c>
    </row>
    <row r="191" spans="1:11" x14ac:dyDescent="0.35">
      <c r="A191" s="1" t="s">
        <v>506</v>
      </c>
      <c r="B191" s="1" t="s">
        <v>693</v>
      </c>
      <c r="C191" s="1" t="s">
        <v>918</v>
      </c>
      <c r="D191" s="1" t="str">
        <f>"8430"</f>
        <v>8430</v>
      </c>
      <c r="E191" s="1" t="s">
        <v>919</v>
      </c>
      <c r="F191" s="1" t="s">
        <v>920</v>
      </c>
      <c r="G191" s="1" t="s">
        <v>16</v>
      </c>
      <c r="H191" s="1" t="str">
        <f>"2"</f>
        <v>2</v>
      </c>
      <c r="I191" s="2">
        <v>204.94</v>
      </c>
      <c r="J191" s="3">
        <v>46113</v>
      </c>
      <c r="K191" s="1" t="s">
        <v>921</v>
      </c>
    </row>
    <row r="192" spans="1:11" x14ac:dyDescent="0.35">
      <c r="A192" s="1" t="s">
        <v>506</v>
      </c>
      <c r="B192" s="1" t="s">
        <v>693</v>
      </c>
      <c r="C192" s="1" t="s">
        <v>932</v>
      </c>
      <c r="D192" s="1" t="str">
        <f>"8430"</f>
        <v>8430</v>
      </c>
      <c r="E192" s="1" t="s">
        <v>919</v>
      </c>
      <c r="F192" s="1" t="s">
        <v>920</v>
      </c>
      <c r="G192" s="1" t="s">
        <v>16</v>
      </c>
      <c r="H192" s="1" t="str">
        <f>"5"</f>
        <v>5</v>
      </c>
      <c r="I192" s="2">
        <v>236.61</v>
      </c>
      <c r="J192" s="3">
        <v>46113</v>
      </c>
      <c r="K192" s="1" t="s">
        <v>933</v>
      </c>
    </row>
    <row r="193" spans="1:11" x14ac:dyDescent="0.35">
      <c r="A193" s="1" t="s">
        <v>506</v>
      </c>
      <c r="B193" s="1" t="s">
        <v>507</v>
      </c>
      <c r="C193" s="1" t="s">
        <v>508</v>
      </c>
      <c r="D193" s="1" t="str">
        <f>"2340"</f>
        <v>2340</v>
      </c>
      <c r="E193" s="1" t="str">
        <f>"005857495"</f>
        <v>005857495</v>
      </c>
      <c r="F193" s="1" t="s">
        <v>509</v>
      </c>
      <c r="G193" s="1" t="s">
        <v>16</v>
      </c>
      <c r="H193" s="1" t="str">
        <f>"2"</f>
        <v>2</v>
      </c>
      <c r="I193" s="2">
        <v>12499.99</v>
      </c>
      <c r="J193" s="3">
        <v>46119</v>
      </c>
      <c r="K193" s="1" t="s">
        <v>510</v>
      </c>
    </row>
    <row r="194" spans="1:11" x14ac:dyDescent="0.35">
      <c r="A194" s="1" t="s">
        <v>506</v>
      </c>
      <c r="B194" s="1" t="s">
        <v>507</v>
      </c>
      <c r="C194" s="1" t="s">
        <v>511</v>
      </c>
      <c r="D194" s="1" t="str">
        <f>"2540"</f>
        <v>2540</v>
      </c>
      <c r="E194" s="1" t="str">
        <f>"014371463"</f>
        <v>014371463</v>
      </c>
      <c r="F194" s="1" t="s">
        <v>512</v>
      </c>
      <c r="G194" s="1" t="s">
        <v>215</v>
      </c>
      <c r="H194" s="1" t="str">
        <f>"1"</f>
        <v>1</v>
      </c>
      <c r="I194" s="2">
        <v>3594.75</v>
      </c>
      <c r="J194" s="3">
        <v>46119</v>
      </c>
      <c r="K194" s="1" t="s">
        <v>513</v>
      </c>
    </row>
    <row r="195" spans="1:11" x14ac:dyDescent="0.35">
      <c r="A195" s="1" t="s">
        <v>506</v>
      </c>
      <c r="B195" s="1" t="s">
        <v>518</v>
      </c>
      <c r="C195" s="1" t="s">
        <v>519</v>
      </c>
      <c r="D195" s="1" t="str">
        <f>"8145"</f>
        <v>8145</v>
      </c>
      <c r="E195" s="1" t="str">
        <f>"014653621"</f>
        <v>014653621</v>
      </c>
      <c r="F195" s="1" t="s">
        <v>423</v>
      </c>
      <c r="G195" s="1" t="s">
        <v>16</v>
      </c>
      <c r="H195" s="1" t="str">
        <f>"1"</f>
        <v>1</v>
      </c>
      <c r="I195" s="2">
        <v>17477.91</v>
      </c>
      <c r="J195" s="3">
        <v>46127</v>
      </c>
      <c r="K195" s="1" t="s">
        <v>520</v>
      </c>
    </row>
    <row r="196" spans="1:11" x14ac:dyDescent="0.35">
      <c r="A196" s="1" t="s">
        <v>506</v>
      </c>
      <c r="B196" s="1" t="s">
        <v>693</v>
      </c>
      <c r="C196" s="1" t="s">
        <v>732</v>
      </c>
      <c r="D196" s="1" t="str">
        <f>"5120"</f>
        <v>5120</v>
      </c>
      <c r="E196" s="1" t="str">
        <f>"016168831"</f>
        <v>016168831</v>
      </c>
      <c r="F196" s="1" t="s">
        <v>733</v>
      </c>
      <c r="G196" s="1" t="s">
        <v>458</v>
      </c>
      <c r="H196" s="1" t="str">
        <f>"1"</f>
        <v>1</v>
      </c>
      <c r="I196" s="2">
        <v>67.989999999999995</v>
      </c>
      <c r="J196" s="3">
        <v>46129</v>
      </c>
      <c r="K196" s="1" t="s">
        <v>734</v>
      </c>
    </row>
    <row r="197" spans="1:11" x14ac:dyDescent="0.35">
      <c r="A197" s="1" t="s">
        <v>506</v>
      </c>
      <c r="B197" s="1" t="s">
        <v>693</v>
      </c>
      <c r="C197" s="1" t="s">
        <v>752</v>
      </c>
      <c r="D197" s="1" t="str">
        <f>"5133"</f>
        <v>5133</v>
      </c>
      <c r="E197" s="1" t="s">
        <v>753</v>
      </c>
      <c r="F197" s="1" t="s">
        <v>754</v>
      </c>
      <c r="G197" s="1" t="s">
        <v>16</v>
      </c>
      <c r="H197" s="1" t="str">
        <f>"23"</f>
        <v>23</v>
      </c>
      <c r="I197" s="2" t="str">
        <f>"13"</f>
        <v>13</v>
      </c>
      <c r="J197" s="3">
        <v>46129</v>
      </c>
      <c r="K197" s="1" t="s">
        <v>755</v>
      </c>
    </row>
    <row r="198" spans="1:11" x14ac:dyDescent="0.35">
      <c r="A198" s="1" t="s">
        <v>506</v>
      </c>
      <c r="B198" s="1" t="s">
        <v>693</v>
      </c>
      <c r="C198" s="1" t="s">
        <v>782</v>
      </c>
      <c r="D198" s="1" t="str">
        <f>"5180"</f>
        <v>5180</v>
      </c>
      <c r="E198" s="1" t="s">
        <v>88</v>
      </c>
      <c r="F198" s="1" t="s">
        <v>89</v>
      </c>
      <c r="G198" s="1" t="s">
        <v>16</v>
      </c>
      <c r="H198" s="1" t="str">
        <f>"1"</f>
        <v>1</v>
      </c>
      <c r="I198" s="2" t="str">
        <f>"300"</f>
        <v>300</v>
      </c>
      <c r="J198" s="3">
        <v>46129</v>
      </c>
      <c r="K198" s="1" t="s">
        <v>783</v>
      </c>
    </row>
    <row r="199" spans="1:11" x14ac:dyDescent="0.35">
      <c r="A199" s="1" t="s">
        <v>506</v>
      </c>
      <c r="B199" s="1" t="s">
        <v>693</v>
      </c>
      <c r="C199" s="1" t="s">
        <v>791</v>
      </c>
      <c r="D199" s="1" t="str">
        <f>"5180"</f>
        <v>5180</v>
      </c>
      <c r="E199" s="1" t="str">
        <f>"014830249"</f>
        <v>014830249</v>
      </c>
      <c r="F199" s="1" t="s">
        <v>792</v>
      </c>
      <c r="G199" s="1" t="s">
        <v>458</v>
      </c>
      <c r="H199" s="1" t="str">
        <f>"1"</f>
        <v>1</v>
      </c>
      <c r="I199" s="2" t="str">
        <f>"1780"</f>
        <v>1780</v>
      </c>
      <c r="J199" s="3">
        <v>46129</v>
      </c>
      <c r="K199" s="1" t="s">
        <v>793</v>
      </c>
    </row>
    <row r="200" spans="1:11" x14ac:dyDescent="0.35">
      <c r="A200" s="1" t="s">
        <v>506</v>
      </c>
      <c r="B200" s="1" t="s">
        <v>693</v>
      </c>
      <c r="C200" s="1" t="s">
        <v>801</v>
      </c>
      <c r="D200" s="1" t="str">
        <f>"5342"</f>
        <v>5342</v>
      </c>
      <c r="E200" s="1" t="str">
        <f>"005595141"</f>
        <v>005595141</v>
      </c>
      <c r="F200" s="1" t="s">
        <v>802</v>
      </c>
      <c r="G200" s="1" t="s">
        <v>16</v>
      </c>
      <c r="H200" s="1" t="str">
        <f>"5"</f>
        <v>5</v>
      </c>
      <c r="I200" s="2">
        <v>36.94</v>
      </c>
      <c r="J200" s="3">
        <v>46129</v>
      </c>
      <c r="K200" s="1" t="s">
        <v>803</v>
      </c>
    </row>
    <row r="201" spans="1:11" x14ac:dyDescent="0.35">
      <c r="A201" s="1" t="s">
        <v>506</v>
      </c>
      <c r="B201" s="1" t="s">
        <v>693</v>
      </c>
      <c r="C201" s="1" t="s">
        <v>825</v>
      </c>
      <c r="D201" s="1" t="str">
        <f>"6145"</f>
        <v>6145</v>
      </c>
      <c r="E201" s="1" t="s">
        <v>826</v>
      </c>
      <c r="F201" s="1" t="s">
        <v>827</v>
      </c>
      <c r="G201" s="1" t="s">
        <v>815</v>
      </c>
      <c r="H201" s="1" t="str">
        <f>"66"</f>
        <v>66</v>
      </c>
      <c r="I201" s="2" t="str">
        <f>"50"</f>
        <v>50</v>
      </c>
      <c r="J201" s="3">
        <v>46129</v>
      </c>
      <c r="K201" s="1" t="s">
        <v>828</v>
      </c>
    </row>
    <row r="202" spans="1:11" x14ac:dyDescent="0.35">
      <c r="A202" s="1" t="s">
        <v>506</v>
      </c>
      <c r="B202" s="1" t="s">
        <v>693</v>
      </c>
      <c r="C202" s="1" t="s">
        <v>840</v>
      </c>
      <c r="D202" s="1" t="str">
        <f>"6515"</f>
        <v>6515</v>
      </c>
      <c r="E202" s="1" t="str">
        <f>"014350050"</f>
        <v>014350050</v>
      </c>
      <c r="F202" s="1" t="s">
        <v>841</v>
      </c>
      <c r="G202" s="1" t="s">
        <v>16</v>
      </c>
      <c r="H202" s="1" t="str">
        <f>"15"</f>
        <v>15</v>
      </c>
      <c r="I202" s="2">
        <v>139.26</v>
      </c>
      <c r="J202" s="3">
        <v>46129</v>
      </c>
      <c r="K202" s="1" t="s">
        <v>842</v>
      </c>
    </row>
    <row r="203" spans="1:11" x14ac:dyDescent="0.35">
      <c r="A203" s="1" t="s">
        <v>506</v>
      </c>
      <c r="B203" s="1" t="s">
        <v>693</v>
      </c>
      <c r="C203" s="1" t="s">
        <v>861</v>
      </c>
      <c r="D203" s="1" t="str">
        <f>"7105"</f>
        <v>7105</v>
      </c>
      <c r="E203" s="1" t="s">
        <v>38</v>
      </c>
      <c r="F203" s="1" t="s">
        <v>39</v>
      </c>
      <c r="G203" s="1" t="s">
        <v>16</v>
      </c>
      <c r="H203" s="1" t="str">
        <f>"3"</f>
        <v>3</v>
      </c>
      <c r="I203" s="2" t="str">
        <f>"150"</f>
        <v>150</v>
      </c>
      <c r="J203" s="3">
        <v>46129</v>
      </c>
      <c r="K203" s="1" t="s">
        <v>862</v>
      </c>
    </row>
    <row r="204" spans="1:11" x14ac:dyDescent="0.35">
      <c r="A204" s="1" t="s">
        <v>506</v>
      </c>
      <c r="B204" s="1" t="s">
        <v>693</v>
      </c>
      <c r="C204" s="1" t="s">
        <v>867</v>
      </c>
      <c r="D204" s="1" t="str">
        <f>"7240"</f>
        <v>7240</v>
      </c>
      <c r="E204" s="1" t="str">
        <f>"000893827"</f>
        <v>000893827</v>
      </c>
      <c r="F204" s="1" t="s">
        <v>868</v>
      </c>
      <c r="G204" s="1" t="s">
        <v>16</v>
      </c>
      <c r="H204" s="1" t="str">
        <f>"6"</f>
        <v>6</v>
      </c>
      <c r="I204" s="2">
        <v>44.15</v>
      </c>
      <c r="J204" s="3">
        <v>46129</v>
      </c>
      <c r="K204" s="1" t="s">
        <v>869</v>
      </c>
    </row>
    <row r="205" spans="1:11" x14ac:dyDescent="0.35">
      <c r="A205" s="1" t="s">
        <v>506</v>
      </c>
      <c r="B205" s="1" t="s">
        <v>693</v>
      </c>
      <c r="C205" s="1" t="s">
        <v>887</v>
      </c>
      <c r="D205" s="1" t="str">
        <f>"8340"</f>
        <v>8340</v>
      </c>
      <c r="E205" s="1" t="str">
        <f>"016004809"</f>
        <v>016004809</v>
      </c>
      <c r="F205" s="1" t="s">
        <v>888</v>
      </c>
      <c r="G205" s="1" t="s">
        <v>16</v>
      </c>
      <c r="H205" s="1" t="str">
        <f>"10"</f>
        <v>10</v>
      </c>
      <c r="I205" s="2">
        <v>76.260000000000005</v>
      </c>
      <c r="J205" s="3">
        <v>46129</v>
      </c>
      <c r="K205" s="1" t="s">
        <v>889</v>
      </c>
    </row>
    <row r="206" spans="1:11" x14ac:dyDescent="0.35">
      <c r="A206" s="1" t="s">
        <v>506</v>
      </c>
      <c r="B206" s="1" t="s">
        <v>693</v>
      </c>
      <c r="C206" s="1" t="s">
        <v>890</v>
      </c>
      <c r="D206" s="1" t="str">
        <f>"8415"</f>
        <v>8415</v>
      </c>
      <c r="E206" s="1" t="str">
        <f>"015736428"</f>
        <v>015736428</v>
      </c>
      <c r="F206" s="1" t="s">
        <v>891</v>
      </c>
      <c r="G206" s="1" t="s">
        <v>215</v>
      </c>
      <c r="H206" s="1" t="str">
        <f>"10"</f>
        <v>10</v>
      </c>
      <c r="I206" s="2">
        <v>832.38</v>
      </c>
      <c r="J206" s="3">
        <v>46129</v>
      </c>
      <c r="K206" s="1" t="s">
        <v>892</v>
      </c>
    </row>
    <row r="207" spans="1:11" x14ac:dyDescent="0.35">
      <c r="A207" s="1" t="s">
        <v>506</v>
      </c>
      <c r="B207" s="1" t="s">
        <v>693</v>
      </c>
      <c r="C207" s="1" t="s">
        <v>922</v>
      </c>
      <c r="D207" s="1" t="str">
        <f>"8430"</f>
        <v>8430</v>
      </c>
      <c r="E207" s="1" t="s">
        <v>919</v>
      </c>
      <c r="F207" s="1" t="s">
        <v>920</v>
      </c>
      <c r="G207" s="1" t="s">
        <v>16</v>
      </c>
      <c r="H207" s="1" t="str">
        <f>"5"</f>
        <v>5</v>
      </c>
      <c r="I207" s="2">
        <v>149.52000000000001</v>
      </c>
      <c r="J207" s="3">
        <v>46129</v>
      </c>
      <c r="K207" s="1" t="s">
        <v>923</v>
      </c>
    </row>
    <row r="208" spans="1:11" x14ac:dyDescent="0.35">
      <c r="A208" s="1" t="s">
        <v>506</v>
      </c>
      <c r="B208" s="1" t="s">
        <v>693</v>
      </c>
      <c r="C208" s="1" t="s">
        <v>924</v>
      </c>
      <c r="D208" s="1" t="str">
        <f>"8430"</f>
        <v>8430</v>
      </c>
      <c r="E208" s="1" t="str">
        <f>"015145016"</f>
        <v>015145016</v>
      </c>
      <c r="F208" s="1" t="s">
        <v>898</v>
      </c>
      <c r="G208" s="1" t="s">
        <v>311</v>
      </c>
      <c r="H208" s="1" t="str">
        <f>"2"</f>
        <v>2</v>
      </c>
      <c r="I208" s="2">
        <v>67.489999999999995</v>
      </c>
      <c r="J208" s="3">
        <v>46129</v>
      </c>
      <c r="K208" s="1" t="s">
        <v>925</v>
      </c>
    </row>
    <row r="209" spans="1:11" x14ac:dyDescent="0.35">
      <c r="A209" s="1" t="s">
        <v>506</v>
      </c>
      <c r="B209" s="1" t="s">
        <v>693</v>
      </c>
      <c r="C209" s="1" t="s">
        <v>926</v>
      </c>
      <c r="D209" s="1" t="str">
        <f>"8430"</f>
        <v>8430</v>
      </c>
      <c r="E209" s="1" t="s">
        <v>522</v>
      </c>
      <c r="F209" s="1" t="s">
        <v>523</v>
      </c>
      <c r="G209" s="1" t="s">
        <v>311</v>
      </c>
      <c r="H209" s="1" t="str">
        <f>"5"</f>
        <v>5</v>
      </c>
      <c r="I209" s="2">
        <v>107.73</v>
      </c>
      <c r="J209" s="3">
        <v>46129</v>
      </c>
      <c r="K209" s="1" t="s">
        <v>927</v>
      </c>
    </row>
    <row r="210" spans="1:11" x14ac:dyDescent="0.35">
      <c r="A210" s="1" t="s">
        <v>506</v>
      </c>
      <c r="B210" s="1" t="s">
        <v>693</v>
      </c>
      <c r="C210" s="1" t="s">
        <v>928</v>
      </c>
      <c r="D210" s="1" t="str">
        <f>"8430"</f>
        <v>8430</v>
      </c>
      <c r="E210" s="1" t="s">
        <v>522</v>
      </c>
      <c r="F210" s="1" t="s">
        <v>523</v>
      </c>
      <c r="G210" s="1" t="s">
        <v>311</v>
      </c>
      <c r="H210" s="1" t="str">
        <f>"5"</f>
        <v>5</v>
      </c>
      <c r="I210" s="2">
        <v>173.6</v>
      </c>
      <c r="J210" s="3">
        <v>46129</v>
      </c>
      <c r="K210" s="1" t="s">
        <v>929</v>
      </c>
    </row>
    <row r="211" spans="1:11" x14ac:dyDescent="0.35">
      <c r="A211" s="1" t="s">
        <v>506</v>
      </c>
      <c r="B211" s="1" t="s">
        <v>693</v>
      </c>
      <c r="C211" s="1" t="s">
        <v>930</v>
      </c>
      <c r="D211" s="1" t="str">
        <f>"8430"</f>
        <v>8430</v>
      </c>
      <c r="E211" s="1" t="s">
        <v>919</v>
      </c>
      <c r="F211" s="1" t="s">
        <v>920</v>
      </c>
      <c r="G211" s="1" t="s">
        <v>16</v>
      </c>
      <c r="H211" s="1" t="str">
        <f>"10"</f>
        <v>10</v>
      </c>
      <c r="I211" s="2">
        <v>236.51</v>
      </c>
      <c r="J211" s="3">
        <v>46129</v>
      </c>
      <c r="K211" s="1" t="s">
        <v>931</v>
      </c>
    </row>
    <row r="212" spans="1:11" x14ac:dyDescent="0.35">
      <c r="A212" s="1" t="s">
        <v>506</v>
      </c>
      <c r="B212" s="1" t="s">
        <v>693</v>
      </c>
      <c r="C212" s="1" t="s">
        <v>944</v>
      </c>
      <c r="D212" s="1" t="str">
        <f>"8465"</f>
        <v>8465</v>
      </c>
      <c r="E212" s="1" t="str">
        <f>"016046235"</f>
        <v>016046235</v>
      </c>
      <c r="F212" s="1" t="s">
        <v>945</v>
      </c>
      <c r="G212" s="1" t="s">
        <v>215</v>
      </c>
      <c r="H212" s="1" t="str">
        <f>"1"</f>
        <v>1</v>
      </c>
      <c r="I212" s="2">
        <v>4832.6400000000003</v>
      </c>
      <c r="J212" s="3">
        <v>46129</v>
      </c>
      <c r="K212" s="1" t="s">
        <v>946</v>
      </c>
    </row>
    <row r="213" spans="1:11" x14ac:dyDescent="0.35">
      <c r="A213" s="1" t="s">
        <v>506</v>
      </c>
      <c r="B213" s="1" t="s">
        <v>693</v>
      </c>
      <c r="C213" s="1" t="s">
        <v>947</v>
      </c>
      <c r="D213" s="1" t="str">
        <f>"8465"</f>
        <v>8465</v>
      </c>
      <c r="E213" s="1" t="str">
        <f>"015192304"</f>
        <v>015192304</v>
      </c>
      <c r="F213" s="1" t="s">
        <v>948</v>
      </c>
      <c r="G213" s="1" t="s">
        <v>16</v>
      </c>
      <c r="H213" s="1" t="str">
        <f>"44"</f>
        <v>44</v>
      </c>
      <c r="I213" s="2">
        <v>19.54</v>
      </c>
      <c r="J213" s="3">
        <v>46129</v>
      </c>
      <c r="K213" s="1" t="s">
        <v>949</v>
      </c>
    </row>
    <row r="214" spans="1:11" x14ac:dyDescent="0.35">
      <c r="A214" s="1" t="s">
        <v>506</v>
      </c>
      <c r="B214" s="1" t="s">
        <v>693</v>
      </c>
      <c r="C214" s="1" t="s">
        <v>956</v>
      </c>
      <c r="D214" s="1" t="str">
        <f>"9320"</f>
        <v>9320</v>
      </c>
      <c r="E214" s="1" t="str">
        <f>"002322477"</f>
        <v>002322477</v>
      </c>
      <c r="F214" s="1" t="s">
        <v>957</v>
      </c>
      <c r="G214" s="1" t="s">
        <v>345</v>
      </c>
      <c r="H214" s="1" t="str">
        <f>"53"</f>
        <v>53</v>
      </c>
      <c r="I214" s="2">
        <v>120.42</v>
      </c>
      <c r="J214" s="3">
        <v>46129</v>
      </c>
      <c r="K214" s="1" t="s">
        <v>958</v>
      </c>
    </row>
    <row r="215" spans="1:11" x14ac:dyDescent="0.35">
      <c r="A215" s="1" t="s">
        <v>506</v>
      </c>
      <c r="B215" s="1" t="s">
        <v>538</v>
      </c>
      <c r="C215" s="1" t="s">
        <v>545</v>
      </c>
      <c r="D215" s="1" t="str">
        <f>"3439"</f>
        <v>3439</v>
      </c>
      <c r="E215" s="1" t="s">
        <v>546</v>
      </c>
      <c r="F215" s="1" t="s">
        <v>547</v>
      </c>
      <c r="G215" s="1" t="s">
        <v>16</v>
      </c>
      <c r="H215" s="1" t="str">
        <f>"53"</f>
        <v>53</v>
      </c>
      <c r="I215" s="2">
        <v>5.13</v>
      </c>
      <c r="J215" s="3">
        <v>46133</v>
      </c>
      <c r="K215" s="1" t="s">
        <v>548</v>
      </c>
    </row>
    <row r="216" spans="1:11" x14ac:dyDescent="0.35">
      <c r="A216" s="1" t="s">
        <v>506</v>
      </c>
      <c r="B216" s="1" t="s">
        <v>538</v>
      </c>
      <c r="C216" s="1" t="s">
        <v>563</v>
      </c>
      <c r="D216" s="1" t="str">
        <f>"5110"</f>
        <v>5110</v>
      </c>
      <c r="E216" s="1" t="s">
        <v>564</v>
      </c>
      <c r="F216" s="1" t="s">
        <v>565</v>
      </c>
      <c r="G216" s="1" t="s">
        <v>16</v>
      </c>
      <c r="H216" s="1" t="str">
        <f>"27"</f>
        <v>27</v>
      </c>
      <c r="I216" s="2">
        <v>24.3</v>
      </c>
      <c r="J216" s="3">
        <v>46133</v>
      </c>
      <c r="K216" s="1" t="s">
        <v>548</v>
      </c>
    </row>
    <row r="217" spans="1:11" x14ac:dyDescent="0.35">
      <c r="A217" s="1" t="s">
        <v>506</v>
      </c>
      <c r="B217" s="1" t="s">
        <v>538</v>
      </c>
      <c r="C217" s="1" t="s">
        <v>566</v>
      </c>
      <c r="D217" s="1" t="str">
        <f>"5110"</f>
        <v>5110</v>
      </c>
      <c r="E217" s="1" t="str">
        <f>"014739291"</f>
        <v>014739291</v>
      </c>
      <c r="F217" s="1" t="s">
        <v>567</v>
      </c>
      <c r="G217" s="1" t="s">
        <v>16</v>
      </c>
      <c r="H217" s="1" t="str">
        <f>"2"</f>
        <v>2</v>
      </c>
      <c r="I217" s="2">
        <v>64.819999999999993</v>
      </c>
      <c r="J217" s="3">
        <v>46133</v>
      </c>
      <c r="K217" s="1" t="s">
        <v>548</v>
      </c>
    </row>
    <row r="218" spans="1:11" x14ac:dyDescent="0.35">
      <c r="A218" s="1" t="s">
        <v>506</v>
      </c>
      <c r="B218" s="1" t="s">
        <v>538</v>
      </c>
      <c r="C218" s="1" t="s">
        <v>568</v>
      </c>
      <c r="D218" s="1" t="str">
        <f>"5110"</f>
        <v>5110</v>
      </c>
      <c r="E218" s="1" t="s">
        <v>564</v>
      </c>
      <c r="F218" s="1" t="s">
        <v>565</v>
      </c>
      <c r="G218" s="1" t="s">
        <v>16</v>
      </c>
      <c r="H218" s="1" t="str">
        <f>"31"</f>
        <v>31</v>
      </c>
      <c r="I218" s="2">
        <v>18.57</v>
      </c>
      <c r="J218" s="3">
        <v>46133</v>
      </c>
      <c r="K218" s="1" t="s">
        <v>548</v>
      </c>
    </row>
    <row r="219" spans="1:11" x14ac:dyDescent="0.35">
      <c r="A219" s="1" t="s">
        <v>506</v>
      </c>
      <c r="B219" s="1" t="s">
        <v>538</v>
      </c>
      <c r="C219" s="1" t="s">
        <v>569</v>
      </c>
      <c r="D219" s="1" t="str">
        <f>"5120"</f>
        <v>5120</v>
      </c>
      <c r="E219" s="1" t="s">
        <v>570</v>
      </c>
      <c r="F219" s="1" t="s">
        <v>571</v>
      </c>
      <c r="G219" s="1" t="s">
        <v>16</v>
      </c>
      <c r="H219" s="1" t="str">
        <f>"2"</f>
        <v>2</v>
      </c>
      <c r="I219" s="2">
        <v>136.62</v>
      </c>
      <c r="J219" s="3">
        <v>46133</v>
      </c>
      <c r="K219" s="1" t="s">
        <v>548</v>
      </c>
    </row>
    <row r="220" spans="1:11" x14ac:dyDescent="0.35">
      <c r="A220" s="1" t="s">
        <v>506</v>
      </c>
      <c r="B220" s="1" t="s">
        <v>538</v>
      </c>
      <c r="C220" s="1" t="s">
        <v>572</v>
      </c>
      <c r="D220" s="1" t="str">
        <f>"5120"</f>
        <v>5120</v>
      </c>
      <c r="E220" s="1" t="s">
        <v>573</v>
      </c>
      <c r="F220" s="1" t="s">
        <v>574</v>
      </c>
      <c r="G220" s="1" t="s">
        <v>16</v>
      </c>
      <c r="H220" s="1" t="str">
        <f>"490"</f>
        <v>490</v>
      </c>
      <c r="I220" s="2">
        <v>20.82</v>
      </c>
      <c r="J220" s="3">
        <v>46133</v>
      </c>
      <c r="K220" s="1" t="s">
        <v>548</v>
      </c>
    </row>
    <row r="221" spans="1:11" x14ac:dyDescent="0.35">
      <c r="A221" s="1" t="s">
        <v>506</v>
      </c>
      <c r="B221" s="1" t="s">
        <v>538</v>
      </c>
      <c r="C221" s="1" t="s">
        <v>575</v>
      </c>
      <c r="D221" s="1" t="str">
        <f>"5120"</f>
        <v>5120</v>
      </c>
      <c r="E221" s="1" t="s">
        <v>576</v>
      </c>
      <c r="F221" s="1" t="s">
        <v>577</v>
      </c>
      <c r="G221" s="1" t="s">
        <v>16</v>
      </c>
      <c r="H221" s="1" t="str">
        <f>"2"</f>
        <v>2</v>
      </c>
      <c r="I221" s="2">
        <v>102.77</v>
      </c>
      <c r="J221" s="3">
        <v>46133</v>
      </c>
      <c r="K221" s="1" t="s">
        <v>548</v>
      </c>
    </row>
    <row r="222" spans="1:11" x14ac:dyDescent="0.35">
      <c r="A222" s="1" t="s">
        <v>506</v>
      </c>
      <c r="B222" s="1" t="s">
        <v>538</v>
      </c>
      <c r="C222" s="1" t="s">
        <v>578</v>
      </c>
      <c r="D222" s="1" t="str">
        <f>"5120"</f>
        <v>5120</v>
      </c>
      <c r="E222" s="1" t="s">
        <v>576</v>
      </c>
      <c r="F222" s="1" t="s">
        <v>577</v>
      </c>
      <c r="G222" s="1" t="s">
        <v>16</v>
      </c>
      <c r="H222" s="1" t="str">
        <f>"19"</f>
        <v>19</v>
      </c>
      <c r="I222" s="2">
        <v>16.22</v>
      </c>
      <c r="J222" s="3">
        <v>46133</v>
      </c>
      <c r="K222" s="1" t="s">
        <v>548</v>
      </c>
    </row>
    <row r="223" spans="1:11" x14ac:dyDescent="0.35">
      <c r="A223" s="1" t="s">
        <v>506</v>
      </c>
      <c r="B223" s="1" t="s">
        <v>538</v>
      </c>
      <c r="C223" s="1" t="s">
        <v>579</v>
      </c>
      <c r="D223" s="1" t="str">
        <f>"5120"</f>
        <v>5120</v>
      </c>
      <c r="E223" s="1" t="s">
        <v>580</v>
      </c>
      <c r="F223" s="1" t="s">
        <v>581</v>
      </c>
      <c r="G223" s="1" t="s">
        <v>16</v>
      </c>
      <c r="H223" s="1" t="str">
        <f>"6"</f>
        <v>6</v>
      </c>
      <c r="I223" s="2">
        <v>47.74</v>
      </c>
      <c r="J223" s="3">
        <v>46133</v>
      </c>
      <c r="K223" s="1" t="s">
        <v>548</v>
      </c>
    </row>
    <row r="224" spans="1:11" x14ac:dyDescent="0.35">
      <c r="A224" s="1" t="s">
        <v>506</v>
      </c>
      <c r="B224" s="1" t="s">
        <v>538</v>
      </c>
      <c r="C224" s="1" t="s">
        <v>582</v>
      </c>
      <c r="D224" s="1" t="str">
        <f>"5120"</f>
        <v>5120</v>
      </c>
      <c r="E224" s="1" t="s">
        <v>576</v>
      </c>
      <c r="F224" s="1" t="s">
        <v>577</v>
      </c>
      <c r="G224" s="1" t="s">
        <v>16</v>
      </c>
      <c r="H224" s="1" t="str">
        <f>"3"</f>
        <v>3</v>
      </c>
      <c r="I224" s="2">
        <v>38.090000000000003</v>
      </c>
      <c r="J224" s="3">
        <v>46133</v>
      </c>
      <c r="K224" s="1" t="s">
        <v>548</v>
      </c>
    </row>
    <row r="225" spans="1:11" x14ac:dyDescent="0.35">
      <c r="A225" s="1" t="s">
        <v>506</v>
      </c>
      <c r="B225" s="1" t="s">
        <v>538</v>
      </c>
      <c r="C225" s="1" t="s">
        <v>583</v>
      </c>
      <c r="D225" s="1" t="str">
        <f>"5120"</f>
        <v>5120</v>
      </c>
      <c r="E225" s="1" t="s">
        <v>576</v>
      </c>
      <c r="F225" s="1" t="s">
        <v>577</v>
      </c>
      <c r="G225" s="1" t="s">
        <v>16</v>
      </c>
      <c r="H225" s="1" t="str">
        <f>"31"</f>
        <v>31</v>
      </c>
      <c r="I225" s="2">
        <v>47.06</v>
      </c>
      <c r="J225" s="3">
        <v>46133</v>
      </c>
      <c r="K225" s="1" t="s">
        <v>548</v>
      </c>
    </row>
    <row r="226" spans="1:11" x14ac:dyDescent="0.35">
      <c r="A226" s="1" t="s">
        <v>506</v>
      </c>
      <c r="B226" s="1" t="s">
        <v>538</v>
      </c>
      <c r="C226" s="1" t="s">
        <v>584</v>
      </c>
      <c r="D226" s="1" t="str">
        <f>"5120"</f>
        <v>5120</v>
      </c>
      <c r="E226" s="1" t="s">
        <v>576</v>
      </c>
      <c r="F226" s="1" t="s">
        <v>577</v>
      </c>
      <c r="G226" s="1" t="s">
        <v>16</v>
      </c>
      <c r="H226" s="1" t="str">
        <f>"10"</f>
        <v>10</v>
      </c>
      <c r="I226" s="2">
        <v>14.66</v>
      </c>
      <c r="J226" s="3">
        <v>46133</v>
      </c>
      <c r="K226" s="1" t="s">
        <v>548</v>
      </c>
    </row>
    <row r="227" spans="1:11" x14ac:dyDescent="0.35">
      <c r="A227" s="1" t="s">
        <v>506</v>
      </c>
      <c r="B227" s="1" t="s">
        <v>538</v>
      </c>
      <c r="C227" s="1" t="s">
        <v>594</v>
      </c>
      <c r="D227" s="1" t="str">
        <f>"5180"</f>
        <v>5180</v>
      </c>
      <c r="E227" s="1" t="s">
        <v>88</v>
      </c>
      <c r="F227" s="1" t="s">
        <v>89</v>
      </c>
      <c r="G227" s="1" t="s">
        <v>16</v>
      </c>
      <c r="H227" s="1" t="str">
        <f>"9"</f>
        <v>9</v>
      </c>
      <c r="I227" s="2">
        <v>196.58</v>
      </c>
      <c r="J227" s="3">
        <v>46133</v>
      </c>
      <c r="K227" s="1" t="s">
        <v>548</v>
      </c>
    </row>
    <row r="228" spans="1:11" x14ac:dyDescent="0.35">
      <c r="A228" s="1" t="s">
        <v>506</v>
      </c>
      <c r="B228" s="1" t="s">
        <v>538</v>
      </c>
      <c r="C228" s="1" t="s">
        <v>595</v>
      </c>
      <c r="D228" s="1" t="str">
        <f>"5210"</f>
        <v>5210</v>
      </c>
      <c r="E228" s="1" t="s">
        <v>596</v>
      </c>
      <c r="F228" s="1" t="s">
        <v>597</v>
      </c>
      <c r="G228" s="1" t="s">
        <v>16</v>
      </c>
      <c r="H228" s="1" t="str">
        <f>"15"</f>
        <v>15</v>
      </c>
      <c r="I228" s="2">
        <v>126.22</v>
      </c>
      <c r="J228" s="3">
        <v>46133</v>
      </c>
      <c r="K228" s="1" t="s">
        <v>548</v>
      </c>
    </row>
    <row r="229" spans="1:11" x14ac:dyDescent="0.35">
      <c r="A229" s="1" t="s">
        <v>506</v>
      </c>
      <c r="B229" s="1" t="s">
        <v>538</v>
      </c>
      <c r="C229" s="1" t="s">
        <v>602</v>
      </c>
      <c r="D229" s="1" t="str">
        <f>"6625"</f>
        <v>6625</v>
      </c>
      <c r="E229" s="1" t="s">
        <v>603</v>
      </c>
      <c r="F229" s="1" t="s">
        <v>604</v>
      </c>
      <c r="G229" s="1" t="s">
        <v>16</v>
      </c>
      <c r="H229" s="1" t="str">
        <f>"11"</f>
        <v>11</v>
      </c>
      <c r="I229" s="2">
        <v>335.57</v>
      </c>
      <c r="J229" s="3">
        <v>46133</v>
      </c>
      <c r="K229" s="1" t="s">
        <v>548</v>
      </c>
    </row>
    <row r="230" spans="1:11" x14ac:dyDescent="0.35">
      <c r="A230" s="1" t="s">
        <v>506</v>
      </c>
      <c r="B230" s="1" t="s">
        <v>538</v>
      </c>
      <c r="C230" s="1" t="s">
        <v>605</v>
      </c>
      <c r="D230" s="1" t="str">
        <f>"6625"</f>
        <v>6625</v>
      </c>
      <c r="E230" s="1" t="s">
        <v>606</v>
      </c>
      <c r="F230" s="1" t="s">
        <v>607</v>
      </c>
      <c r="G230" s="1" t="s">
        <v>16</v>
      </c>
      <c r="H230" s="1" t="str">
        <f>"12"</f>
        <v>12</v>
      </c>
      <c r="I230" s="2">
        <v>279.89999999999998</v>
      </c>
      <c r="J230" s="3">
        <v>46133</v>
      </c>
      <c r="K230" s="1" t="s">
        <v>548</v>
      </c>
    </row>
    <row r="231" spans="1:11" x14ac:dyDescent="0.35">
      <c r="A231" s="1" t="s">
        <v>506</v>
      </c>
      <c r="B231" s="1" t="s">
        <v>507</v>
      </c>
      <c r="C231" s="1" t="s">
        <v>516</v>
      </c>
      <c r="D231" s="1" t="str">
        <f>"6130"</f>
        <v>6130</v>
      </c>
      <c r="E231" s="1" t="str">
        <f>"014279604"</f>
        <v>014279604</v>
      </c>
      <c r="F231" s="1" t="s">
        <v>227</v>
      </c>
      <c r="G231" s="1" t="s">
        <v>16</v>
      </c>
      <c r="H231" s="1" t="str">
        <f>"1"</f>
        <v>1</v>
      </c>
      <c r="I231" s="2" t="str">
        <f>"4393"</f>
        <v>4393</v>
      </c>
      <c r="J231" s="3">
        <v>46134</v>
      </c>
      <c r="K231" s="1" t="s">
        <v>517</v>
      </c>
    </row>
    <row r="232" spans="1:11" x14ac:dyDescent="0.35">
      <c r="A232" s="1" t="s">
        <v>506</v>
      </c>
      <c r="B232" s="1" t="s">
        <v>538</v>
      </c>
      <c r="C232" s="1" t="s">
        <v>598</v>
      </c>
      <c r="D232" s="1" t="str">
        <f>"5965"</f>
        <v>5965</v>
      </c>
      <c r="E232" s="1" t="s">
        <v>599</v>
      </c>
      <c r="F232" s="1" t="s">
        <v>600</v>
      </c>
      <c r="G232" s="1" t="s">
        <v>16</v>
      </c>
      <c r="H232" s="1" t="str">
        <f>"288"</f>
        <v>288</v>
      </c>
      <c r="I232" s="2">
        <v>29.99</v>
      </c>
      <c r="J232" s="3">
        <v>46134</v>
      </c>
      <c r="K232" s="1" t="s">
        <v>601</v>
      </c>
    </row>
    <row r="233" spans="1:11" x14ac:dyDescent="0.35">
      <c r="A233" s="1" t="s">
        <v>506</v>
      </c>
      <c r="B233" s="1" t="s">
        <v>538</v>
      </c>
      <c r="C233" s="1" t="s">
        <v>608</v>
      </c>
      <c r="D233" s="1" t="str">
        <f>"8140"</f>
        <v>8140</v>
      </c>
      <c r="E233" s="1" t="s">
        <v>609</v>
      </c>
      <c r="F233" s="1" t="s">
        <v>610</v>
      </c>
      <c r="G233" s="1" t="s">
        <v>16</v>
      </c>
      <c r="H233" s="1" t="str">
        <f>"240"</f>
        <v>240</v>
      </c>
      <c r="I233" s="2">
        <v>6.49</v>
      </c>
      <c r="J233" s="3">
        <v>46134</v>
      </c>
      <c r="K233" s="1" t="s">
        <v>611</v>
      </c>
    </row>
    <row r="234" spans="1:11" x14ac:dyDescent="0.35">
      <c r="A234" s="1" t="s">
        <v>506</v>
      </c>
      <c r="B234" s="1" t="s">
        <v>538</v>
      </c>
      <c r="C234" s="1" t="s">
        <v>614</v>
      </c>
      <c r="D234" s="1" t="str">
        <f>"8405"</f>
        <v>8405</v>
      </c>
      <c r="E234" s="1" t="str">
        <f>"011000976"</f>
        <v>011000976</v>
      </c>
      <c r="F234" s="1" t="s">
        <v>615</v>
      </c>
      <c r="G234" s="1" t="s">
        <v>16</v>
      </c>
      <c r="H234" s="1" t="str">
        <f>"79"</f>
        <v>79</v>
      </c>
      <c r="I234" s="2">
        <v>48.9</v>
      </c>
      <c r="J234" s="3">
        <v>46134</v>
      </c>
      <c r="K234" s="1" t="s">
        <v>616</v>
      </c>
    </row>
    <row r="235" spans="1:11" x14ac:dyDescent="0.35">
      <c r="A235" s="1" t="s">
        <v>506</v>
      </c>
      <c r="B235" s="1" t="s">
        <v>538</v>
      </c>
      <c r="C235" s="1" t="s">
        <v>652</v>
      </c>
      <c r="D235" s="1" t="str">
        <f>"8465"</f>
        <v>8465</v>
      </c>
      <c r="E235" s="1" t="str">
        <f>"015987693"</f>
        <v>015987693</v>
      </c>
      <c r="F235" s="1" t="s">
        <v>653</v>
      </c>
      <c r="G235" s="1" t="s">
        <v>16</v>
      </c>
      <c r="H235" s="1" t="str">
        <f>"20"</f>
        <v>20</v>
      </c>
      <c r="I235" s="2">
        <v>638.64</v>
      </c>
      <c r="J235" s="3">
        <v>46134</v>
      </c>
      <c r="K235" s="1" t="s">
        <v>654</v>
      </c>
    </row>
    <row r="236" spans="1:11" x14ac:dyDescent="0.35">
      <c r="A236" s="1" t="s">
        <v>506</v>
      </c>
      <c r="B236" s="1" t="s">
        <v>538</v>
      </c>
      <c r="C236" s="1" t="s">
        <v>662</v>
      </c>
      <c r="D236" s="1" t="str">
        <f>"8465"</f>
        <v>8465</v>
      </c>
      <c r="E236" s="1" t="str">
        <f>"015987693"</f>
        <v>015987693</v>
      </c>
      <c r="F236" s="1" t="s">
        <v>653</v>
      </c>
      <c r="G236" s="1" t="s">
        <v>16</v>
      </c>
      <c r="H236" s="1" t="str">
        <f>"20"</f>
        <v>20</v>
      </c>
      <c r="I236" s="2">
        <v>638.64</v>
      </c>
      <c r="J236" s="3">
        <v>46134</v>
      </c>
      <c r="K236" s="1" t="s">
        <v>654</v>
      </c>
    </row>
    <row r="237" spans="1:11" x14ac:dyDescent="0.35">
      <c r="A237" s="1" t="s">
        <v>506</v>
      </c>
      <c r="B237" s="1" t="s">
        <v>538</v>
      </c>
      <c r="C237" s="1" t="s">
        <v>663</v>
      </c>
      <c r="D237" s="1" t="str">
        <f>"8465"</f>
        <v>8465</v>
      </c>
      <c r="E237" s="1" t="str">
        <f>"015987693"</f>
        <v>015987693</v>
      </c>
      <c r="F237" s="1" t="s">
        <v>653</v>
      </c>
      <c r="G237" s="1" t="s">
        <v>16</v>
      </c>
      <c r="H237" s="1" t="str">
        <f>"20"</f>
        <v>20</v>
      </c>
      <c r="I237" s="2">
        <v>638.64</v>
      </c>
      <c r="J237" s="3">
        <v>46134</v>
      </c>
      <c r="K237" s="1" t="s">
        <v>654</v>
      </c>
    </row>
    <row r="238" spans="1:11" x14ac:dyDescent="0.35">
      <c r="A238" s="1" t="s">
        <v>506</v>
      </c>
      <c r="B238" s="1" t="s">
        <v>531</v>
      </c>
      <c r="C238" s="1" t="s">
        <v>534</v>
      </c>
      <c r="D238" s="1" t="str">
        <f>"2340"</f>
        <v>2340</v>
      </c>
      <c r="E238" s="1" t="s">
        <v>535</v>
      </c>
      <c r="F238" s="1" t="s">
        <v>536</v>
      </c>
      <c r="G238" s="1" t="s">
        <v>16</v>
      </c>
      <c r="H238" s="1" t="str">
        <f>"1"</f>
        <v>1</v>
      </c>
      <c r="I238" s="2" t="str">
        <f>"6000"</f>
        <v>6000</v>
      </c>
      <c r="J238" s="3">
        <v>46135</v>
      </c>
      <c r="K238" s="1" t="s">
        <v>537</v>
      </c>
    </row>
    <row r="239" spans="1:11" x14ac:dyDescent="0.35">
      <c r="A239" s="1" t="s">
        <v>506</v>
      </c>
      <c r="B239" s="1" t="s">
        <v>693</v>
      </c>
      <c r="C239" s="1" t="s">
        <v>870</v>
      </c>
      <c r="D239" s="1" t="str">
        <f>"7830"</f>
        <v>7830</v>
      </c>
      <c r="E239" s="1" t="str">
        <f>"011274181"</f>
        <v>011274181</v>
      </c>
      <c r="F239" s="1" t="s">
        <v>871</v>
      </c>
      <c r="G239" s="1" t="s">
        <v>16</v>
      </c>
      <c r="H239" s="1" t="str">
        <f>"2"</f>
        <v>2</v>
      </c>
      <c r="I239" s="2">
        <v>13577.38</v>
      </c>
      <c r="J239" s="3">
        <v>46135</v>
      </c>
      <c r="K239" s="1" t="s">
        <v>872</v>
      </c>
    </row>
    <row r="240" spans="1:11" x14ac:dyDescent="0.35">
      <c r="A240" s="1" t="s">
        <v>506</v>
      </c>
      <c r="B240" s="1" t="s">
        <v>693</v>
      </c>
      <c r="C240" s="1" t="s">
        <v>873</v>
      </c>
      <c r="D240" s="1" t="str">
        <f>"7830"</f>
        <v>7830</v>
      </c>
      <c r="E240" s="1" t="str">
        <f>"011274181"</f>
        <v>011274181</v>
      </c>
      <c r="F240" s="1" t="s">
        <v>871</v>
      </c>
      <c r="G240" s="1" t="s">
        <v>16</v>
      </c>
      <c r="H240" s="1" t="str">
        <f>"1"</f>
        <v>1</v>
      </c>
      <c r="I240" s="2">
        <v>13577.38</v>
      </c>
      <c r="J240" s="3">
        <v>46135</v>
      </c>
      <c r="K240" s="1" t="s">
        <v>872</v>
      </c>
    </row>
    <row r="241" spans="1:11" x14ac:dyDescent="0.35">
      <c r="A241" s="1" t="s">
        <v>506</v>
      </c>
      <c r="B241" s="1" t="s">
        <v>538</v>
      </c>
      <c r="C241" s="1" t="s">
        <v>549</v>
      </c>
      <c r="D241" s="1" t="str">
        <f>"3810"</f>
        <v>3810</v>
      </c>
      <c r="E241" s="1" t="str">
        <f>"015981850"</f>
        <v>015981850</v>
      </c>
      <c r="F241" s="1" t="s">
        <v>550</v>
      </c>
      <c r="G241" s="1" t="s">
        <v>16</v>
      </c>
      <c r="H241" s="1" t="str">
        <f>"1"</f>
        <v>1</v>
      </c>
      <c r="I241" s="2">
        <v>99502.8</v>
      </c>
      <c r="J241" s="3">
        <v>46141</v>
      </c>
      <c r="K241" s="1" t="s">
        <v>551</v>
      </c>
    </row>
    <row r="242" spans="1:11" x14ac:dyDescent="0.35">
      <c r="A242" s="1" t="s">
        <v>506</v>
      </c>
      <c r="B242" s="1" t="s">
        <v>693</v>
      </c>
      <c r="C242" s="1" t="s">
        <v>697</v>
      </c>
      <c r="D242" s="1" t="str">
        <f>"2610"</f>
        <v>2610</v>
      </c>
      <c r="E242" s="1" t="str">
        <f>"000519602"</f>
        <v>000519602</v>
      </c>
      <c r="F242" s="1" t="s">
        <v>698</v>
      </c>
      <c r="G242" s="1" t="s">
        <v>16</v>
      </c>
      <c r="H242" s="1" t="str">
        <f>"26"</f>
        <v>26</v>
      </c>
      <c r="I242" s="2">
        <v>51.94</v>
      </c>
      <c r="J242" s="3">
        <v>46142</v>
      </c>
      <c r="K242" s="1" t="s">
        <v>699</v>
      </c>
    </row>
    <row r="243" spans="1:11" x14ac:dyDescent="0.35">
      <c r="A243" s="1" t="s">
        <v>506</v>
      </c>
      <c r="B243" s="1" t="s">
        <v>693</v>
      </c>
      <c r="C243" s="1" t="s">
        <v>804</v>
      </c>
      <c r="D243" s="1" t="str">
        <f>"5440"</f>
        <v>5440</v>
      </c>
      <c r="E243" s="1" t="s">
        <v>142</v>
      </c>
      <c r="F243" s="1" t="s">
        <v>143</v>
      </c>
      <c r="G243" s="1" t="s">
        <v>16</v>
      </c>
      <c r="H243" s="1" t="str">
        <f>"1"</f>
        <v>1</v>
      </c>
      <c r="I243" s="2">
        <v>387.04</v>
      </c>
      <c r="J243" s="3">
        <v>46142</v>
      </c>
      <c r="K243" s="1" t="s">
        <v>805</v>
      </c>
    </row>
    <row r="244" spans="1:11" x14ac:dyDescent="0.35">
      <c r="A244" s="1" t="s">
        <v>506</v>
      </c>
      <c r="B244" s="1" t="s">
        <v>693</v>
      </c>
      <c r="C244" s="1" t="s">
        <v>806</v>
      </c>
      <c r="D244" s="1" t="str">
        <f>"5440"</f>
        <v>5440</v>
      </c>
      <c r="E244" s="1" t="s">
        <v>142</v>
      </c>
      <c r="F244" s="1" t="s">
        <v>143</v>
      </c>
      <c r="G244" s="1" t="s">
        <v>16</v>
      </c>
      <c r="H244" s="1" t="str">
        <f>"1"</f>
        <v>1</v>
      </c>
      <c r="I244" s="2" t="str">
        <f>"145"</f>
        <v>145</v>
      </c>
      <c r="J244" s="3">
        <v>46142</v>
      </c>
      <c r="K244" s="1" t="s">
        <v>805</v>
      </c>
    </row>
    <row r="245" spans="1:11" x14ac:dyDescent="0.35">
      <c r="A245" s="1" t="s">
        <v>506</v>
      </c>
      <c r="B245" s="1" t="s">
        <v>693</v>
      </c>
      <c r="C245" s="1" t="s">
        <v>807</v>
      </c>
      <c r="D245" s="1" t="str">
        <f>"5440"</f>
        <v>5440</v>
      </c>
      <c r="E245" s="1" t="s">
        <v>142</v>
      </c>
      <c r="F245" s="1" t="s">
        <v>143</v>
      </c>
      <c r="G245" s="1" t="s">
        <v>16</v>
      </c>
      <c r="H245" s="1" t="str">
        <f>"1"</f>
        <v>1</v>
      </c>
      <c r="I245" s="2" t="str">
        <f>"290"</f>
        <v>290</v>
      </c>
      <c r="J245" s="3">
        <v>46142</v>
      </c>
      <c r="K245" s="1" t="s">
        <v>805</v>
      </c>
    </row>
    <row r="246" spans="1:11" x14ac:dyDescent="0.35">
      <c r="A246" s="1" t="s">
        <v>506</v>
      </c>
      <c r="B246" s="1" t="s">
        <v>693</v>
      </c>
      <c r="C246" s="1" t="s">
        <v>808</v>
      </c>
      <c r="D246" s="1" t="str">
        <f>"5440"</f>
        <v>5440</v>
      </c>
      <c r="E246" s="1" t="s">
        <v>142</v>
      </c>
      <c r="F246" s="1" t="s">
        <v>143</v>
      </c>
      <c r="G246" s="1" t="s">
        <v>16</v>
      </c>
      <c r="H246" s="1" t="str">
        <f>"1"</f>
        <v>1</v>
      </c>
      <c r="I246" s="2">
        <v>834.99</v>
      </c>
      <c r="J246" s="3">
        <v>46142</v>
      </c>
      <c r="K246" s="1" t="s">
        <v>805</v>
      </c>
    </row>
    <row r="247" spans="1:11" x14ac:dyDescent="0.35">
      <c r="A247" s="1" t="s">
        <v>506</v>
      </c>
      <c r="B247" s="1" t="s">
        <v>693</v>
      </c>
      <c r="C247" s="1" t="s">
        <v>809</v>
      </c>
      <c r="D247" s="1" t="str">
        <f>"5440"</f>
        <v>5440</v>
      </c>
      <c r="E247" s="1" t="s">
        <v>142</v>
      </c>
      <c r="F247" s="1" t="s">
        <v>143</v>
      </c>
      <c r="G247" s="1" t="s">
        <v>16</v>
      </c>
      <c r="H247" s="1" t="str">
        <f>"2"</f>
        <v>2</v>
      </c>
      <c r="I247" s="2" t="str">
        <f>"538"</f>
        <v>538</v>
      </c>
      <c r="J247" s="3">
        <v>46142</v>
      </c>
      <c r="K247" s="1" t="s">
        <v>810</v>
      </c>
    </row>
    <row r="248" spans="1:11" x14ac:dyDescent="0.35">
      <c r="A248" s="1" t="s">
        <v>506</v>
      </c>
      <c r="B248" s="1" t="s">
        <v>693</v>
      </c>
      <c r="C248" s="1" t="s">
        <v>811</v>
      </c>
      <c r="D248" s="1" t="str">
        <f>"5440"</f>
        <v>5440</v>
      </c>
      <c r="E248" s="1" t="s">
        <v>142</v>
      </c>
      <c r="F248" s="1" t="s">
        <v>143</v>
      </c>
      <c r="G248" s="1" t="s">
        <v>16</v>
      </c>
      <c r="H248" s="1" t="str">
        <f>"2"</f>
        <v>2</v>
      </c>
      <c r="I248" s="2" t="str">
        <f>"607"</f>
        <v>607</v>
      </c>
      <c r="J248" s="3">
        <v>46142</v>
      </c>
      <c r="K248" s="1" t="s">
        <v>810</v>
      </c>
    </row>
    <row r="249" spans="1:11" x14ac:dyDescent="0.35">
      <c r="A249" s="1" t="s">
        <v>506</v>
      </c>
      <c r="B249" s="1" t="s">
        <v>693</v>
      </c>
      <c r="C249" s="1" t="s">
        <v>812</v>
      </c>
      <c r="D249" s="1" t="str">
        <f>"5440"</f>
        <v>5440</v>
      </c>
      <c r="E249" s="1" t="s">
        <v>142</v>
      </c>
      <c r="F249" s="1" t="s">
        <v>143</v>
      </c>
      <c r="G249" s="1" t="s">
        <v>16</v>
      </c>
      <c r="H249" s="1" t="str">
        <f>"1"</f>
        <v>1</v>
      </c>
      <c r="I249" s="2" t="str">
        <f>"950"</f>
        <v>950</v>
      </c>
      <c r="J249" s="3">
        <v>46142</v>
      </c>
      <c r="K249" s="1" t="s">
        <v>810</v>
      </c>
    </row>
    <row r="250" spans="1:11" x14ac:dyDescent="0.35">
      <c r="A250" s="1" t="s">
        <v>506</v>
      </c>
      <c r="B250" s="1" t="s">
        <v>693</v>
      </c>
      <c r="C250" s="1" t="s">
        <v>843</v>
      </c>
      <c r="D250" s="1" t="str">
        <f>"6515"</f>
        <v>6515</v>
      </c>
      <c r="E250" s="1" t="str">
        <f>"001376345"</f>
        <v>001376345</v>
      </c>
      <c r="F250" s="1" t="s">
        <v>844</v>
      </c>
      <c r="G250" s="1" t="s">
        <v>352</v>
      </c>
      <c r="H250" s="1" t="str">
        <f>"3"</f>
        <v>3</v>
      </c>
      <c r="I250" s="2">
        <v>51.12</v>
      </c>
      <c r="J250" s="3">
        <v>46142</v>
      </c>
      <c r="K250" s="1" t="s">
        <v>845</v>
      </c>
    </row>
    <row r="251" spans="1:11" x14ac:dyDescent="0.35">
      <c r="A251" s="1" t="s">
        <v>506</v>
      </c>
      <c r="B251" s="1" t="s">
        <v>693</v>
      </c>
      <c r="C251" s="1" t="s">
        <v>848</v>
      </c>
      <c r="D251" s="1" t="str">
        <f>"6545"</f>
        <v>6545</v>
      </c>
      <c r="E251" s="1" t="str">
        <f>"016675039"</f>
        <v>016675039</v>
      </c>
      <c r="F251" s="1" t="s">
        <v>236</v>
      </c>
      <c r="G251" s="1" t="s">
        <v>16</v>
      </c>
      <c r="H251" s="1" t="str">
        <f>"1"</f>
        <v>1</v>
      </c>
      <c r="I251" s="2">
        <v>200.91</v>
      </c>
      <c r="J251" s="3">
        <v>46142</v>
      </c>
      <c r="K251" s="1" t="s">
        <v>849</v>
      </c>
    </row>
    <row r="252" spans="1:11" x14ac:dyDescent="0.35">
      <c r="A252" s="1" t="s">
        <v>506</v>
      </c>
      <c r="B252" s="1" t="s">
        <v>693</v>
      </c>
      <c r="C252" s="1" t="s">
        <v>850</v>
      </c>
      <c r="D252" s="1" t="str">
        <f>"6545"</f>
        <v>6545</v>
      </c>
      <c r="E252" s="1" t="str">
        <f>"016675039"</f>
        <v>016675039</v>
      </c>
      <c r="F252" s="1" t="s">
        <v>236</v>
      </c>
      <c r="G252" s="1" t="s">
        <v>16</v>
      </c>
      <c r="H252" s="1" t="str">
        <f>"18"</f>
        <v>18</v>
      </c>
      <c r="I252" s="2">
        <v>200.91</v>
      </c>
      <c r="J252" s="3">
        <v>46142</v>
      </c>
      <c r="K252" s="1" t="s">
        <v>849</v>
      </c>
    </row>
    <row r="253" spans="1:11" x14ac:dyDescent="0.35">
      <c r="A253" s="1" t="s">
        <v>506</v>
      </c>
      <c r="B253" s="1" t="s">
        <v>693</v>
      </c>
      <c r="C253" s="1" t="s">
        <v>851</v>
      </c>
      <c r="D253" s="1" t="str">
        <f>"6850"</f>
        <v>6850</v>
      </c>
      <c r="E253" s="1" t="str">
        <f>"002709986"</f>
        <v>002709986</v>
      </c>
      <c r="F253" s="1" t="s">
        <v>852</v>
      </c>
      <c r="G253" s="1" t="s">
        <v>352</v>
      </c>
      <c r="H253" s="1" t="str">
        <f>"11"</f>
        <v>11</v>
      </c>
      <c r="I253" s="2">
        <v>164.14</v>
      </c>
      <c r="J253" s="3">
        <v>46142</v>
      </c>
      <c r="K253" s="1" t="s">
        <v>853</v>
      </c>
    </row>
    <row r="254" spans="1:11" x14ac:dyDescent="0.35">
      <c r="A254" s="1" t="s">
        <v>506</v>
      </c>
      <c r="B254" s="1" t="s">
        <v>693</v>
      </c>
      <c r="C254" s="1" t="s">
        <v>893</v>
      </c>
      <c r="D254" s="1" t="str">
        <f>"8415"</f>
        <v>8415</v>
      </c>
      <c r="E254" s="1" t="s">
        <v>894</v>
      </c>
      <c r="F254" s="1" t="s">
        <v>895</v>
      </c>
      <c r="G254" s="1" t="s">
        <v>311</v>
      </c>
      <c r="H254" s="1" t="str">
        <f>"40"</f>
        <v>40</v>
      </c>
      <c r="I254" s="2">
        <v>71.510000000000005</v>
      </c>
      <c r="J254" s="3">
        <v>46142</v>
      </c>
      <c r="K254" s="1" t="s">
        <v>896</v>
      </c>
    </row>
    <row r="255" spans="1:11" x14ac:dyDescent="0.35">
      <c r="A255" s="1" t="s">
        <v>506</v>
      </c>
      <c r="B255" s="1" t="s">
        <v>693</v>
      </c>
      <c r="C255" s="1" t="s">
        <v>897</v>
      </c>
      <c r="D255" s="1" t="str">
        <f>"8430"</f>
        <v>8430</v>
      </c>
      <c r="E255" s="1" t="str">
        <f>"015145049"</f>
        <v>015145049</v>
      </c>
      <c r="F255" s="1" t="s">
        <v>898</v>
      </c>
      <c r="G255" s="1" t="s">
        <v>311</v>
      </c>
      <c r="H255" s="1" t="str">
        <f>"5"</f>
        <v>5</v>
      </c>
      <c r="I255" s="2">
        <v>67.489999999999995</v>
      </c>
      <c r="J255" s="3">
        <v>46142</v>
      </c>
      <c r="K255" s="1" t="s">
        <v>899</v>
      </c>
    </row>
    <row r="256" spans="1:11" x14ac:dyDescent="0.35">
      <c r="A256" s="1" t="s">
        <v>506</v>
      </c>
      <c r="B256" s="1" t="s">
        <v>693</v>
      </c>
      <c r="C256" s="1" t="s">
        <v>938</v>
      </c>
      <c r="D256" s="1" t="str">
        <f>"8440"</f>
        <v>8440</v>
      </c>
      <c r="E256" s="1" t="str">
        <f>"015770406"</f>
        <v>015770406</v>
      </c>
      <c r="F256" s="1" t="s">
        <v>939</v>
      </c>
      <c r="G256" s="1" t="s">
        <v>311</v>
      </c>
      <c r="H256" s="1" t="str">
        <f>"10"</f>
        <v>10</v>
      </c>
      <c r="I256" s="2">
        <v>2.38</v>
      </c>
      <c r="J256" s="3">
        <v>46142</v>
      </c>
      <c r="K256" s="1" t="s">
        <v>940</v>
      </c>
    </row>
    <row r="257" spans="1:11" x14ac:dyDescent="0.35">
      <c r="A257" s="1" t="s">
        <v>506</v>
      </c>
      <c r="B257" s="1" t="s">
        <v>693</v>
      </c>
      <c r="C257" s="1" t="s">
        <v>941</v>
      </c>
      <c r="D257" s="1" t="str">
        <f>"8440"</f>
        <v>8440</v>
      </c>
      <c r="E257" s="1" t="str">
        <f>"015770406"</f>
        <v>015770406</v>
      </c>
      <c r="F257" s="1" t="s">
        <v>939</v>
      </c>
      <c r="G257" s="1" t="s">
        <v>311</v>
      </c>
      <c r="H257" s="1" t="str">
        <f>"10"</f>
        <v>10</v>
      </c>
      <c r="I257" s="2">
        <v>2.38</v>
      </c>
      <c r="J257" s="3">
        <v>46142</v>
      </c>
      <c r="K257" s="1" t="s">
        <v>940</v>
      </c>
    </row>
    <row r="258" spans="1:11" x14ac:dyDescent="0.35">
      <c r="A258" s="1" t="s">
        <v>506</v>
      </c>
      <c r="B258" s="1" t="s">
        <v>693</v>
      </c>
      <c r="C258" s="1" t="s">
        <v>950</v>
      </c>
      <c r="D258" s="1" t="str">
        <f>"8465"</f>
        <v>8465</v>
      </c>
      <c r="E258" s="1" t="str">
        <f>"015247632"</f>
        <v>015247632</v>
      </c>
      <c r="F258" s="1" t="s">
        <v>951</v>
      </c>
      <c r="G258" s="1" t="s">
        <v>16</v>
      </c>
      <c r="H258" s="1" t="str">
        <f>"10"</f>
        <v>10</v>
      </c>
      <c r="I258" s="2">
        <v>168.09</v>
      </c>
      <c r="J258" s="3">
        <v>46142</v>
      </c>
      <c r="K258" s="1" t="s">
        <v>952</v>
      </c>
    </row>
    <row r="259" spans="1:11" x14ac:dyDescent="0.35">
      <c r="A259" s="1" t="s">
        <v>506</v>
      </c>
      <c r="B259" s="1" t="s">
        <v>531</v>
      </c>
      <c r="C259" s="1" t="s">
        <v>532</v>
      </c>
      <c r="D259" s="1" t="str">
        <f>"2340"</f>
        <v>2340</v>
      </c>
      <c r="E259" s="1" t="s">
        <v>84</v>
      </c>
      <c r="F259" s="1" t="s">
        <v>85</v>
      </c>
      <c r="G259" s="1" t="s">
        <v>16</v>
      </c>
      <c r="H259" s="1" t="str">
        <f>"1"</f>
        <v>1</v>
      </c>
      <c r="I259" s="2" t="str">
        <f>"8000"</f>
        <v>8000</v>
      </c>
      <c r="J259" s="3">
        <v>46143</v>
      </c>
      <c r="K259" s="1" t="s">
        <v>533</v>
      </c>
    </row>
    <row r="260" spans="1:11" x14ac:dyDescent="0.35">
      <c r="A260" s="1" t="s">
        <v>506</v>
      </c>
      <c r="B260" s="1" t="s">
        <v>507</v>
      </c>
      <c r="C260" s="1" t="s">
        <v>514</v>
      </c>
      <c r="D260" s="1" t="str">
        <f>"6130"</f>
        <v>6130</v>
      </c>
      <c r="E260" s="1" t="str">
        <f>"014952839"</f>
        <v>014952839</v>
      </c>
      <c r="F260" s="1" t="s">
        <v>227</v>
      </c>
      <c r="G260" s="1" t="s">
        <v>16</v>
      </c>
      <c r="H260" s="1" t="str">
        <f>"1"</f>
        <v>1</v>
      </c>
      <c r="I260" s="2" t="str">
        <f>"4393"</f>
        <v>4393</v>
      </c>
      <c r="J260" s="3">
        <v>46148</v>
      </c>
      <c r="K260" s="1" t="s">
        <v>515</v>
      </c>
    </row>
    <row r="261" spans="1:11" x14ac:dyDescent="0.35">
      <c r="A261" s="1" t="s">
        <v>506</v>
      </c>
      <c r="B261" s="1" t="s">
        <v>538</v>
      </c>
      <c r="C261" s="1" t="s">
        <v>643</v>
      </c>
      <c r="D261" s="1" t="str">
        <f>"8465"</f>
        <v>8465</v>
      </c>
      <c r="E261" s="1" t="str">
        <f>"010338057"</f>
        <v>010338057</v>
      </c>
      <c r="F261" s="1" t="s">
        <v>644</v>
      </c>
      <c r="G261" s="1" t="s">
        <v>16</v>
      </c>
      <c r="H261" s="1" t="str">
        <f>"20"</f>
        <v>20</v>
      </c>
      <c r="I261" s="2">
        <v>110.81</v>
      </c>
      <c r="J261" s="3">
        <v>46154</v>
      </c>
      <c r="K261" s="1" t="s">
        <v>645</v>
      </c>
    </row>
    <row r="262" spans="1:11" x14ac:dyDescent="0.35">
      <c r="A262" s="1" t="s">
        <v>506</v>
      </c>
      <c r="B262" s="1" t="s">
        <v>538</v>
      </c>
      <c r="C262" s="1" t="s">
        <v>649</v>
      </c>
      <c r="D262" s="1" t="str">
        <f>"8465"</f>
        <v>8465</v>
      </c>
      <c r="E262" s="1" t="str">
        <f>"010338057"</f>
        <v>010338057</v>
      </c>
      <c r="F262" s="1" t="s">
        <v>644</v>
      </c>
      <c r="G262" s="1" t="s">
        <v>16</v>
      </c>
      <c r="H262" s="1" t="str">
        <f>"22"</f>
        <v>22</v>
      </c>
      <c r="I262" s="2">
        <v>110.81</v>
      </c>
      <c r="J262" s="3">
        <v>46154</v>
      </c>
      <c r="K262" s="1" t="s">
        <v>645</v>
      </c>
    </row>
    <row r="263" spans="1:11" x14ac:dyDescent="0.35">
      <c r="A263" s="1" t="s">
        <v>506</v>
      </c>
      <c r="B263" s="1" t="s">
        <v>538</v>
      </c>
      <c r="C263" s="1" t="s">
        <v>650</v>
      </c>
      <c r="D263" s="1" t="str">
        <f>"8465"</f>
        <v>8465</v>
      </c>
      <c r="E263" s="1" t="str">
        <f>"010338057"</f>
        <v>010338057</v>
      </c>
      <c r="F263" s="1" t="s">
        <v>644</v>
      </c>
      <c r="G263" s="1" t="s">
        <v>16</v>
      </c>
      <c r="H263" s="1" t="str">
        <f>"16"</f>
        <v>16</v>
      </c>
      <c r="I263" s="2">
        <v>110.81</v>
      </c>
      <c r="J263" s="3">
        <v>46154</v>
      </c>
      <c r="K263" s="1" t="s">
        <v>645</v>
      </c>
    </row>
    <row r="264" spans="1:11" x14ac:dyDescent="0.35">
      <c r="A264" s="1" t="s">
        <v>506</v>
      </c>
      <c r="B264" s="1" t="s">
        <v>538</v>
      </c>
      <c r="C264" s="1" t="s">
        <v>651</v>
      </c>
      <c r="D264" s="1" t="str">
        <f>"8465"</f>
        <v>8465</v>
      </c>
      <c r="E264" s="1" t="str">
        <f>"010338057"</f>
        <v>010338057</v>
      </c>
      <c r="F264" s="1" t="s">
        <v>644</v>
      </c>
      <c r="G264" s="1" t="s">
        <v>16</v>
      </c>
      <c r="H264" s="1" t="str">
        <f>"18"</f>
        <v>18</v>
      </c>
      <c r="I264" s="2">
        <v>110.81</v>
      </c>
      <c r="J264" s="3">
        <v>46154</v>
      </c>
      <c r="K264" s="1" t="s">
        <v>645</v>
      </c>
    </row>
    <row r="265" spans="1:11" x14ac:dyDescent="0.35">
      <c r="A265" s="1" t="s">
        <v>506</v>
      </c>
      <c r="B265" s="1" t="s">
        <v>538</v>
      </c>
      <c r="C265" s="1" t="s">
        <v>655</v>
      </c>
      <c r="D265" s="1" t="str">
        <f>"8465"</f>
        <v>8465</v>
      </c>
      <c r="E265" s="1" t="str">
        <f>"010338057"</f>
        <v>010338057</v>
      </c>
      <c r="F265" s="1" t="s">
        <v>644</v>
      </c>
      <c r="G265" s="1" t="s">
        <v>16</v>
      </c>
      <c r="H265" s="1" t="str">
        <f>"22"</f>
        <v>22</v>
      </c>
      <c r="I265" s="2">
        <v>110.81</v>
      </c>
      <c r="J265" s="3">
        <v>46154</v>
      </c>
      <c r="K265" s="1" t="s">
        <v>645</v>
      </c>
    </row>
    <row r="266" spans="1:11" x14ac:dyDescent="0.35">
      <c r="A266" s="1" t="s">
        <v>506</v>
      </c>
      <c r="B266" s="1" t="s">
        <v>538</v>
      </c>
      <c r="C266" s="1" t="s">
        <v>656</v>
      </c>
      <c r="D266" s="1" t="str">
        <f>"8465"</f>
        <v>8465</v>
      </c>
      <c r="E266" s="1" t="str">
        <f>"005303692"</f>
        <v>005303692</v>
      </c>
      <c r="F266" s="1" t="s">
        <v>657</v>
      </c>
      <c r="G266" s="1" t="s">
        <v>16</v>
      </c>
      <c r="H266" s="1" t="str">
        <f>"120"</f>
        <v>120</v>
      </c>
      <c r="I266" s="2">
        <v>15.17</v>
      </c>
      <c r="J266" s="3">
        <v>46154</v>
      </c>
      <c r="K266" s="1" t="s">
        <v>658</v>
      </c>
    </row>
    <row r="267" spans="1:11" x14ac:dyDescent="0.35">
      <c r="A267" s="1" t="s">
        <v>506</v>
      </c>
      <c r="B267" s="1" t="s">
        <v>538</v>
      </c>
      <c r="C267" s="1" t="s">
        <v>664</v>
      </c>
      <c r="D267" s="1" t="str">
        <f>"8465"</f>
        <v>8465</v>
      </c>
      <c r="E267" s="1" t="str">
        <f>"010338057"</f>
        <v>010338057</v>
      </c>
      <c r="F267" s="1" t="s">
        <v>644</v>
      </c>
      <c r="G267" s="1" t="s">
        <v>16</v>
      </c>
      <c r="H267" s="1" t="str">
        <f>"20"</f>
        <v>20</v>
      </c>
      <c r="I267" s="2">
        <v>110.81</v>
      </c>
      <c r="J267" s="3">
        <v>46154</v>
      </c>
      <c r="K267" s="1" t="s">
        <v>645</v>
      </c>
    </row>
    <row r="268" spans="1:11" x14ac:dyDescent="0.35">
      <c r="A268" s="1" t="s">
        <v>506</v>
      </c>
      <c r="B268" s="1" t="s">
        <v>538</v>
      </c>
      <c r="C268" s="1" t="s">
        <v>665</v>
      </c>
      <c r="D268" s="1" t="str">
        <f>"8465"</f>
        <v>8465</v>
      </c>
      <c r="E268" s="1" t="str">
        <f>"010338057"</f>
        <v>010338057</v>
      </c>
      <c r="F268" s="1" t="s">
        <v>644</v>
      </c>
      <c r="G268" s="1" t="s">
        <v>16</v>
      </c>
      <c r="H268" s="1" t="str">
        <f>"20"</f>
        <v>20</v>
      </c>
      <c r="I268" s="2">
        <v>110.81</v>
      </c>
      <c r="J268" s="3">
        <v>46154</v>
      </c>
      <c r="K268" s="1" t="s">
        <v>645</v>
      </c>
    </row>
    <row r="269" spans="1:11" x14ac:dyDescent="0.35">
      <c r="A269" s="1" t="s">
        <v>506</v>
      </c>
      <c r="B269" s="1" t="s">
        <v>693</v>
      </c>
      <c r="C269" s="1" t="s">
        <v>727</v>
      </c>
      <c r="D269" s="1" t="str">
        <f>"5110"</f>
        <v>5110</v>
      </c>
      <c r="E269" s="1" t="s">
        <v>564</v>
      </c>
      <c r="F269" s="1" t="s">
        <v>565</v>
      </c>
      <c r="G269" s="1" t="s">
        <v>16</v>
      </c>
      <c r="H269" s="1" t="str">
        <f>"1"</f>
        <v>1</v>
      </c>
      <c r="I269" s="2" t="str">
        <f>"100"</f>
        <v>100</v>
      </c>
      <c r="J269" s="3">
        <v>46156</v>
      </c>
      <c r="K269" s="1" t="s">
        <v>728</v>
      </c>
    </row>
    <row r="270" spans="1:11" x14ac:dyDescent="0.35">
      <c r="A270" s="1" t="s">
        <v>506</v>
      </c>
      <c r="B270" s="1" t="s">
        <v>693</v>
      </c>
      <c r="C270" s="1" t="s">
        <v>729</v>
      </c>
      <c r="D270" s="1" t="str">
        <f>"5120"</f>
        <v>5120</v>
      </c>
      <c r="E270" s="1" t="s">
        <v>576</v>
      </c>
      <c r="F270" s="1" t="s">
        <v>577</v>
      </c>
      <c r="G270" s="1" t="s">
        <v>16</v>
      </c>
      <c r="H270" s="1" t="str">
        <f>"1"</f>
        <v>1</v>
      </c>
      <c r="I270" s="2" t="str">
        <f>"100"</f>
        <v>100</v>
      </c>
      <c r="J270" s="3">
        <v>46156</v>
      </c>
      <c r="K270" s="1" t="s">
        <v>730</v>
      </c>
    </row>
    <row r="271" spans="1:11" x14ac:dyDescent="0.35">
      <c r="A271" s="1" t="s">
        <v>506</v>
      </c>
      <c r="B271" s="1" t="s">
        <v>693</v>
      </c>
      <c r="C271" s="1" t="s">
        <v>731</v>
      </c>
      <c r="D271" s="1" t="str">
        <f>"5120"</f>
        <v>5120</v>
      </c>
      <c r="E271" s="1" t="s">
        <v>576</v>
      </c>
      <c r="F271" s="1" t="s">
        <v>577</v>
      </c>
      <c r="G271" s="1" t="s">
        <v>16</v>
      </c>
      <c r="H271" s="1" t="str">
        <f>"1"</f>
        <v>1</v>
      </c>
      <c r="I271" s="2" t="str">
        <f>"100"</f>
        <v>100</v>
      </c>
      <c r="J271" s="3">
        <v>46156</v>
      </c>
      <c r="K271" s="1" t="s">
        <v>730</v>
      </c>
    </row>
    <row r="272" spans="1:11" x14ac:dyDescent="0.35">
      <c r="A272" s="1" t="s">
        <v>506</v>
      </c>
      <c r="B272" s="1" t="s">
        <v>693</v>
      </c>
      <c r="C272" s="1" t="s">
        <v>743</v>
      </c>
      <c r="D272" s="1" t="str">
        <f>"5130"</f>
        <v>5130</v>
      </c>
      <c r="E272" s="1" t="s">
        <v>744</v>
      </c>
      <c r="F272" s="1" t="s">
        <v>745</v>
      </c>
      <c r="G272" s="1" t="s">
        <v>16</v>
      </c>
      <c r="H272" s="1" t="str">
        <f>"1"</f>
        <v>1</v>
      </c>
      <c r="I272" s="2" t="str">
        <f>"100"</f>
        <v>100</v>
      </c>
      <c r="J272" s="3">
        <v>46156</v>
      </c>
      <c r="K272" s="1" t="s">
        <v>746</v>
      </c>
    </row>
    <row r="273" spans="1:11" x14ac:dyDescent="0.35">
      <c r="A273" s="1" t="s">
        <v>506</v>
      </c>
      <c r="B273" s="1" t="s">
        <v>693</v>
      </c>
      <c r="C273" s="1" t="s">
        <v>747</v>
      </c>
      <c r="D273" s="1" t="str">
        <f>"5130"</f>
        <v>5130</v>
      </c>
      <c r="E273" s="1" t="s">
        <v>744</v>
      </c>
      <c r="F273" s="1" t="s">
        <v>745</v>
      </c>
      <c r="G273" s="1" t="s">
        <v>16</v>
      </c>
      <c r="H273" s="1" t="str">
        <f>"1"</f>
        <v>1</v>
      </c>
      <c r="I273" s="2">
        <v>61.25</v>
      </c>
      <c r="J273" s="3">
        <v>46156</v>
      </c>
      <c r="K273" s="1" t="s">
        <v>748</v>
      </c>
    </row>
    <row r="274" spans="1:11" x14ac:dyDescent="0.35">
      <c r="A274" s="1" t="s">
        <v>506</v>
      </c>
      <c r="B274" s="1" t="s">
        <v>693</v>
      </c>
      <c r="C274" s="1" t="s">
        <v>757</v>
      </c>
      <c r="D274" s="1" t="str">
        <f>"5136"</f>
        <v>5136</v>
      </c>
      <c r="E274" s="1" t="str">
        <f>"003577504"</f>
        <v>003577504</v>
      </c>
      <c r="F274" s="1" t="s">
        <v>758</v>
      </c>
      <c r="G274" s="1" t="s">
        <v>458</v>
      </c>
      <c r="H274" s="1" t="str">
        <f>"3"</f>
        <v>3</v>
      </c>
      <c r="I274" s="2">
        <v>972.09</v>
      </c>
      <c r="J274" s="3">
        <v>46156</v>
      </c>
      <c r="K274" s="1" t="s">
        <v>759</v>
      </c>
    </row>
    <row r="275" spans="1:11" x14ac:dyDescent="0.35">
      <c r="A275" s="1" t="s">
        <v>506</v>
      </c>
      <c r="B275" s="1" t="s">
        <v>693</v>
      </c>
      <c r="C275" s="1" t="s">
        <v>779</v>
      </c>
      <c r="D275" s="1" t="str">
        <f>"5180"</f>
        <v>5180</v>
      </c>
      <c r="E275" s="1" t="s">
        <v>88</v>
      </c>
      <c r="F275" s="1" t="s">
        <v>89</v>
      </c>
      <c r="G275" s="1" t="s">
        <v>16</v>
      </c>
      <c r="H275" s="1" t="str">
        <f>"1"</f>
        <v>1</v>
      </c>
      <c r="I275" s="2" t="str">
        <f>"1000"</f>
        <v>1000</v>
      </c>
      <c r="J275" s="3">
        <v>46156</v>
      </c>
      <c r="K275" s="1" t="s">
        <v>780</v>
      </c>
    </row>
    <row r="276" spans="1:11" x14ac:dyDescent="0.35">
      <c r="A276" s="1" t="s">
        <v>506</v>
      </c>
      <c r="B276" s="1" t="s">
        <v>693</v>
      </c>
      <c r="C276" s="1" t="s">
        <v>781</v>
      </c>
      <c r="D276" s="1" t="str">
        <f>"5180"</f>
        <v>5180</v>
      </c>
      <c r="E276" s="1" t="s">
        <v>88</v>
      </c>
      <c r="F276" s="1" t="s">
        <v>89</v>
      </c>
      <c r="G276" s="1" t="s">
        <v>16</v>
      </c>
      <c r="H276" s="1" t="str">
        <f>"1"</f>
        <v>1</v>
      </c>
      <c r="I276" s="2" t="str">
        <f>"1000"</f>
        <v>1000</v>
      </c>
      <c r="J276" s="3">
        <v>46156</v>
      </c>
      <c r="K276" s="1" t="s">
        <v>780</v>
      </c>
    </row>
    <row r="277" spans="1:11" x14ac:dyDescent="0.35">
      <c r="A277" s="1" t="s">
        <v>506</v>
      </c>
      <c r="B277" s="1" t="s">
        <v>693</v>
      </c>
      <c r="C277" s="1" t="s">
        <v>787</v>
      </c>
      <c r="D277" s="1" t="str">
        <f>"5180"</f>
        <v>5180</v>
      </c>
      <c r="E277" s="1" t="s">
        <v>88</v>
      </c>
      <c r="F277" s="1" t="s">
        <v>89</v>
      </c>
      <c r="G277" s="1" t="s">
        <v>16</v>
      </c>
      <c r="H277" s="1" t="str">
        <f>"1"</f>
        <v>1</v>
      </c>
      <c r="I277" s="2" t="str">
        <f>"1000"</f>
        <v>1000</v>
      </c>
      <c r="J277" s="3">
        <v>46156</v>
      </c>
      <c r="K277" s="1" t="s">
        <v>780</v>
      </c>
    </row>
    <row r="278" spans="1:11" x14ac:dyDescent="0.35">
      <c r="A278" s="1" t="s">
        <v>506</v>
      </c>
      <c r="B278" s="1" t="s">
        <v>693</v>
      </c>
      <c r="C278" s="1" t="s">
        <v>790</v>
      </c>
      <c r="D278" s="1" t="str">
        <f>"5180"</f>
        <v>5180</v>
      </c>
      <c r="E278" s="1" t="s">
        <v>88</v>
      </c>
      <c r="F278" s="1" t="s">
        <v>89</v>
      </c>
      <c r="G278" s="1" t="s">
        <v>16</v>
      </c>
      <c r="H278" s="1" t="str">
        <f>"1"</f>
        <v>1</v>
      </c>
      <c r="I278" s="2" t="str">
        <f>"1000"</f>
        <v>1000</v>
      </c>
      <c r="J278" s="3">
        <v>46156</v>
      </c>
      <c r="K278" s="1" t="s">
        <v>780</v>
      </c>
    </row>
    <row r="279" spans="1:11" x14ac:dyDescent="0.35">
      <c r="A279" s="1" t="s">
        <v>506</v>
      </c>
      <c r="B279" s="1" t="s">
        <v>693</v>
      </c>
      <c r="C279" s="1" t="s">
        <v>794</v>
      </c>
      <c r="D279" s="1" t="str">
        <f>"5180"</f>
        <v>5180</v>
      </c>
      <c r="E279" s="1" t="s">
        <v>88</v>
      </c>
      <c r="F279" s="1" t="s">
        <v>89</v>
      </c>
      <c r="G279" s="1" t="s">
        <v>16</v>
      </c>
      <c r="H279" s="1" t="str">
        <f>"1"</f>
        <v>1</v>
      </c>
      <c r="I279" s="2" t="str">
        <f>"1000"</f>
        <v>1000</v>
      </c>
      <c r="J279" s="3">
        <v>46156</v>
      </c>
      <c r="K279" s="1" t="s">
        <v>795</v>
      </c>
    </row>
    <row r="280" spans="1:11" x14ac:dyDescent="0.35">
      <c r="A280" s="1" t="s">
        <v>506</v>
      </c>
      <c r="B280" s="1" t="s">
        <v>693</v>
      </c>
      <c r="C280" s="1" t="s">
        <v>813</v>
      </c>
      <c r="D280" s="1" t="str">
        <f>"5970"</f>
        <v>5970</v>
      </c>
      <c r="E280" s="1" t="str">
        <f>"006859059"</f>
        <v>006859059</v>
      </c>
      <c r="F280" s="1" t="s">
        <v>814</v>
      </c>
      <c r="G280" s="1" t="s">
        <v>815</v>
      </c>
      <c r="H280" s="1" t="str">
        <f>"16"</f>
        <v>16</v>
      </c>
      <c r="I280" s="2">
        <v>14.73</v>
      </c>
      <c r="J280" s="3">
        <v>46156</v>
      </c>
      <c r="K280" s="1" t="s">
        <v>816</v>
      </c>
    </row>
    <row r="281" spans="1:11" x14ac:dyDescent="0.35">
      <c r="A281" s="1" t="s">
        <v>506</v>
      </c>
      <c r="B281" s="1" t="s">
        <v>693</v>
      </c>
      <c r="C281" s="1" t="s">
        <v>817</v>
      </c>
      <c r="D281" s="1" t="str">
        <f>"6145"</f>
        <v>6145</v>
      </c>
      <c r="E281" s="1" t="str">
        <f>"002840079"</f>
        <v>002840079</v>
      </c>
      <c r="F281" s="1" t="s">
        <v>818</v>
      </c>
      <c r="G281" s="1" t="s">
        <v>819</v>
      </c>
      <c r="H281" s="1" t="str">
        <f>"250"</f>
        <v>250</v>
      </c>
      <c r="I281" s="2">
        <v>0.67</v>
      </c>
      <c r="J281" s="3">
        <v>46156</v>
      </c>
      <c r="K281" s="1" t="s">
        <v>820</v>
      </c>
    </row>
    <row r="282" spans="1:11" x14ac:dyDescent="0.35">
      <c r="A282" s="1" t="s">
        <v>506</v>
      </c>
      <c r="B282" s="1" t="s">
        <v>693</v>
      </c>
      <c r="C282" s="1" t="s">
        <v>837</v>
      </c>
      <c r="D282" s="1" t="str">
        <f>"6510"</f>
        <v>6510</v>
      </c>
      <c r="E282" s="1" t="str">
        <f>"016929833"</f>
        <v>016929833</v>
      </c>
      <c r="F282" s="1" t="s">
        <v>838</v>
      </c>
      <c r="G282" s="1" t="s">
        <v>16</v>
      </c>
      <c r="H282" s="1" t="str">
        <f>"19"</f>
        <v>19</v>
      </c>
      <c r="I282" s="2">
        <v>7.13</v>
      </c>
      <c r="J282" s="3">
        <v>46156</v>
      </c>
      <c r="K282" s="1" t="s">
        <v>839</v>
      </c>
    </row>
    <row r="283" spans="1:11" x14ac:dyDescent="0.35">
      <c r="A283" s="1" t="s">
        <v>506</v>
      </c>
      <c r="B283" s="1" t="s">
        <v>693</v>
      </c>
      <c r="C283" s="1" t="s">
        <v>846</v>
      </c>
      <c r="D283" s="1" t="str">
        <f>"6515"</f>
        <v>6515</v>
      </c>
      <c r="E283" s="1" t="str">
        <f>"001376345"</f>
        <v>001376345</v>
      </c>
      <c r="F283" s="1" t="s">
        <v>844</v>
      </c>
      <c r="G283" s="1" t="s">
        <v>352</v>
      </c>
      <c r="H283" s="1" t="str">
        <f>"1"</f>
        <v>1</v>
      </c>
      <c r="I283" s="2">
        <v>51.12</v>
      </c>
      <c r="J283" s="3">
        <v>46156</v>
      </c>
      <c r="K283" s="1" t="s">
        <v>847</v>
      </c>
    </row>
    <row r="284" spans="1:11" x14ac:dyDescent="0.35">
      <c r="A284" s="1" t="s">
        <v>506</v>
      </c>
      <c r="B284" s="1" t="s">
        <v>693</v>
      </c>
      <c r="C284" s="1" t="s">
        <v>857</v>
      </c>
      <c r="D284" s="1" t="str">
        <f>"7025"</f>
        <v>7025</v>
      </c>
      <c r="E284" s="1" t="s">
        <v>858</v>
      </c>
      <c r="F284" s="1" t="s">
        <v>859</v>
      </c>
      <c r="G284" s="1" t="s">
        <v>16</v>
      </c>
      <c r="H284" s="1" t="str">
        <f>"5"</f>
        <v>5</v>
      </c>
      <c r="I284" s="2" t="str">
        <f>"773"</f>
        <v>773</v>
      </c>
      <c r="J284" s="3">
        <v>46156</v>
      </c>
      <c r="K284" s="1" t="s">
        <v>860</v>
      </c>
    </row>
    <row r="285" spans="1:11" x14ac:dyDescent="0.35">
      <c r="A285" s="1" t="s">
        <v>506</v>
      </c>
      <c r="B285" s="1" t="s">
        <v>693</v>
      </c>
      <c r="C285" s="1" t="s">
        <v>863</v>
      </c>
      <c r="D285" s="1" t="str">
        <f>"7210"</f>
        <v>7210</v>
      </c>
      <c r="E285" s="1" t="str">
        <f>"016686180"</f>
        <v>016686180</v>
      </c>
      <c r="F285" s="1" t="s">
        <v>864</v>
      </c>
      <c r="G285" s="1" t="s">
        <v>16</v>
      </c>
      <c r="H285" s="1" t="str">
        <f>"15"</f>
        <v>15</v>
      </c>
      <c r="I285" s="2">
        <v>70.87</v>
      </c>
      <c r="J285" s="3">
        <v>46156</v>
      </c>
      <c r="K285" s="1" t="s">
        <v>865</v>
      </c>
    </row>
    <row r="286" spans="1:11" x14ac:dyDescent="0.35">
      <c r="A286" s="1" t="s">
        <v>506</v>
      </c>
      <c r="B286" s="1" t="s">
        <v>693</v>
      </c>
      <c r="C286" s="1" t="s">
        <v>866</v>
      </c>
      <c r="D286" s="1" t="str">
        <f>"7210"</f>
        <v>7210</v>
      </c>
      <c r="E286" s="1" t="str">
        <f>"002827950"</f>
        <v>002827950</v>
      </c>
      <c r="F286" s="1" t="s">
        <v>864</v>
      </c>
      <c r="G286" s="1" t="s">
        <v>16</v>
      </c>
      <c r="H286" s="1" t="str">
        <f>"22"</f>
        <v>22</v>
      </c>
      <c r="I286" s="2">
        <v>41.47</v>
      </c>
      <c r="J286" s="3">
        <v>46156</v>
      </c>
      <c r="K286" s="1" t="s">
        <v>865</v>
      </c>
    </row>
    <row r="287" spans="1:11" x14ac:dyDescent="0.35">
      <c r="A287" s="1" t="s">
        <v>506</v>
      </c>
      <c r="B287" s="1" t="s">
        <v>693</v>
      </c>
      <c r="C287" s="1" t="s">
        <v>874</v>
      </c>
      <c r="D287" s="1" t="str">
        <f>"7920"</f>
        <v>7920</v>
      </c>
      <c r="E287" s="1" t="str">
        <f>"014541148"</f>
        <v>014541148</v>
      </c>
      <c r="F287" s="1" t="s">
        <v>875</v>
      </c>
      <c r="G287" s="1" t="s">
        <v>352</v>
      </c>
      <c r="H287" s="1" t="str">
        <f>"1"</f>
        <v>1</v>
      </c>
      <c r="I287" s="2">
        <v>218.96</v>
      </c>
      <c r="J287" s="3">
        <v>46156</v>
      </c>
      <c r="K287" s="1" t="s">
        <v>876</v>
      </c>
    </row>
    <row r="288" spans="1:11" x14ac:dyDescent="0.35">
      <c r="A288" s="1" t="s">
        <v>506</v>
      </c>
      <c r="B288" s="1" t="s">
        <v>693</v>
      </c>
      <c r="C288" s="1" t="s">
        <v>877</v>
      </c>
      <c r="D288" s="1" t="str">
        <f>"8020"</f>
        <v>8020</v>
      </c>
      <c r="E288" s="1" t="str">
        <f>"006895379"</f>
        <v>006895379</v>
      </c>
      <c r="F288" s="1" t="s">
        <v>878</v>
      </c>
      <c r="G288" s="1" t="s">
        <v>215</v>
      </c>
      <c r="H288" s="1" t="str">
        <f>"3"</f>
        <v>3</v>
      </c>
      <c r="I288" s="2">
        <v>8.2100000000000009</v>
      </c>
      <c r="J288" s="3">
        <v>46156</v>
      </c>
      <c r="K288" s="1" t="s">
        <v>879</v>
      </c>
    </row>
    <row r="289" spans="1:11" x14ac:dyDescent="0.35">
      <c r="A289" s="1" t="s">
        <v>506</v>
      </c>
      <c r="B289" s="1" t="s">
        <v>693</v>
      </c>
      <c r="C289" s="1" t="s">
        <v>880</v>
      </c>
      <c r="D289" s="1" t="str">
        <f>"8105"</f>
        <v>8105</v>
      </c>
      <c r="E289" s="1" t="str">
        <f>"008377757"</f>
        <v>008377757</v>
      </c>
      <c r="F289" s="1" t="s">
        <v>881</v>
      </c>
      <c r="G289" s="1" t="s">
        <v>352</v>
      </c>
      <c r="H289" s="1" t="str">
        <f>"84"</f>
        <v>84</v>
      </c>
      <c r="I289" s="2">
        <v>68.930000000000007</v>
      </c>
      <c r="J289" s="3">
        <v>46156</v>
      </c>
      <c r="K289" s="1" t="s">
        <v>882</v>
      </c>
    </row>
    <row r="290" spans="1:11" x14ac:dyDescent="0.35">
      <c r="A290" s="1" t="s">
        <v>506</v>
      </c>
      <c r="B290" s="1" t="s">
        <v>693</v>
      </c>
      <c r="C290" s="1" t="s">
        <v>883</v>
      </c>
      <c r="D290" s="1" t="str">
        <f>"8105"</f>
        <v>8105</v>
      </c>
      <c r="E290" s="1" t="str">
        <f>"008377757"</f>
        <v>008377757</v>
      </c>
      <c r="F290" s="1" t="s">
        <v>881</v>
      </c>
      <c r="G290" s="1" t="s">
        <v>352</v>
      </c>
      <c r="H290" s="1" t="str">
        <f>"10"</f>
        <v>10</v>
      </c>
      <c r="I290" s="2">
        <v>68.930000000000007</v>
      </c>
      <c r="J290" s="3">
        <v>46156</v>
      </c>
      <c r="K290" s="1" t="s">
        <v>884</v>
      </c>
    </row>
    <row r="291" spans="1:11" x14ac:dyDescent="0.35">
      <c r="A291" s="1" t="s">
        <v>506</v>
      </c>
      <c r="B291" s="1" t="s">
        <v>693</v>
      </c>
      <c r="C291" s="1" t="s">
        <v>953</v>
      </c>
      <c r="D291" s="1" t="str">
        <f>"9320"</f>
        <v>9320</v>
      </c>
      <c r="E291" s="1" t="str">
        <f>"013731549"</f>
        <v>013731549</v>
      </c>
      <c r="F291" s="1" t="s">
        <v>954</v>
      </c>
      <c r="G291" s="1" t="s">
        <v>345</v>
      </c>
      <c r="H291" s="1" t="str">
        <f>"29"</f>
        <v>29</v>
      </c>
      <c r="I291" s="2">
        <v>65.569999999999993</v>
      </c>
      <c r="J291" s="3">
        <v>46156</v>
      </c>
      <c r="K291" s="1" t="s">
        <v>955</v>
      </c>
    </row>
    <row r="292" spans="1:11" x14ac:dyDescent="0.35">
      <c r="A292" s="1" t="s">
        <v>506</v>
      </c>
      <c r="B292" s="1" t="s">
        <v>693</v>
      </c>
      <c r="C292" s="1" t="s">
        <v>959</v>
      </c>
      <c r="D292" s="1" t="str">
        <f>"9330"</f>
        <v>9330</v>
      </c>
      <c r="E292" s="1" t="str">
        <f>"011318091"</f>
        <v>011318091</v>
      </c>
      <c r="F292" s="1" t="s">
        <v>960</v>
      </c>
      <c r="G292" s="1" t="s">
        <v>345</v>
      </c>
      <c r="H292" s="1" t="str">
        <f>"20"</f>
        <v>20</v>
      </c>
      <c r="I292" s="2">
        <v>431.1</v>
      </c>
      <c r="J292" s="3">
        <v>46156</v>
      </c>
      <c r="K292" s="1" t="s">
        <v>961</v>
      </c>
    </row>
    <row r="293" spans="1:11" x14ac:dyDescent="0.35">
      <c r="A293" s="1" t="s">
        <v>506</v>
      </c>
      <c r="B293" s="1" t="s">
        <v>518</v>
      </c>
      <c r="C293" s="1" t="s">
        <v>521</v>
      </c>
      <c r="D293" s="1" t="str">
        <f>"8430"</f>
        <v>8430</v>
      </c>
      <c r="E293" s="1" t="s">
        <v>522</v>
      </c>
      <c r="F293" s="1" t="s">
        <v>523</v>
      </c>
      <c r="G293" s="1" t="s">
        <v>311</v>
      </c>
      <c r="H293" s="1" t="str">
        <f>"1"</f>
        <v>1</v>
      </c>
      <c r="I293" s="2" t="str">
        <f>"185"</f>
        <v>185</v>
      </c>
      <c r="J293" s="3">
        <v>46160</v>
      </c>
      <c r="K293" s="1" t="s">
        <v>524</v>
      </c>
    </row>
    <row r="294" spans="1:11" x14ac:dyDescent="0.35">
      <c r="A294" s="1" t="s">
        <v>506</v>
      </c>
      <c r="B294" s="1" t="s">
        <v>538</v>
      </c>
      <c r="C294" s="1" t="s">
        <v>621</v>
      </c>
      <c r="D294" s="1" t="str">
        <f>"8420"</f>
        <v>8420</v>
      </c>
      <c r="E294" s="1" t="s">
        <v>622</v>
      </c>
      <c r="F294" s="1" t="s">
        <v>623</v>
      </c>
      <c r="G294" s="1" t="s">
        <v>16</v>
      </c>
      <c r="H294" s="1" t="str">
        <f>"400"</f>
        <v>400</v>
      </c>
      <c r="I294" s="2" t="str">
        <f>"115"</f>
        <v>115</v>
      </c>
      <c r="J294" s="3">
        <v>46162</v>
      </c>
      <c r="K294" s="1" t="s">
        <v>624</v>
      </c>
    </row>
    <row r="295" spans="1:11" x14ac:dyDescent="0.35">
      <c r="A295" s="1" t="s">
        <v>506</v>
      </c>
      <c r="B295" s="1" t="s">
        <v>538</v>
      </c>
      <c r="C295" s="1" t="s">
        <v>629</v>
      </c>
      <c r="D295" s="1" t="str">
        <f>"8420"</f>
        <v>8420</v>
      </c>
      <c r="E295" s="1" t="s">
        <v>622</v>
      </c>
      <c r="F295" s="1" t="s">
        <v>623</v>
      </c>
      <c r="G295" s="1" t="s">
        <v>16</v>
      </c>
      <c r="H295" s="1" t="str">
        <f>"400"</f>
        <v>400</v>
      </c>
      <c r="I295" s="2" t="str">
        <f>"115"</f>
        <v>115</v>
      </c>
      <c r="J295" s="3">
        <v>46162</v>
      </c>
      <c r="K295" s="1" t="s">
        <v>624</v>
      </c>
    </row>
    <row r="296" spans="1:11" x14ac:dyDescent="0.35">
      <c r="A296" s="1" t="s">
        <v>506</v>
      </c>
      <c r="B296" s="1" t="s">
        <v>538</v>
      </c>
      <c r="C296" s="1" t="s">
        <v>634</v>
      </c>
      <c r="D296" s="1" t="str">
        <f>"8420"</f>
        <v>8420</v>
      </c>
      <c r="E296" s="1" t="s">
        <v>622</v>
      </c>
      <c r="F296" s="1" t="s">
        <v>623</v>
      </c>
      <c r="G296" s="1" t="s">
        <v>16</v>
      </c>
      <c r="H296" s="1" t="str">
        <f>"70"</f>
        <v>70</v>
      </c>
      <c r="I296" s="2" t="str">
        <f>"115"</f>
        <v>115</v>
      </c>
      <c r="J296" s="3">
        <v>46162</v>
      </c>
      <c r="K296" s="1" t="s">
        <v>624</v>
      </c>
    </row>
    <row r="297" spans="1:11" x14ac:dyDescent="0.35">
      <c r="A297" s="1" t="s">
        <v>506</v>
      </c>
      <c r="B297" s="1" t="s">
        <v>538</v>
      </c>
      <c r="C297" s="1" t="s">
        <v>635</v>
      </c>
      <c r="D297" s="1" t="str">
        <f>"8420"</f>
        <v>8420</v>
      </c>
      <c r="E297" s="1" t="s">
        <v>622</v>
      </c>
      <c r="F297" s="1" t="s">
        <v>623</v>
      </c>
      <c r="G297" s="1" t="s">
        <v>16</v>
      </c>
      <c r="H297" s="1" t="str">
        <f>"745"</f>
        <v>745</v>
      </c>
      <c r="I297" s="2" t="str">
        <f>"115"</f>
        <v>115</v>
      </c>
      <c r="J297" s="3">
        <v>46162</v>
      </c>
      <c r="K297" s="1" t="s">
        <v>624</v>
      </c>
    </row>
    <row r="298" spans="1:11" x14ac:dyDescent="0.35">
      <c r="A298" s="1" t="s">
        <v>506</v>
      </c>
      <c r="B298" s="1" t="s">
        <v>538</v>
      </c>
      <c r="C298" s="1" t="s">
        <v>636</v>
      </c>
      <c r="D298" s="1" t="str">
        <f>"8420"</f>
        <v>8420</v>
      </c>
      <c r="E298" s="1" t="s">
        <v>622</v>
      </c>
      <c r="F298" s="1" t="s">
        <v>623</v>
      </c>
      <c r="G298" s="1" t="s">
        <v>16</v>
      </c>
      <c r="H298" s="1" t="str">
        <f>"130"</f>
        <v>130</v>
      </c>
      <c r="I298" s="2" t="str">
        <f>"115"</f>
        <v>115</v>
      </c>
      <c r="J298" s="3">
        <v>46162</v>
      </c>
      <c r="K298" s="1" t="s">
        <v>624</v>
      </c>
    </row>
    <row r="299" spans="1:11" x14ac:dyDescent="0.35">
      <c r="A299" s="1" t="s">
        <v>506</v>
      </c>
      <c r="B299" s="1" t="s">
        <v>538</v>
      </c>
      <c r="C299" s="1" t="s">
        <v>637</v>
      </c>
      <c r="D299" s="1" t="str">
        <f>"8420"</f>
        <v>8420</v>
      </c>
      <c r="E299" s="1" t="s">
        <v>622</v>
      </c>
      <c r="F299" s="1" t="s">
        <v>623</v>
      </c>
      <c r="G299" s="1" t="s">
        <v>16</v>
      </c>
      <c r="H299" s="1" t="str">
        <f>"300"</f>
        <v>300</v>
      </c>
      <c r="I299" s="2" t="str">
        <f>"115"</f>
        <v>115</v>
      </c>
      <c r="J299" s="3">
        <v>46162</v>
      </c>
      <c r="K299" s="1" t="s">
        <v>624</v>
      </c>
    </row>
    <row r="300" spans="1:11" x14ac:dyDescent="0.35">
      <c r="A300" s="1" t="s">
        <v>506</v>
      </c>
      <c r="B300" s="1" t="s">
        <v>538</v>
      </c>
      <c r="C300" s="1" t="s">
        <v>638</v>
      </c>
      <c r="D300" s="1" t="str">
        <f>"8420"</f>
        <v>8420</v>
      </c>
      <c r="E300" s="1" t="s">
        <v>622</v>
      </c>
      <c r="F300" s="1" t="s">
        <v>623</v>
      </c>
      <c r="G300" s="1" t="s">
        <v>16</v>
      </c>
      <c r="H300" s="1" t="str">
        <f>"120"</f>
        <v>120</v>
      </c>
      <c r="I300" s="2" t="str">
        <f>"115"</f>
        <v>115</v>
      </c>
      <c r="J300" s="3">
        <v>46162</v>
      </c>
      <c r="K300" s="1" t="s">
        <v>639</v>
      </c>
    </row>
    <row r="301" spans="1:11" x14ac:dyDescent="0.35">
      <c r="A301" s="1" t="s">
        <v>506</v>
      </c>
      <c r="B301" s="1" t="s">
        <v>538</v>
      </c>
      <c r="C301" s="1" t="s">
        <v>640</v>
      </c>
      <c r="D301" s="1" t="str">
        <f>"8420"</f>
        <v>8420</v>
      </c>
      <c r="E301" s="1" t="s">
        <v>622</v>
      </c>
      <c r="F301" s="1" t="s">
        <v>623</v>
      </c>
      <c r="G301" s="1" t="s">
        <v>16</v>
      </c>
      <c r="H301" s="1" t="str">
        <f>"400"</f>
        <v>400</v>
      </c>
      <c r="I301" s="2" t="str">
        <f>"115"</f>
        <v>115</v>
      </c>
      <c r="J301" s="3">
        <v>46162</v>
      </c>
      <c r="K301" s="1" t="s">
        <v>624</v>
      </c>
    </row>
    <row r="302" spans="1:11" x14ac:dyDescent="0.35">
      <c r="A302" s="1" t="s">
        <v>506</v>
      </c>
      <c r="B302" s="1" t="s">
        <v>693</v>
      </c>
      <c r="C302" s="1" t="s">
        <v>900</v>
      </c>
      <c r="D302" s="1" t="str">
        <f>"8430"</f>
        <v>8430</v>
      </c>
      <c r="E302" s="1" t="s">
        <v>522</v>
      </c>
      <c r="F302" s="1" t="s">
        <v>523</v>
      </c>
      <c r="G302" s="1" t="s">
        <v>311</v>
      </c>
      <c r="H302" s="1" t="str">
        <f>"10"</f>
        <v>10</v>
      </c>
      <c r="I302" s="2" t="str">
        <f>"185"</f>
        <v>185</v>
      </c>
      <c r="J302" s="3">
        <v>46162</v>
      </c>
      <c r="K302" s="1" t="s">
        <v>901</v>
      </c>
    </row>
    <row r="303" spans="1:11" x14ac:dyDescent="0.35">
      <c r="A303" s="1" t="s">
        <v>506</v>
      </c>
      <c r="B303" s="1" t="s">
        <v>693</v>
      </c>
      <c r="C303" s="1" t="s">
        <v>934</v>
      </c>
      <c r="D303" s="1" t="str">
        <f>"8430"</f>
        <v>8430</v>
      </c>
      <c r="E303" s="1" t="str">
        <f>"015404011"</f>
        <v>015404011</v>
      </c>
      <c r="F303" s="1" t="s">
        <v>314</v>
      </c>
      <c r="G303" s="1" t="s">
        <v>311</v>
      </c>
      <c r="H303" s="1" t="str">
        <f>"10"</f>
        <v>10</v>
      </c>
      <c r="I303" s="2" t="str">
        <f>"115"</f>
        <v>115</v>
      </c>
      <c r="J303" s="3">
        <v>46162</v>
      </c>
      <c r="K303" s="1" t="s">
        <v>935</v>
      </c>
    </row>
    <row r="304" spans="1:11" x14ac:dyDescent="0.35">
      <c r="A304" s="1" t="s">
        <v>506</v>
      </c>
      <c r="B304" s="1" t="s">
        <v>693</v>
      </c>
      <c r="C304" s="1" t="s">
        <v>936</v>
      </c>
      <c r="D304" s="1" t="str">
        <f>"8430"</f>
        <v>8430</v>
      </c>
      <c r="E304" s="1" t="str">
        <f>"015404007"</f>
        <v>015404007</v>
      </c>
      <c r="F304" s="1" t="s">
        <v>314</v>
      </c>
      <c r="G304" s="1" t="s">
        <v>311</v>
      </c>
      <c r="H304" s="1" t="str">
        <f>"10"</f>
        <v>10</v>
      </c>
      <c r="I304" s="2" t="str">
        <f>"115"</f>
        <v>115</v>
      </c>
      <c r="J304" s="3">
        <v>46162</v>
      </c>
      <c r="K304" s="1" t="s">
        <v>937</v>
      </c>
    </row>
    <row r="305" spans="1:11" x14ac:dyDescent="0.35">
      <c r="A305" s="1" t="s">
        <v>506</v>
      </c>
      <c r="B305" s="1" t="s">
        <v>518</v>
      </c>
      <c r="C305" s="1" t="s">
        <v>525</v>
      </c>
      <c r="D305" s="1" t="str">
        <f>"8430"</f>
        <v>8430</v>
      </c>
      <c r="E305" s="1" t="str">
        <f>"013256549"</f>
        <v>013256549</v>
      </c>
      <c r="F305" s="1" t="s">
        <v>526</v>
      </c>
      <c r="G305" s="1" t="s">
        <v>311</v>
      </c>
      <c r="H305" s="1" t="str">
        <f>"42"</f>
        <v>42</v>
      </c>
      <c r="I305" s="2">
        <v>251.06</v>
      </c>
      <c r="J305" s="3">
        <v>46169</v>
      </c>
      <c r="K305" s="1" t="s">
        <v>527</v>
      </c>
    </row>
    <row r="306" spans="1:11" x14ac:dyDescent="0.35">
      <c r="A306" s="1" t="s">
        <v>506</v>
      </c>
      <c r="B306" s="1" t="s">
        <v>518</v>
      </c>
      <c r="C306" s="1" t="s">
        <v>528</v>
      </c>
      <c r="D306" s="1" t="str">
        <f>"8465"</f>
        <v>8465</v>
      </c>
      <c r="E306" s="1" t="str">
        <f>"015245250"</f>
        <v>015245250</v>
      </c>
      <c r="F306" s="1" t="s">
        <v>529</v>
      </c>
      <c r="G306" s="1" t="s">
        <v>16</v>
      </c>
      <c r="H306" s="1" t="str">
        <f>"22"</f>
        <v>22</v>
      </c>
      <c r="I306" s="2">
        <v>75.150000000000006</v>
      </c>
      <c r="J306" s="3">
        <v>46169</v>
      </c>
      <c r="K306" s="1" t="s">
        <v>530</v>
      </c>
    </row>
    <row r="307" spans="1:11" x14ac:dyDescent="0.35">
      <c r="A307" s="1" t="s">
        <v>506</v>
      </c>
      <c r="B307" s="1" t="s">
        <v>538</v>
      </c>
      <c r="C307" s="1" t="s">
        <v>552</v>
      </c>
      <c r="D307" s="1" t="str">
        <f>"4020"</f>
        <v>4020</v>
      </c>
      <c r="E307" s="1" t="s">
        <v>553</v>
      </c>
      <c r="F307" s="1" t="s">
        <v>554</v>
      </c>
      <c r="G307" s="1" t="s">
        <v>16</v>
      </c>
      <c r="H307" s="1" t="str">
        <f>"125"</f>
        <v>125</v>
      </c>
      <c r="I307" s="2">
        <v>349.95</v>
      </c>
      <c r="J307" s="3">
        <v>46169</v>
      </c>
      <c r="K307" s="1" t="s">
        <v>555</v>
      </c>
    </row>
    <row r="308" spans="1:11" x14ac:dyDescent="0.35">
      <c r="A308" s="1" t="s">
        <v>506</v>
      </c>
      <c r="B308" s="1" t="s">
        <v>538</v>
      </c>
      <c r="C308" s="1" t="s">
        <v>612</v>
      </c>
      <c r="D308" s="1" t="str">
        <f>"8145"</f>
        <v>8145</v>
      </c>
      <c r="E308" s="1" t="str">
        <f>"015678495"</f>
        <v>015678495</v>
      </c>
      <c r="F308" s="1" t="s">
        <v>423</v>
      </c>
      <c r="G308" s="1" t="s">
        <v>16</v>
      </c>
      <c r="H308" s="1" t="str">
        <f>"4"</f>
        <v>4</v>
      </c>
      <c r="I308" s="2">
        <v>100.04</v>
      </c>
      <c r="J308" s="3">
        <v>46169</v>
      </c>
      <c r="K308" s="1" t="s">
        <v>613</v>
      </c>
    </row>
    <row r="309" spans="1:11" x14ac:dyDescent="0.35">
      <c r="A309" s="1" t="s">
        <v>506</v>
      </c>
      <c r="B309" s="1" t="s">
        <v>538</v>
      </c>
      <c r="C309" s="1" t="s">
        <v>646</v>
      </c>
      <c r="D309" s="1" t="str">
        <f>"8465"</f>
        <v>8465</v>
      </c>
      <c r="E309" s="1" t="str">
        <f>"011093369"</f>
        <v>011093369</v>
      </c>
      <c r="F309" s="1" t="s">
        <v>647</v>
      </c>
      <c r="G309" s="1" t="s">
        <v>16</v>
      </c>
      <c r="H309" s="1" t="str">
        <f>"30"</f>
        <v>30</v>
      </c>
      <c r="I309" s="2">
        <v>12.33</v>
      </c>
      <c r="J309" s="3">
        <v>46169</v>
      </c>
      <c r="K309" s="1" t="s">
        <v>648</v>
      </c>
    </row>
    <row r="310" spans="1:11" x14ac:dyDescent="0.35">
      <c r="A310" s="1" t="s">
        <v>506</v>
      </c>
      <c r="B310" s="1" t="s">
        <v>538</v>
      </c>
      <c r="C310" s="1" t="s">
        <v>659</v>
      </c>
      <c r="D310" s="1" t="str">
        <f>"8465"</f>
        <v>8465</v>
      </c>
      <c r="E310" s="1" t="str">
        <f>"016046541"</f>
        <v>016046541</v>
      </c>
      <c r="F310" s="1" t="s">
        <v>660</v>
      </c>
      <c r="G310" s="1" t="s">
        <v>16</v>
      </c>
      <c r="H310" s="1" t="str">
        <f>"60"</f>
        <v>60</v>
      </c>
      <c r="I310" s="2">
        <v>40.270000000000003</v>
      </c>
      <c r="J310" s="3">
        <v>46169</v>
      </c>
      <c r="K310" s="1" t="s">
        <v>661</v>
      </c>
    </row>
    <row r="311" spans="1:11" x14ac:dyDescent="0.35">
      <c r="A311" s="1" t="s">
        <v>506</v>
      </c>
      <c r="B311" s="1" t="s">
        <v>693</v>
      </c>
      <c r="C311" s="1" t="s">
        <v>694</v>
      </c>
      <c r="D311" s="1" t="str">
        <f>"2040"</f>
        <v>2040</v>
      </c>
      <c r="E311" s="1" t="str">
        <f>"015797489"</f>
        <v>015797489</v>
      </c>
      <c r="F311" s="1" t="s">
        <v>695</v>
      </c>
      <c r="G311" s="1" t="s">
        <v>16</v>
      </c>
      <c r="H311" s="1" t="str">
        <f>"1"</f>
        <v>1</v>
      </c>
      <c r="I311" s="2">
        <v>42.87</v>
      </c>
      <c r="J311" s="3">
        <v>46169</v>
      </c>
      <c r="K311" s="1" t="s">
        <v>696</v>
      </c>
    </row>
    <row r="312" spans="1:11" x14ac:dyDescent="0.35">
      <c r="A312" s="1" t="s">
        <v>506</v>
      </c>
      <c r="B312" s="1" t="s">
        <v>693</v>
      </c>
      <c r="C312" s="1" t="s">
        <v>705</v>
      </c>
      <c r="D312" s="1" t="str">
        <f>"3940"</f>
        <v>3940</v>
      </c>
      <c r="E312" s="1" t="str">
        <f>"014839005"</f>
        <v>014839005</v>
      </c>
      <c r="F312" s="1" t="s">
        <v>706</v>
      </c>
      <c r="G312" s="1" t="s">
        <v>16</v>
      </c>
      <c r="H312" s="1" t="str">
        <f>"13"</f>
        <v>13</v>
      </c>
      <c r="I312" s="2">
        <v>423.92</v>
      </c>
      <c r="J312" s="3">
        <v>46169</v>
      </c>
      <c r="K312" s="1" t="s">
        <v>707</v>
      </c>
    </row>
    <row r="313" spans="1:11" x14ac:dyDescent="0.35">
      <c r="A313" s="1" t="s">
        <v>506</v>
      </c>
      <c r="B313" s="1" t="s">
        <v>693</v>
      </c>
      <c r="C313" s="1" t="s">
        <v>708</v>
      </c>
      <c r="D313" s="1" t="str">
        <f>"4110"</f>
        <v>4110</v>
      </c>
      <c r="E313" s="1" t="s">
        <v>709</v>
      </c>
      <c r="F313" s="1" t="s">
        <v>710</v>
      </c>
      <c r="G313" s="1" t="s">
        <v>16</v>
      </c>
      <c r="H313" s="1" t="str">
        <f>"1"</f>
        <v>1</v>
      </c>
      <c r="I313" s="2" t="str">
        <f>"450"</f>
        <v>450</v>
      </c>
      <c r="J313" s="3">
        <v>46169</v>
      </c>
      <c r="K313" s="1" t="s">
        <v>711</v>
      </c>
    </row>
    <row r="314" spans="1:11" x14ac:dyDescent="0.35">
      <c r="A314" s="1" t="s">
        <v>506</v>
      </c>
      <c r="B314" s="1" t="s">
        <v>693</v>
      </c>
      <c r="C314" s="1" t="s">
        <v>712</v>
      </c>
      <c r="D314" s="1" t="str">
        <f>"4210"</f>
        <v>4210</v>
      </c>
      <c r="E314" s="1" t="str">
        <f>"015456886"</f>
        <v>015456886</v>
      </c>
      <c r="F314" s="1" t="s">
        <v>713</v>
      </c>
      <c r="G314" s="1" t="s">
        <v>311</v>
      </c>
      <c r="H314" s="1" t="str">
        <f>"5"</f>
        <v>5</v>
      </c>
      <c r="I314" s="2">
        <v>154.19999999999999</v>
      </c>
      <c r="J314" s="3">
        <v>46169</v>
      </c>
      <c r="K314" s="1" t="s">
        <v>714</v>
      </c>
    </row>
    <row r="315" spans="1:11" x14ac:dyDescent="0.35">
      <c r="A315" s="1" t="s">
        <v>506</v>
      </c>
      <c r="B315" s="1" t="s">
        <v>693</v>
      </c>
      <c r="C315" s="1" t="s">
        <v>715</v>
      </c>
      <c r="D315" s="1" t="str">
        <f>"4220"</f>
        <v>4220</v>
      </c>
      <c r="E315" s="1" t="str">
        <f>"014873619"</f>
        <v>014873619</v>
      </c>
      <c r="F315" s="1" t="s">
        <v>716</v>
      </c>
      <c r="G315" s="1" t="s">
        <v>16</v>
      </c>
      <c r="H315" s="1" t="str">
        <f>"100"</f>
        <v>100</v>
      </c>
      <c r="I315" s="2">
        <v>233.8</v>
      </c>
      <c r="J315" s="3">
        <v>46169</v>
      </c>
      <c r="K315" s="1" t="s">
        <v>717</v>
      </c>
    </row>
    <row r="316" spans="1:11" x14ac:dyDescent="0.35">
      <c r="A316" s="1" t="s">
        <v>506</v>
      </c>
      <c r="B316" s="1" t="s">
        <v>693</v>
      </c>
      <c r="C316" s="1" t="s">
        <v>718</v>
      </c>
      <c r="D316" s="1" t="str">
        <f>"4220"</f>
        <v>4220</v>
      </c>
      <c r="E316" s="1" t="str">
        <f>"016867211"</f>
        <v>016867211</v>
      </c>
      <c r="F316" s="1" t="s">
        <v>719</v>
      </c>
      <c r="G316" s="1" t="s">
        <v>16</v>
      </c>
      <c r="H316" s="1" t="str">
        <f>"9"</f>
        <v>9</v>
      </c>
      <c r="I316" s="2">
        <v>506.17</v>
      </c>
      <c r="J316" s="3">
        <v>46169</v>
      </c>
      <c r="K316" s="1" t="s">
        <v>720</v>
      </c>
    </row>
    <row r="317" spans="1:11" x14ac:dyDescent="0.35">
      <c r="A317" s="1" t="s">
        <v>506</v>
      </c>
      <c r="B317" s="1" t="s">
        <v>693</v>
      </c>
      <c r="C317" s="1" t="s">
        <v>721</v>
      </c>
      <c r="D317" s="1" t="str">
        <f>"4240"</f>
        <v>4240</v>
      </c>
      <c r="E317" s="1" t="str">
        <f>"013013200"</f>
        <v>013013200</v>
      </c>
      <c r="F317" s="1" t="s">
        <v>722</v>
      </c>
      <c r="G317" s="1" t="s">
        <v>16</v>
      </c>
      <c r="H317" s="1" t="str">
        <f>"14"</f>
        <v>14</v>
      </c>
      <c r="I317" s="2">
        <v>499.81</v>
      </c>
      <c r="J317" s="3">
        <v>46169</v>
      </c>
      <c r="K317" s="1" t="s">
        <v>723</v>
      </c>
    </row>
    <row r="318" spans="1:11" x14ac:dyDescent="0.35">
      <c r="A318" s="1" t="s">
        <v>506</v>
      </c>
      <c r="B318" s="1" t="s">
        <v>693</v>
      </c>
      <c r="C318" s="1" t="s">
        <v>735</v>
      </c>
      <c r="D318" s="1" t="str">
        <f>"5120"</f>
        <v>5120</v>
      </c>
      <c r="E318" s="1" t="str">
        <f>"014168568"</f>
        <v>014168568</v>
      </c>
      <c r="F318" s="1" t="s">
        <v>736</v>
      </c>
      <c r="G318" s="1" t="s">
        <v>458</v>
      </c>
      <c r="H318" s="1" t="str">
        <f>"2"</f>
        <v>2</v>
      </c>
      <c r="I318" s="2">
        <v>218.76</v>
      </c>
      <c r="J318" s="3">
        <v>46169</v>
      </c>
      <c r="K318" s="1" t="s">
        <v>737</v>
      </c>
    </row>
    <row r="319" spans="1:11" x14ac:dyDescent="0.35">
      <c r="A319" s="1" t="s">
        <v>506</v>
      </c>
      <c r="B319" s="1" t="s">
        <v>693</v>
      </c>
      <c r="C319" s="1" t="s">
        <v>738</v>
      </c>
      <c r="D319" s="1" t="str">
        <f>"5120"</f>
        <v>5120</v>
      </c>
      <c r="E319" s="1" t="str">
        <f>"013351572"</f>
        <v>013351572</v>
      </c>
      <c r="F319" s="1" t="s">
        <v>739</v>
      </c>
      <c r="G319" s="1" t="s">
        <v>16</v>
      </c>
      <c r="H319" s="1" t="str">
        <f>"2"</f>
        <v>2</v>
      </c>
      <c r="I319" s="2">
        <v>6.97</v>
      </c>
      <c r="J319" s="3">
        <v>46169</v>
      </c>
      <c r="K319" s="1" t="s">
        <v>740</v>
      </c>
    </row>
    <row r="320" spans="1:11" x14ac:dyDescent="0.35">
      <c r="A320" s="1" t="s">
        <v>506</v>
      </c>
      <c r="B320" s="1" t="s">
        <v>693</v>
      </c>
      <c r="C320" s="1" t="s">
        <v>741</v>
      </c>
      <c r="D320" s="1" t="str">
        <f>"5120"</f>
        <v>5120</v>
      </c>
      <c r="E320" s="1" t="str">
        <f>"014168568"</f>
        <v>014168568</v>
      </c>
      <c r="F320" s="1" t="s">
        <v>736</v>
      </c>
      <c r="G320" s="1" t="s">
        <v>458</v>
      </c>
      <c r="H320" s="1" t="str">
        <f>"2"</f>
        <v>2</v>
      </c>
      <c r="I320" s="2">
        <v>218.76</v>
      </c>
      <c r="J320" s="3">
        <v>46169</v>
      </c>
      <c r="K320" s="1" t="s">
        <v>742</v>
      </c>
    </row>
    <row r="321" spans="1:11" x14ac:dyDescent="0.35">
      <c r="A321" s="1" t="s">
        <v>506</v>
      </c>
      <c r="B321" s="1" t="s">
        <v>693</v>
      </c>
      <c r="C321" s="1" t="s">
        <v>749</v>
      </c>
      <c r="D321" s="1" t="str">
        <f>"5133"</f>
        <v>5133</v>
      </c>
      <c r="E321" s="1" t="str">
        <f>"014744980"</f>
        <v>014744980</v>
      </c>
      <c r="F321" s="1" t="s">
        <v>750</v>
      </c>
      <c r="G321" s="1" t="s">
        <v>458</v>
      </c>
      <c r="H321" s="1" t="str">
        <f>"2"</f>
        <v>2</v>
      </c>
      <c r="I321" s="2">
        <v>106.54</v>
      </c>
      <c r="J321" s="3">
        <v>46169</v>
      </c>
      <c r="K321" s="1" t="s">
        <v>751</v>
      </c>
    </row>
    <row r="322" spans="1:11" x14ac:dyDescent="0.35">
      <c r="A322" s="1" t="s">
        <v>506</v>
      </c>
      <c r="B322" s="1" t="s">
        <v>693</v>
      </c>
      <c r="C322" s="1" t="s">
        <v>756</v>
      </c>
      <c r="D322" s="1" t="str">
        <f>"5133"</f>
        <v>5133</v>
      </c>
      <c r="E322" s="1" t="str">
        <f>"014744981"</f>
        <v>014744981</v>
      </c>
      <c r="F322" s="1" t="s">
        <v>750</v>
      </c>
      <c r="G322" s="1" t="s">
        <v>458</v>
      </c>
      <c r="H322" s="1" t="str">
        <f>"2"</f>
        <v>2</v>
      </c>
      <c r="I322" s="2" t="str">
        <f>"57"</f>
        <v>57</v>
      </c>
      <c r="J322" s="3">
        <v>46169</v>
      </c>
      <c r="K322" s="1" t="s">
        <v>751</v>
      </c>
    </row>
    <row r="323" spans="1:11" x14ac:dyDescent="0.35">
      <c r="A323" s="1" t="s">
        <v>506</v>
      </c>
      <c r="B323" s="1" t="s">
        <v>693</v>
      </c>
      <c r="C323" s="1" t="s">
        <v>760</v>
      </c>
      <c r="D323" s="1" t="str">
        <f>"5140"</f>
        <v>5140</v>
      </c>
      <c r="E323" s="1" t="s">
        <v>761</v>
      </c>
      <c r="F323" s="1" t="s">
        <v>762</v>
      </c>
      <c r="G323" s="1" t="s">
        <v>16</v>
      </c>
      <c r="H323" s="1" t="str">
        <f>"1"</f>
        <v>1</v>
      </c>
      <c r="I323" s="2" t="str">
        <f>"379"</f>
        <v>379</v>
      </c>
      <c r="J323" s="3">
        <v>46169</v>
      </c>
      <c r="K323" s="1" t="s">
        <v>763</v>
      </c>
    </row>
    <row r="324" spans="1:11" x14ac:dyDescent="0.35">
      <c r="A324" s="1" t="s">
        <v>506</v>
      </c>
      <c r="B324" s="1" t="s">
        <v>693</v>
      </c>
      <c r="C324" s="1" t="s">
        <v>764</v>
      </c>
      <c r="D324" s="1" t="str">
        <f>"5140"</f>
        <v>5140</v>
      </c>
      <c r="E324" s="1" t="s">
        <v>761</v>
      </c>
      <c r="F324" s="1" t="s">
        <v>762</v>
      </c>
      <c r="G324" s="1" t="s">
        <v>16</v>
      </c>
      <c r="H324" s="1" t="str">
        <f>"1"</f>
        <v>1</v>
      </c>
      <c r="I324" s="2" t="str">
        <f>"305"</f>
        <v>305</v>
      </c>
      <c r="J324" s="3">
        <v>46169</v>
      </c>
      <c r="K324" s="1" t="s">
        <v>763</v>
      </c>
    </row>
    <row r="325" spans="1:11" x14ac:dyDescent="0.35">
      <c r="A325" s="1" t="s">
        <v>506</v>
      </c>
      <c r="B325" s="1" t="s">
        <v>693</v>
      </c>
      <c r="C325" s="1" t="s">
        <v>765</v>
      </c>
      <c r="D325" s="1" t="str">
        <f>"5140"</f>
        <v>5140</v>
      </c>
      <c r="E325" s="1" t="s">
        <v>761</v>
      </c>
      <c r="F325" s="1" t="s">
        <v>762</v>
      </c>
      <c r="G325" s="1" t="s">
        <v>16</v>
      </c>
      <c r="H325" s="1" t="str">
        <f>"1"</f>
        <v>1</v>
      </c>
      <c r="I325" s="2" t="str">
        <f>"451"</f>
        <v>451</v>
      </c>
      <c r="J325" s="3">
        <v>46169</v>
      </c>
      <c r="K325" s="1" t="s">
        <v>763</v>
      </c>
    </row>
    <row r="326" spans="1:11" x14ac:dyDescent="0.35">
      <c r="A326" s="1" t="s">
        <v>506</v>
      </c>
      <c r="B326" s="1" t="s">
        <v>693</v>
      </c>
      <c r="C326" s="1" t="s">
        <v>766</v>
      </c>
      <c r="D326" s="1" t="str">
        <f>"5140"</f>
        <v>5140</v>
      </c>
      <c r="E326" s="1" t="s">
        <v>761</v>
      </c>
      <c r="F326" s="1" t="s">
        <v>762</v>
      </c>
      <c r="G326" s="1" t="s">
        <v>16</v>
      </c>
      <c r="H326" s="1" t="str">
        <f>"1"</f>
        <v>1</v>
      </c>
      <c r="I326" s="2">
        <v>524.5</v>
      </c>
      <c r="J326" s="3">
        <v>46169</v>
      </c>
      <c r="K326" s="1" t="s">
        <v>763</v>
      </c>
    </row>
    <row r="327" spans="1:11" x14ac:dyDescent="0.35">
      <c r="A327" s="1" t="s">
        <v>506</v>
      </c>
      <c r="B327" s="1" t="s">
        <v>693</v>
      </c>
      <c r="C327" s="1" t="s">
        <v>767</v>
      </c>
      <c r="D327" s="1" t="str">
        <f>"5140"</f>
        <v>5140</v>
      </c>
      <c r="E327" s="1" t="s">
        <v>761</v>
      </c>
      <c r="F327" s="1" t="s">
        <v>762</v>
      </c>
      <c r="G327" s="1" t="s">
        <v>16</v>
      </c>
      <c r="H327" s="1" t="str">
        <f>"1"</f>
        <v>1</v>
      </c>
      <c r="I327" s="2" t="str">
        <f>"863"</f>
        <v>863</v>
      </c>
      <c r="J327" s="3">
        <v>46169</v>
      </c>
      <c r="K327" s="1" t="s">
        <v>763</v>
      </c>
    </row>
    <row r="328" spans="1:11" x14ac:dyDescent="0.35">
      <c r="A328" s="1" t="s">
        <v>506</v>
      </c>
      <c r="B328" s="1" t="s">
        <v>693</v>
      </c>
      <c r="C328" s="1" t="s">
        <v>768</v>
      </c>
      <c r="D328" s="1" t="str">
        <f>"5140"</f>
        <v>5140</v>
      </c>
      <c r="E328" s="1" t="s">
        <v>761</v>
      </c>
      <c r="F328" s="1" t="s">
        <v>762</v>
      </c>
      <c r="G328" s="1" t="s">
        <v>16</v>
      </c>
      <c r="H328" s="1" t="str">
        <f>"1"</f>
        <v>1</v>
      </c>
      <c r="I328" s="2" t="str">
        <f>"524"</f>
        <v>524</v>
      </c>
      <c r="J328" s="3">
        <v>46169</v>
      </c>
      <c r="K328" s="1" t="s">
        <v>763</v>
      </c>
    </row>
    <row r="329" spans="1:11" x14ac:dyDescent="0.35">
      <c r="A329" s="1" t="s">
        <v>506</v>
      </c>
      <c r="B329" s="1" t="s">
        <v>693</v>
      </c>
      <c r="C329" s="1" t="s">
        <v>769</v>
      </c>
      <c r="D329" s="1" t="str">
        <f>"5140"</f>
        <v>5140</v>
      </c>
      <c r="E329" s="1" t="s">
        <v>761</v>
      </c>
      <c r="F329" s="1" t="s">
        <v>762</v>
      </c>
      <c r="G329" s="1" t="s">
        <v>16</v>
      </c>
      <c r="H329" s="1" t="str">
        <f>"1"</f>
        <v>1</v>
      </c>
      <c r="I329" s="2">
        <v>229.99</v>
      </c>
      <c r="J329" s="3">
        <v>46169</v>
      </c>
      <c r="K329" s="1" t="s">
        <v>763</v>
      </c>
    </row>
    <row r="330" spans="1:11" x14ac:dyDescent="0.35">
      <c r="A330" s="1" t="s">
        <v>506</v>
      </c>
      <c r="B330" s="1" t="s">
        <v>693</v>
      </c>
      <c r="C330" s="1" t="s">
        <v>770</v>
      </c>
      <c r="D330" s="1" t="str">
        <f>"5140"</f>
        <v>5140</v>
      </c>
      <c r="E330" s="1" t="s">
        <v>761</v>
      </c>
      <c r="F330" s="1" t="s">
        <v>762</v>
      </c>
      <c r="G330" s="1" t="s">
        <v>16</v>
      </c>
      <c r="H330" s="1" t="str">
        <f>"1"</f>
        <v>1</v>
      </c>
      <c r="I330" s="2">
        <v>229.99</v>
      </c>
      <c r="J330" s="3">
        <v>46169</v>
      </c>
      <c r="K330" s="1" t="s">
        <v>763</v>
      </c>
    </row>
    <row r="331" spans="1:11" x14ac:dyDescent="0.35">
      <c r="A331" s="1" t="s">
        <v>506</v>
      </c>
      <c r="B331" s="1" t="s">
        <v>693</v>
      </c>
      <c r="C331" s="1" t="s">
        <v>771</v>
      </c>
      <c r="D331" s="1" t="str">
        <f>"5140"</f>
        <v>5140</v>
      </c>
      <c r="E331" s="1" t="s">
        <v>761</v>
      </c>
      <c r="F331" s="1" t="s">
        <v>762</v>
      </c>
      <c r="G331" s="1" t="s">
        <v>16</v>
      </c>
      <c r="H331" s="1" t="str">
        <f>"1"</f>
        <v>1</v>
      </c>
      <c r="I331" s="2">
        <v>199.99</v>
      </c>
      <c r="J331" s="3">
        <v>46169</v>
      </c>
      <c r="K331" s="1" t="s">
        <v>772</v>
      </c>
    </row>
    <row r="332" spans="1:11" x14ac:dyDescent="0.35">
      <c r="A332" s="1" t="s">
        <v>506</v>
      </c>
      <c r="B332" s="1" t="s">
        <v>693</v>
      </c>
      <c r="C332" s="1" t="s">
        <v>773</v>
      </c>
      <c r="D332" s="1" t="str">
        <f>"5140"</f>
        <v>5140</v>
      </c>
      <c r="E332" s="1" t="s">
        <v>761</v>
      </c>
      <c r="F332" s="1" t="s">
        <v>762</v>
      </c>
      <c r="G332" s="1" t="s">
        <v>16</v>
      </c>
      <c r="H332" s="1" t="str">
        <f>"1"</f>
        <v>1</v>
      </c>
      <c r="I332" s="2" t="str">
        <f>"189"</f>
        <v>189</v>
      </c>
      <c r="J332" s="3">
        <v>46169</v>
      </c>
      <c r="K332" s="1" t="s">
        <v>772</v>
      </c>
    </row>
    <row r="333" spans="1:11" x14ac:dyDescent="0.35">
      <c r="A333" s="1" t="s">
        <v>506</v>
      </c>
      <c r="B333" s="1" t="s">
        <v>693</v>
      </c>
      <c r="C333" s="1" t="s">
        <v>774</v>
      </c>
      <c r="D333" s="1" t="str">
        <f>"5140"</f>
        <v>5140</v>
      </c>
      <c r="E333" s="1" t="s">
        <v>761</v>
      </c>
      <c r="F333" s="1" t="s">
        <v>762</v>
      </c>
      <c r="G333" s="1" t="s">
        <v>16</v>
      </c>
      <c r="H333" s="1" t="str">
        <f>"1"</f>
        <v>1</v>
      </c>
      <c r="I333" s="2" t="str">
        <f>"319"</f>
        <v>319</v>
      </c>
      <c r="J333" s="3">
        <v>46169</v>
      </c>
      <c r="K333" s="1" t="s">
        <v>763</v>
      </c>
    </row>
    <row r="334" spans="1:11" x14ac:dyDescent="0.35">
      <c r="A334" s="1" t="s">
        <v>506</v>
      </c>
      <c r="B334" s="1" t="s">
        <v>693</v>
      </c>
      <c r="C334" s="1" t="s">
        <v>775</v>
      </c>
      <c r="D334" s="1" t="str">
        <f>"5140"</f>
        <v>5140</v>
      </c>
      <c r="E334" s="1" t="s">
        <v>761</v>
      </c>
      <c r="F334" s="1" t="s">
        <v>762</v>
      </c>
      <c r="G334" s="1" t="s">
        <v>16</v>
      </c>
      <c r="H334" s="1" t="str">
        <f>"1"</f>
        <v>1</v>
      </c>
      <c r="I334" s="2" t="str">
        <f>"239"</f>
        <v>239</v>
      </c>
      <c r="J334" s="3">
        <v>46169</v>
      </c>
      <c r="K334" s="1" t="s">
        <v>772</v>
      </c>
    </row>
    <row r="335" spans="1:11" x14ac:dyDescent="0.35">
      <c r="A335" s="1" t="s">
        <v>506</v>
      </c>
      <c r="B335" s="1" t="s">
        <v>693</v>
      </c>
      <c r="C335" s="1" t="s">
        <v>776</v>
      </c>
      <c r="D335" s="1" t="str">
        <f>"5140"</f>
        <v>5140</v>
      </c>
      <c r="E335" s="1" t="s">
        <v>761</v>
      </c>
      <c r="F335" s="1" t="s">
        <v>762</v>
      </c>
      <c r="G335" s="1" t="s">
        <v>16</v>
      </c>
      <c r="H335" s="1" t="str">
        <f>"1"</f>
        <v>1</v>
      </c>
      <c r="I335" s="2" t="str">
        <f>"382"</f>
        <v>382</v>
      </c>
      <c r="J335" s="3">
        <v>46169</v>
      </c>
      <c r="K335" s="1" t="s">
        <v>772</v>
      </c>
    </row>
    <row r="336" spans="1:11" x14ac:dyDescent="0.35">
      <c r="A336" s="1" t="s">
        <v>506</v>
      </c>
      <c r="B336" s="1" t="s">
        <v>693</v>
      </c>
      <c r="C336" s="1" t="s">
        <v>777</v>
      </c>
      <c r="D336" s="1" t="str">
        <f>"5140"</f>
        <v>5140</v>
      </c>
      <c r="E336" s="1" t="s">
        <v>761</v>
      </c>
      <c r="F336" s="1" t="s">
        <v>762</v>
      </c>
      <c r="G336" s="1" t="s">
        <v>16</v>
      </c>
      <c r="H336" s="1" t="str">
        <f>"1"</f>
        <v>1</v>
      </c>
      <c r="I336" s="2">
        <v>239.99</v>
      </c>
      <c r="J336" s="3">
        <v>46169</v>
      </c>
      <c r="K336" s="1" t="s">
        <v>772</v>
      </c>
    </row>
    <row r="337" spans="1:11" x14ac:dyDescent="0.35">
      <c r="A337" s="1" t="s">
        <v>506</v>
      </c>
      <c r="B337" s="1" t="s">
        <v>693</v>
      </c>
      <c r="C337" s="1" t="s">
        <v>778</v>
      </c>
      <c r="D337" s="1" t="str">
        <f>"5140"</f>
        <v>5140</v>
      </c>
      <c r="E337" s="1" t="s">
        <v>761</v>
      </c>
      <c r="F337" s="1" t="s">
        <v>762</v>
      </c>
      <c r="G337" s="1" t="s">
        <v>16</v>
      </c>
      <c r="H337" s="1" t="str">
        <f>"1"</f>
        <v>1</v>
      </c>
      <c r="I337" s="2">
        <v>109.99</v>
      </c>
      <c r="J337" s="3">
        <v>46169</v>
      </c>
      <c r="K337" s="1" t="s">
        <v>772</v>
      </c>
    </row>
    <row r="338" spans="1:11" x14ac:dyDescent="0.35">
      <c r="A338" s="1" t="s">
        <v>506</v>
      </c>
      <c r="B338" s="1" t="s">
        <v>693</v>
      </c>
      <c r="C338" s="1" t="s">
        <v>784</v>
      </c>
      <c r="D338" s="1" t="str">
        <f>"5180"</f>
        <v>5180</v>
      </c>
      <c r="E338" s="1" t="str">
        <f>"011950855"</f>
        <v>011950855</v>
      </c>
      <c r="F338" s="1" t="s">
        <v>785</v>
      </c>
      <c r="G338" s="1" t="s">
        <v>215</v>
      </c>
      <c r="H338" s="1" t="str">
        <f>"3"</f>
        <v>3</v>
      </c>
      <c r="I338" s="2">
        <v>1813.5</v>
      </c>
      <c r="J338" s="3">
        <v>46169</v>
      </c>
      <c r="K338" s="1" t="s">
        <v>786</v>
      </c>
    </row>
    <row r="339" spans="1:11" x14ac:dyDescent="0.35">
      <c r="A339" s="1" t="s">
        <v>506</v>
      </c>
      <c r="B339" s="1" t="s">
        <v>693</v>
      </c>
      <c r="C339" s="1" t="s">
        <v>788</v>
      </c>
      <c r="D339" s="1" t="str">
        <f>"5180"</f>
        <v>5180</v>
      </c>
      <c r="E339" s="1" t="str">
        <f>"011950855"</f>
        <v>011950855</v>
      </c>
      <c r="F339" s="1" t="s">
        <v>785</v>
      </c>
      <c r="G339" s="1" t="s">
        <v>215</v>
      </c>
      <c r="H339" s="1" t="str">
        <f>"1"</f>
        <v>1</v>
      </c>
      <c r="I339" s="2">
        <v>1813.5</v>
      </c>
      <c r="J339" s="3">
        <v>46169</v>
      </c>
      <c r="K339" s="1" t="s">
        <v>789</v>
      </c>
    </row>
    <row r="340" spans="1:11" x14ac:dyDescent="0.35">
      <c r="A340" s="1" t="s">
        <v>506</v>
      </c>
      <c r="B340" s="1" t="s">
        <v>693</v>
      </c>
      <c r="C340" s="1" t="s">
        <v>796</v>
      </c>
      <c r="D340" s="1" t="str">
        <f>"5180"</f>
        <v>5180</v>
      </c>
      <c r="E340" s="1" t="str">
        <f>"005961539"</f>
        <v>005961539</v>
      </c>
      <c r="F340" s="1" t="s">
        <v>475</v>
      </c>
      <c r="G340" s="1" t="s">
        <v>215</v>
      </c>
      <c r="H340" s="1" t="str">
        <f>"1"</f>
        <v>1</v>
      </c>
      <c r="I340" s="2" t="str">
        <f>"5106"</f>
        <v>5106</v>
      </c>
      <c r="J340" s="3">
        <v>46169</v>
      </c>
      <c r="K340" s="1" t="s">
        <v>797</v>
      </c>
    </row>
    <row r="341" spans="1:11" x14ac:dyDescent="0.35">
      <c r="A341" s="1" t="s">
        <v>506</v>
      </c>
      <c r="B341" s="1" t="s">
        <v>693</v>
      </c>
      <c r="C341" s="1" t="s">
        <v>821</v>
      </c>
      <c r="D341" s="1" t="str">
        <f>"6145"</f>
        <v>6145</v>
      </c>
      <c r="E341" s="1" t="str">
        <f>"001178858"</f>
        <v>001178858</v>
      </c>
      <c r="F341" s="1" t="s">
        <v>818</v>
      </c>
      <c r="G341" s="1" t="s">
        <v>819</v>
      </c>
      <c r="H341" s="1" t="str">
        <f>"202"</f>
        <v>202</v>
      </c>
      <c r="I341" s="2">
        <v>2.2999999999999998</v>
      </c>
      <c r="J341" s="3">
        <v>46169</v>
      </c>
      <c r="K341" s="1" t="s">
        <v>822</v>
      </c>
    </row>
    <row r="342" spans="1:11" x14ac:dyDescent="0.35">
      <c r="A342" s="1" t="s">
        <v>506</v>
      </c>
      <c r="B342" s="1" t="s">
        <v>693</v>
      </c>
      <c r="C342" s="1" t="s">
        <v>823</v>
      </c>
      <c r="D342" s="1" t="str">
        <f>"6145"</f>
        <v>6145</v>
      </c>
      <c r="E342" s="1" t="str">
        <f>"001128627"</f>
        <v>001128627</v>
      </c>
      <c r="F342" s="1" t="s">
        <v>818</v>
      </c>
      <c r="G342" s="1" t="s">
        <v>819</v>
      </c>
      <c r="H342" s="1" t="str">
        <f>"250"</f>
        <v>250</v>
      </c>
      <c r="I342" s="2">
        <v>0.67</v>
      </c>
      <c r="J342" s="3">
        <v>46169</v>
      </c>
      <c r="K342" s="1" t="s">
        <v>824</v>
      </c>
    </row>
    <row r="343" spans="1:11" x14ac:dyDescent="0.35">
      <c r="A343" s="1" t="s">
        <v>506</v>
      </c>
      <c r="B343" s="1" t="s">
        <v>693</v>
      </c>
      <c r="C343" s="1" t="s">
        <v>832</v>
      </c>
      <c r="D343" s="1" t="str">
        <f>"6510"</f>
        <v>6510</v>
      </c>
      <c r="E343" s="1" t="str">
        <f>"015032117"</f>
        <v>015032117</v>
      </c>
      <c r="F343" s="1" t="s">
        <v>833</v>
      </c>
      <c r="G343" s="1" t="s">
        <v>815</v>
      </c>
      <c r="H343" s="1" t="str">
        <f>"100"</f>
        <v>100</v>
      </c>
      <c r="I343" s="2">
        <v>2.99</v>
      </c>
      <c r="J343" s="3">
        <v>46169</v>
      </c>
      <c r="K343" s="1" t="s">
        <v>834</v>
      </c>
    </row>
    <row r="344" spans="1:11" x14ac:dyDescent="0.35">
      <c r="A344" s="1" t="s">
        <v>506</v>
      </c>
      <c r="B344" s="1" t="s">
        <v>693</v>
      </c>
      <c r="C344" s="1" t="s">
        <v>942</v>
      </c>
      <c r="D344" s="1" t="str">
        <f>"8440"</f>
        <v>8440</v>
      </c>
      <c r="E344" s="1" t="str">
        <f>"015770406"</f>
        <v>015770406</v>
      </c>
      <c r="F344" s="1" t="s">
        <v>939</v>
      </c>
      <c r="G344" s="1" t="s">
        <v>311</v>
      </c>
      <c r="H344" s="1" t="str">
        <f>"60"</f>
        <v>60</v>
      </c>
      <c r="I344" s="2">
        <v>2.38</v>
      </c>
      <c r="J344" s="3">
        <v>46169</v>
      </c>
      <c r="K344" s="1" t="s">
        <v>943</v>
      </c>
    </row>
    <row r="345" spans="1:11" x14ac:dyDescent="0.35">
      <c r="A345" s="1" t="s">
        <v>506</v>
      </c>
      <c r="B345" s="1" t="s">
        <v>693</v>
      </c>
      <c r="C345" s="1" t="s">
        <v>798</v>
      </c>
      <c r="D345" s="1" t="str">
        <f>"5340"</f>
        <v>5340</v>
      </c>
      <c r="E345" s="1" t="str">
        <f>"015282380"</f>
        <v>015282380</v>
      </c>
      <c r="F345" s="1" t="s">
        <v>799</v>
      </c>
      <c r="G345" s="1" t="s">
        <v>16</v>
      </c>
      <c r="H345" s="1" t="str">
        <f>"10"</f>
        <v>10</v>
      </c>
      <c r="I345" s="2">
        <v>146.63999999999999</v>
      </c>
      <c r="J345" s="3">
        <v>46176</v>
      </c>
      <c r="K345" s="1" t="s">
        <v>800</v>
      </c>
    </row>
    <row r="346" spans="1:11" x14ac:dyDescent="0.35">
      <c r="A346" s="1" t="s">
        <v>506</v>
      </c>
      <c r="B346" s="1" t="s">
        <v>693</v>
      </c>
      <c r="C346" s="1" t="s">
        <v>835</v>
      </c>
      <c r="D346" s="1" t="str">
        <f>"6510"</f>
        <v>6510</v>
      </c>
      <c r="E346" s="1" t="str">
        <f>"015032117"</f>
        <v>015032117</v>
      </c>
      <c r="F346" s="1" t="s">
        <v>833</v>
      </c>
      <c r="G346" s="1" t="s">
        <v>815</v>
      </c>
      <c r="H346" s="1" t="str">
        <f>"1246"</f>
        <v>1246</v>
      </c>
      <c r="I346" s="2">
        <v>2.99</v>
      </c>
      <c r="J346" s="3">
        <v>46176</v>
      </c>
      <c r="K346" s="1" t="s">
        <v>836</v>
      </c>
    </row>
    <row r="347" spans="1:11" x14ac:dyDescent="0.35">
      <c r="A347" s="1" t="s">
        <v>506</v>
      </c>
      <c r="B347" s="1" t="s">
        <v>538</v>
      </c>
      <c r="C347" s="1" t="s">
        <v>542</v>
      </c>
      <c r="D347" s="1" t="str">
        <f>"2090"</f>
        <v>2090</v>
      </c>
      <c r="E347" s="1" t="str">
        <f>"005919719"</f>
        <v>005919719</v>
      </c>
      <c r="F347" s="1" t="s">
        <v>543</v>
      </c>
      <c r="G347" s="1" t="s">
        <v>16</v>
      </c>
      <c r="H347" s="1" t="str">
        <f>"6"</f>
        <v>6</v>
      </c>
      <c r="I347" s="2">
        <v>1886.35</v>
      </c>
      <c r="J347" s="3">
        <v>46182</v>
      </c>
      <c r="K347" s="1" t="s">
        <v>544</v>
      </c>
    </row>
    <row r="348" spans="1:11" x14ac:dyDescent="0.35">
      <c r="A348" s="1" t="s">
        <v>506</v>
      </c>
      <c r="B348" s="1" t="s">
        <v>538</v>
      </c>
      <c r="C348" s="1" t="s">
        <v>556</v>
      </c>
      <c r="D348" s="1" t="str">
        <f>"4240"</f>
        <v>4240</v>
      </c>
      <c r="E348" s="1" t="str">
        <f>"016306712"</f>
        <v>016306712</v>
      </c>
      <c r="F348" s="1" t="s">
        <v>557</v>
      </c>
      <c r="G348" s="1" t="s">
        <v>16</v>
      </c>
      <c r="H348" s="1" t="str">
        <f>"57"</f>
        <v>57</v>
      </c>
      <c r="I348" s="2">
        <v>68.75</v>
      </c>
      <c r="J348" s="3">
        <v>46182</v>
      </c>
      <c r="K348" s="1" t="s">
        <v>558</v>
      </c>
    </row>
    <row r="349" spans="1:11" x14ac:dyDescent="0.35">
      <c r="A349" s="1" t="s">
        <v>506</v>
      </c>
      <c r="B349" s="1" t="s">
        <v>538</v>
      </c>
      <c r="C349" s="1" t="s">
        <v>559</v>
      </c>
      <c r="D349" s="1" t="str">
        <f>"4240"</f>
        <v>4240</v>
      </c>
      <c r="E349" s="1" t="str">
        <f>"015045727"</f>
        <v>015045727</v>
      </c>
      <c r="F349" s="1" t="s">
        <v>557</v>
      </c>
      <c r="G349" s="1" t="s">
        <v>16</v>
      </c>
      <c r="H349" s="1" t="str">
        <f>"41"</f>
        <v>41</v>
      </c>
      <c r="I349" s="2">
        <v>71.900000000000006</v>
      </c>
      <c r="J349" s="3">
        <v>46182</v>
      </c>
      <c r="K349" s="1" t="s">
        <v>558</v>
      </c>
    </row>
    <row r="350" spans="1:11" x14ac:dyDescent="0.35">
      <c r="A350" s="1" t="s">
        <v>506</v>
      </c>
      <c r="B350" s="1" t="s">
        <v>538</v>
      </c>
      <c r="C350" s="1" t="s">
        <v>560</v>
      </c>
      <c r="D350" s="1" t="str">
        <f>"4240"</f>
        <v>4240</v>
      </c>
      <c r="E350" s="1" t="str">
        <f>"015835742"</f>
        <v>015835742</v>
      </c>
      <c r="F350" s="1" t="s">
        <v>561</v>
      </c>
      <c r="G350" s="1" t="s">
        <v>16</v>
      </c>
      <c r="H350" s="1" t="str">
        <f>"48"</f>
        <v>48</v>
      </c>
      <c r="I350" s="2">
        <v>63.41</v>
      </c>
      <c r="J350" s="3">
        <v>46182</v>
      </c>
      <c r="K350" s="1" t="s">
        <v>558</v>
      </c>
    </row>
    <row r="351" spans="1:11" x14ac:dyDescent="0.35">
      <c r="A351" s="1" t="s">
        <v>506</v>
      </c>
      <c r="B351" s="1" t="s">
        <v>538</v>
      </c>
      <c r="C351" s="1" t="s">
        <v>562</v>
      </c>
      <c r="D351" s="1" t="str">
        <f>"4240"</f>
        <v>4240</v>
      </c>
      <c r="E351" s="1" t="str">
        <f>"016307493"</f>
        <v>016307493</v>
      </c>
      <c r="F351" s="1" t="s">
        <v>561</v>
      </c>
      <c r="G351" s="1" t="s">
        <v>16</v>
      </c>
      <c r="H351" s="1" t="str">
        <f>"200"</f>
        <v>200</v>
      </c>
      <c r="I351" s="2">
        <v>45.58</v>
      </c>
      <c r="J351" s="3">
        <v>46182</v>
      </c>
      <c r="K351" s="1" t="s">
        <v>558</v>
      </c>
    </row>
    <row r="352" spans="1:11" x14ac:dyDescent="0.35">
      <c r="A352" s="1" t="s">
        <v>506</v>
      </c>
      <c r="B352" s="1" t="s">
        <v>538</v>
      </c>
      <c r="C352" s="1" t="s">
        <v>591</v>
      </c>
      <c r="D352" s="1" t="str">
        <f>"5180"</f>
        <v>5180</v>
      </c>
      <c r="E352" s="1" t="str">
        <f>"015508116"</f>
        <v>015508116</v>
      </c>
      <c r="F352" s="1" t="s">
        <v>592</v>
      </c>
      <c r="G352" s="1" t="s">
        <v>215</v>
      </c>
      <c r="H352" s="1" t="str">
        <f>"4"</f>
        <v>4</v>
      </c>
      <c r="I352" s="2" t="str">
        <f>"7075"</f>
        <v>7075</v>
      </c>
      <c r="J352" s="3">
        <v>46182</v>
      </c>
      <c r="K352" s="1" t="s">
        <v>593</v>
      </c>
    </row>
    <row r="353" spans="1:11" x14ac:dyDescent="0.35">
      <c r="A353" s="1" t="s">
        <v>506</v>
      </c>
      <c r="B353" s="1" t="s">
        <v>538</v>
      </c>
      <c r="C353" s="1" t="s">
        <v>625</v>
      </c>
      <c r="D353" s="1" t="str">
        <f>"8420"</f>
        <v>8420</v>
      </c>
      <c r="E353" s="1" t="s">
        <v>622</v>
      </c>
      <c r="F353" s="1" t="s">
        <v>623</v>
      </c>
      <c r="G353" s="1" t="s">
        <v>16</v>
      </c>
      <c r="H353" s="1" t="str">
        <f>"200"</f>
        <v>200</v>
      </c>
      <c r="I353" s="2" t="str">
        <f>"115"</f>
        <v>115</v>
      </c>
      <c r="J353" s="3">
        <v>46182</v>
      </c>
      <c r="K353" s="1" t="s">
        <v>626</v>
      </c>
    </row>
    <row r="354" spans="1:11" x14ac:dyDescent="0.35">
      <c r="A354" s="1" t="s">
        <v>506</v>
      </c>
      <c r="B354" s="1" t="s">
        <v>538</v>
      </c>
      <c r="C354" s="1" t="s">
        <v>627</v>
      </c>
      <c r="D354" s="1" t="str">
        <f>"8420"</f>
        <v>8420</v>
      </c>
      <c r="E354" s="1" t="s">
        <v>622</v>
      </c>
      <c r="F354" s="1" t="s">
        <v>623</v>
      </c>
      <c r="G354" s="1" t="s">
        <v>16</v>
      </c>
      <c r="H354" s="1" t="str">
        <f>"824"</f>
        <v>824</v>
      </c>
      <c r="I354" s="2" t="str">
        <f>"115"</f>
        <v>115</v>
      </c>
      <c r="J354" s="3">
        <v>46182</v>
      </c>
      <c r="K354" s="1" t="s">
        <v>626</v>
      </c>
    </row>
    <row r="355" spans="1:11" x14ac:dyDescent="0.35">
      <c r="A355" s="1" t="s">
        <v>506</v>
      </c>
      <c r="B355" s="1" t="s">
        <v>538</v>
      </c>
      <c r="C355" s="1" t="s">
        <v>628</v>
      </c>
      <c r="D355" s="1" t="str">
        <f>"8420"</f>
        <v>8420</v>
      </c>
      <c r="E355" s="1" t="s">
        <v>622</v>
      </c>
      <c r="F355" s="1" t="s">
        <v>623</v>
      </c>
      <c r="G355" s="1" t="s">
        <v>16</v>
      </c>
      <c r="H355" s="1" t="str">
        <f>"312"</f>
        <v>312</v>
      </c>
      <c r="I355" s="2" t="str">
        <f>"412"</f>
        <v>412</v>
      </c>
      <c r="J355" s="3">
        <v>46182</v>
      </c>
      <c r="K355" s="1" t="s">
        <v>626</v>
      </c>
    </row>
    <row r="356" spans="1:11" x14ac:dyDescent="0.35">
      <c r="A356" s="1" t="s">
        <v>506</v>
      </c>
      <c r="B356" s="1" t="s">
        <v>538</v>
      </c>
      <c r="C356" s="1" t="s">
        <v>630</v>
      </c>
      <c r="D356" s="1" t="str">
        <f>"8420"</f>
        <v>8420</v>
      </c>
      <c r="E356" s="1" t="s">
        <v>622</v>
      </c>
      <c r="F356" s="1" t="s">
        <v>623</v>
      </c>
      <c r="G356" s="1" t="s">
        <v>16</v>
      </c>
      <c r="H356" s="1" t="str">
        <f>"257"</f>
        <v>257</v>
      </c>
      <c r="I356" s="2" t="str">
        <f>"115"</f>
        <v>115</v>
      </c>
      <c r="J356" s="3">
        <v>46182</v>
      </c>
      <c r="K356" s="1" t="s">
        <v>631</v>
      </c>
    </row>
    <row r="357" spans="1:11" x14ac:dyDescent="0.35">
      <c r="A357" s="1" t="s">
        <v>506</v>
      </c>
      <c r="B357" s="1" t="s">
        <v>538</v>
      </c>
      <c r="C357" s="1" t="s">
        <v>632</v>
      </c>
      <c r="D357" s="1" t="str">
        <f>"8420"</f>
        <v>8420</v>
      </c>
      <c r="E357" s="1" t="s">
        <v>622</v>
      </c>
      <c r="F357" s="1" t="s">
        <v>623</v>
      </c>
      <c r="G357" s="1" t="s">
        <v>16</v>
      </c>
      <c r="H357" s="1" t="str">
        <f>"52"</f>
        <v>52</v>
      </c>
      <c r="I357" s="2" t="str">
        <f>"115"</f>
        <v>115</v>
      </c>
      <c r="J357" s="3">
        <v>46182</v>
      </c>
      <c r="K357" s="1" t="s">
        <v>631</v>
      </c>
    </row>
    <row r="358" spans="1:11" x14ac:dyDescent="0.35">
      <c r="A358" s="1" t="s">
        <v>506</v>
      </c>
      <c r="B358" s="1" t="s">
        <v>538</v>
      </c>
      <c r="C358" s="1" t="s">
        <v>633</v>
      </c>
      <c r="D358" s="1" t="str">
        <f>"8420"</f>
        <v>8420</v>
      </c>
      <c r="E358" s="1" t="s">
        <v>622</v>
      </c>
      <c r="F358" s="1" t="s">
        <v>623</v>
      </c>
      <c r="G358" s="1" t="s">
        <v>16</v>
      </c>
      <c r="H358" s="1" t="str">
        <f>"125"</f>
        <v>125</v>
      </c>
      <c r="I358" s="2" t="str">
        <f>"115"</f>
        <v>115</v>
      </c>
      <c r="J358" s="3">
        <v>46182</v>
      </c>
      <c r="K358" s="1" t="s">
        <v>631</v>
      </c>
    </row>
    <row r="359" spans="1:11" x14ac:dyDescent="0.35">
      <c r="A359" s="1" t="s">
        <v>506</v>
      </c>
      <c r="B359" s="1" t="s">
        <v>538</v>
      </c>
      <c r="C359" s="1" t="s">
        <v>641</v>
      </c>
      <c r="D359" s="1" t="str">
        <f>"8440"</f>
        <v>8440</v>
      </c>
      <c r="E359" s="1" t="str">
        <f>"013878509"</f>
        <v>013878509</v>
      </c>
      <c r="F359" s="1" t="s">
        <v>642</v>
      </c>
      <c r="G359" s="1" t="s">
        <v>16</v>
      </c>
      <c r="H359" s="1" t="str">
        <f>"300"</f>
        <v>300</v>
      </c>
      <c r="I359" s="2">
        <v>2.7</v>
      </c>
      <c r="J359" s="3">
        <v>46182</v>
      </c>
      <c r="K359" s="1" t="s">
        <v>631</v>
      </c>
    </row>
    <row r="360" spans="1:11" x14ac:dyDescent="0.35">
      <c r="A360" s="1" t="s">
        <v>506</v>
      </c>
      <c r="B360" s="1" t="s">
        <v>693</v>
      </c>
      <c r="C360" s="1" t="s">
        <v>700</v>
      </c>
      <c r="D360" s="1" t="str">
        <f>"3615"</f>
        <v>3615</v>
      </c>
      <c r="E360" s="1" t="s">
        <v>701</v>
      </c>
      <c r="F360" s="1" t="s">
        <v>702</v>
      </c>
      <c r="G360" s="1" t="s">
        <v>16</v>
      </c>
      <c r="H360" s="1" t="str">
        <f>"2"</f>
        <v>2</v>
      </c>
      <c r="I360" s="2" t="str">
        <f>"3000"</f>
        <v>3000</v>
      </c>
      <c r="J360" s="3">
        <v>46184</v>
      </c>
      <c r="K360" s="1" t="s">
        <v>703</v>
      </c>
    </row>
    <row r="361" spans="1:11" x14ac:dyDescent="0.35">
      <c r="A361" s="1" t="s">
        <v>506</v>
      </c>
      <c r="B361" s="1" t="s">
        <v>693</v>
      </c>
      <c r="C361" s="1" t="s">
        <v>704</v>
      </c>
      <c r="D361" s="1" t="str">
        <f>"3615"</f>
        <v>3615</v>
      </c>
      <c r="E361" s="1" t="s">
        <v>701</v>
      </c>
      <c r="F361" s="1" t="s">
        <v>702</v>
      </c>
      <c r="G361" s="1" t="s">
        <v>16</v>
      </c>
      <c r="H361" s="1" t="str">
        <f>"1"</f>
        <v>1</v>
      </c>
      <c r="I361" s="2" t="str">
        <f>"700"</f>
        <v>700</v>
      </c>
      <c r="J361" s="3">
        <v>46184</v>
      </c>
      <c r="K361" s="1" t="s">
        <v>703</v>
      </c>
    </row>
    <row r="362" spans="1:11" x14ac:dyDescent="0.35">
      <c r="A362" s="1" t="s">
        <v>506</v>
      </c>
      <c r="B362" s="1" t="s">
        <v>693</v>
      </c>
      <c r="C362" s="1" t="s">
        <v>829</v>
      </c>
      <c r="D362" s="1" t="str">
        <f>"6230"</f>
        <v>6230</v>
      </c>
      <c r="E362" s="1" t="str">
        <f>"016667749"</f>
        <v>016667749</v>
      </c>
      <c r="F362" s="1" t="s">
        <v>830</v>
      </c>
      <c r="G362" s="1" t="s">
        <v>16</v>
      </c>
      <c r="H362" s="1" t="str">
        <f>"1"</f>
        <v>1</v>
      </c>
      <c r="I362" s="2">
        <v>6922.13</v>
      </c>
      <c r="J362" s="3">
        <v>46184</v>
      </c>
      <c r="K362" s="1" t="s">
        <v>831</v>
      </c>
    </row>
    <row r="363" spans="1:11" x14ac:dyDescent="0.35">
      <c r="A363" s="1" t="s">
        <v>506</v>
      </c>
      <c r="B363" s="1" t="s">
        <v>538</v>
      </c>
      <c r="C363" s="1" t="s">
        <v>585</v>
      </c>
      <c r="D363" s="1" t="str">
        <f>"5120"</f>
        <v>5120</v>
      </c>
      <c r="E363" s="1" t="str">
        <f>"014767556"</f>
        <v>014767556</v>
      </c>
      <c r="F363" s="1" t="s">
        <v>586</v>
      </c>
      <c r="G363" s="1" t="s">
        <v>16</v>
      </c>
      <c r="H363" s="1" t="str">
        <f>"20"</f>
        <v>20</v>
      </c>
      <c r="I363" s="2">
        <v>61.83</v>
      </c>
      <c r="J363" s="3">
        <v>46190</v>
      </c>
      <c r="K363" s="1" t="s">
        <v>587</v>
      </c>
    </row>
    <row r="364" spans="1:11" x14ac:dyDescent="0.35">
      <c r="A364" s="1" t="s">
        <v>506</v>
      </c>
      <c r="B364" s="1" t="s">
        <v>538</v>
      </c>
      <c r="C364" s="1" t="s">
        <v>588</v>
      </c>
      <c r="D364" s="1" t="str">
        <f>"5120"</f>
        <v>5120</v>
      </c>
      <c r="E364" s="1" t="str">
        <f>"008785932"</f>
        <v>008785932</v>
      </c>
      <c r="F364" s="1" t="s">
        <v>586</v>
      </c>
      <c r="G364" s="1" t="s">
        <v>16</v>
      </c>
      <c r="H364" s="1" t="str">
        <f>"13"</f>
        <v>13</v>
      </c>
      <c r="I364" s="2">
        <v>97.1</v>
      </c>
      <c r="J364" s="3">
        <v>46190</v>
      </c>
      <c r="K364" s="1" t="s">
        <v>587</v>
      </c>
    </row>
    <row r="365" spans="1:11" x14ac:dyDescent="0.35">
      <c r="A365" s="1" t="s">
        <v>506</v>
      </c>
      <c r="B365" s="1" t="s">
        <v>538</v>
      </c>
      <c r="C365" s="1" t="s">
        <v>589</v>
      </c>
      <c r="D365" s="1" t="str">
        <f>"5120"</f>
        <v>5120</v>
      </c>
      <c r="E365" s="1" t="str">
        <f>"008785932"</f>
        <v>008785932</v>
      </c>
      <c r="F365" s="1" t="s">
        <v>586</v>
      </c>
      <c r="G365" s="1" t="s">
        <v>16</v>
      </c>
      <c r="H365" s="1" t="str">
        <f>"30"</f>
        <v>30</v>
      </c>
      <c r="I365" s="2">
        <v>97.1</v>
      </c>
      <c r="J365" s="3">
        <v>46190</v>
      </c>
      <c r="K365" s="1" t="s">
        <v>587</v>
      </c>
    </row>
    <row r="366" spans="1:11" x14ac:dyDescent="0.35">
      <c r="A366" s="1" t="s">
        <v>506</v>
      </c>
      <c r="B366" s="1" t="s">
        <v>538</v>
      </c>
      <c r="C366" s="1" t="s">
        <v>590</v>
      </c>
      <c r="D366" s="1" t="str">
        <f>"5120"</f>
        <v>5120</v>
      </c>
      <c r="E366" s="1" t="str">
        <f>"008785932"</f>
        <v>008785932</v>
      </c>
      <c r="F366" s="1" t="s">
        <v>586</v>
      </c>
      <c r="G366" s="1" t="s">
        <v>16</v>
      </c>
      <c r="H366" s="1" t="str">
        <f>"29"</f>
        <v>29</v>
      </c>
      <c r="I366" s="2">
        <v>97.1</v>
      </c>
      <c r="J366" s="3">
        <v>46190</v>
      </c>
      <c r="K366" s="1" t="s">
        <v>587</v>
      </c>
    </row>
    <row r="367" spans="1:11" x14ac:dyDescent="0.35">
      <c r="A367" s="1" t="s">
        <v>506</v>
      </c>
      <c r="B367" s="1" t="s">
        <v>538</v>
      </c>
      <c r="C367" s="1" t="s">
        <v>617</v>
      </c>
      <c r="D367" s="1" t="str">
        <f>"8405"</f>
        <v>8405</v>
      </c>
      <c r="E367" s="1" t="str">
        <f>"015472555"</f>
        <v>015472555</v>
      </c>
      <c r="F367" s="1" t="s">
        <v>615</v>
      </c>
      <c r="G367" s="1" t="s">
        <v>16</v>
      </c>
      <c r="H367" s="1" t="str">
        <f>"118"</f>
        <v>118</v>
      </c>
      <c r="I367" s="2">
        <v>63.02</v>
      </c>
      <c r="J367" s="3">
        <v>46190</v>
      </c>
      <c r="K367" s="1" t="s">
        <v>618</v>
      </c>
    </row>
    <row r="368" spans="1:11" x14ac:dyDescent="0.35">
      <c r="A368" s="1" t="s">
        <v>506</v>
      </c>
      <c r="B368" s="1" t="s">
        <v>538</v>
      </c>
      <c r="C368" s="1" t="s">
        <v>619</v>
      </c>
      <c r="D368" s="1" t="str">
        <f>"8415"</f>
        <v>8415</v>
      </c>
      <c r="E368" s="1" t="str">
        <f>"015801355"</f>
        <v>015801355</v>
      </c>
      <c r="F368" s="1" t="s">
        <v>493</v>
      </c>
      <c r="G368" s="1" t="s">
        <v>16</v>
      </c>
      <c r="H368" s="1" t="str">
        <f>"15"</f>
        <v>15</v>
      </c>
      <c r="I368" s="2">
        <v>80.94</v>
      </c>
      <c r="J368" s="3">
        <v>46190</v>
      </c>
      <c r="K368" s="1" t="s">
        <v>618</v>
      </c>
    </row>
    <row r="369" spans="1:11" x14ac:dyDescent="0.35">
      <c r="A369" s="1" t="s">
        <v>506</v>
      </c>
      <c r="B369" s="1" t="s">
        <v>538</v>
      </c>
      <c r="C369" s="1" t="s">
        <v>620</v>
      </c>
      <c r="D369" s="1" t="str">
        <f>"8415"</f>
        <v>8415</v>
      </c>
      <c r="E369" s="1" t="str">
        <f>"015801336"</f>
        <v>015801336</v>
      </c>
      <c r="F369" s="1" t="s">
        <v>493</v>
      </c>
      <c r="G369" s="1" t="s">
        <v>16</v>
      </c>
      <c r="H369" s="1" t="str">
        <f>"10"</f>
        <v>10</v>
      </c>
      <c r="I369" s="2">
        <v>80.94</v>
      </c>
      <c r="J369" s="3">
        <v>46190</v>
      </c>
      <c r="K369" s="1" t="s">
        <v>618</v>
      </c>
    </row>
    <row r="370" spans="1:11" x14ac:dyDescent="0.35">
      <c r="A370" s="1" t="s">
        <v>506</v>
      </c>
      <c r="B370" s="1" t="s">
        <v>666</v>
      </c>
      <c r="C370" s="1" t="s">
        <v>667</v>
      </c>
      <c r="D370" s="1" t="str">
        <f>"8415"</f>
        <v>8415</v>
      </c>
      <c r="E370" s="1" t="str">
        <f>"016411697"</f>
        <v>016411697</v>
      </c>
      <c r="F370" s="1" t="s">
        <v>668</v>
      </c>
      <c r="G370" s="1" t="s">
        <v>311</v>
      </c>
      <c r="H370" s="1" t="str">
        <f>"1"</f>
        <v>1</v>
      </c>
      <c r="I370" s="2">
        <v>100.61</v>
      </c>
      <c r="J370" s="3">
        <v>46197</v>
      </c>
      <c r="K370" s="1" t="s">
        <v>669</v>
      </c>
    </row>
    <row r="371" spans="1:11" x14ac:dyDescent="0.35">
      <c r="A371" s="1" t="s">
        <v>506</v>
      </c>
      <c r="B371" s="1" t="s">
        <v>666</v>
      </c>
      <c r="C371" s="1" t="s">
        <v>670</v>
      </c>
      <c r="D371" s="1" t="str">
        <f>"8415"</f>
        <v>8415</v>
      </c>
      <c r="E371" s="1" t="str">
        <f>"015386875"</f>
        <v>015386875</v>
      </c>
      <c r="F371" s="1" t="s">
        <v>668</v>
      </c>
      <c r="G371" s="1" t="s">
        <v>16</v>
      </c>
      <c r="H371" s="1" t="str">
        <f>"1"</f>
        <v>1</v>
      </c>
      <c r="I371" s="2">
        <v>93.33</v>
      </c>
      <c r="J371" s="3">
        <v>46197</v>
      </c>
      <c r="K371" s="1" t="s">
        <v>669</v>
      </c>
    </row>
    <row r="372" spans="1:11" x14ac:dyDescent="0.35">
      <c r="A372" s="1" t="s">
        <v>506</v>
      </c>
      <c r="B372" s="1" t="s">
        <v>666</v>
      </c>
      <c r="C372" s="1" t="s">
        <v>671</v>
      </c>
      <c r="D372" s="1" t="str">
        <f>"8415"</f>
        <v>8415</v>
      </c>
      <c r="E372" s="1" t="str">
        <f>"015841419"</f>
        <v>015841419</v>
      </c>
      <c r="F372" s="1" t="s">
        <v>672</v>
      </c>
      <c r="G372" s="1" t="s">
        <v>16</v>
      </c>
      <c r="H372" s="1" t="str">
        <f>"1"</f>
        <v>1</v>
      </c>
      <c r="I372" s="2">
        <v>456.61</v>
      </c>
      <c r="J372" s="3">
        <v>46197</v>
      </c>
      <c r="K372" s="1" t="s">
        <v>673</v>
      </c>
    </row>
    <row r="373" spans="1:11" x14ac:dyDescent="0.35">
      <c r="A373" s="1" t="s">
        <v>506</v>
      </c>
      <c r="B373" s="1" t="s">
        <v>666</v>
      </c>
      <c r="C373" s="1" t="s">
        <v>674</v>
      </c>
      <c r="D373" s="1" t="str">
        <f>"8415"</f>
        <v>8415</v>
      </c>
      <c r="E373" s="1" t="str">
        <f>"015778532"</f>
        <v>015778532</v>
      </c>
      <c r="F373" s="1" t="s">
        <v>675</v>
      </c>
      <c r="G373" s="1" t="s">
        <v>16</v>
      </c>
      <c r="H373" s="1" t="str">
        <f>"1"</f>
        <v>1</v>
      </c>
      <c r="I373" s="2">
        <v>134.36000000000001</v>
      </c>
      <c r="J373" s="3">
        <v>46197</v>
      </c>
      <c r="K373" s="1" t="s">
        <v>676</v>
      </c>
    </row>
    <row r="374" spans="1:11" x14ac:dyDescent="0.35">
      <c r="A374" s="1" t="s">
        <v>506</v>
      </c>
      <c r="B374" s="1" t="s">
        <v>666</v>
      </c>
      <c r="C374" s="1" t="s">
        <v>677</v>
      </c>
      <c r="D374" s="1" t="str">
        <f>"8415"</f>
        <v>8415</v>
      </c>
      <c r="E374" s="1" t="str">
        <f>"015778459"</f>
        <v>015778459</v>
      </c>
      <c r="F374" s="1" t="s">
        <v>675</v>
      </c>
      <c r="G374" s="1" t="s">
        <v>16</v>
      </c>
      <c r="H374" s="1" t="str">
        <f>"2"</f>
        <v>2</v>
      </c>
      <c r="I374" s="2">
        <v>134.36000000000001</v>
      </c>
      <c r="J374" s="3">
        <v>46197</v>
      </c>
      <c r="K374" s="1" t="s">
        <v>676</v>
      </c>
    </row>
    <row r="375" spans="1:11" x14ac:dyDescent="0.35">
      <c r="A375" s="1" t="s">
        <v>506</v>
      </c>
      <c r="B375" s="1" t="s">
        <v>666</v>
      </c>
      <c r="C375" s="1" t="s">
        <v>678</v>
      </c>
      <c r="D375" s="1" t="str">
        <f>"8415"</f>
        <v>8415</v>
      </c>
      <c r="E375" s="1" t="str">
        <f>"015272721"</f>
        <v>015272721</v>
      </c>
      <c r="F375" s="1" t="s">
        <v>679</v>
      </c>
      <c r="G375" s="1" t="s">
        <v>311</v>
      </c>
      <c r="H375" s="1" t="str">
        <f>"1"</f>
        <v>1</v>
      </c>
      <c r="I375" s="2">
        <v>41.07</v>
      </c>
      <c r="J375" s="3">
        <v>46197</v>
      </c>
      <c r="K375" s="1" t="s">
        <v>680</v>
      </c>
    </row>
    <row r="376" spans="1:11" x14ac:dyDescent="0.35">
      <c r="A376" s="1" t="s">
        <v>506</v>
      </c>
      <c r="B376" s="1" t="s">
        <v>666</v>
      </c>
      <c r="C376" s="1" t="s">
        <v>681</v>
      </c>
      <c r="D376" s="1" t="str">
        <f>"8415"</f>
        <v>8415</v>
      </c>
      <c r="E376" s="1" t="str">
        <f>"015841034"</f>
        <v>015841034</v>
      </c>
      <c r="F376" s="1" t="s">
        <v>675</v>
      </c>
      <c r="G376" s="1" t="s">
        <v>16</v>
      </c>
      <c r="H376" s="1" t="str">
        <f>"1"</f>
        <v>1</v>
      </c>
      <c r="I376" s="2">
        <v>134.36000000000001</v>
      </c>
      <c r="J376" s="3">
        <v>46197</v>
      </c>
      <c r="K376" s="1" t="s">
        <v>676</v>
      </c>
    </row>
    <row r="377" spans="1:11" x14ac:dyDescent="0.35">
      <c r="A377" s="1" t="s">
        <v>506</v>
      </c>
      <c r="B377" s="1" t="s">
        <v>666</v>
      </c>
      <c r="C377" s="1" t="s">
        <v>682</v>
      </c>
      <c r="D377" s="1" t="str">
        <f>"8415"</f>
        <v>8415</v>
      </c>
      <c r="E377" s="1" t="str">
        <f>"016720325"</f>
        <v>016720325</v>
      </c>
      <c r="F377" s="1" t="s">
        <v>683</v>
      </c>
      <c r="G377" s="1" t="s">
        <v>16</v>
      </c>
      <c r="H377" s="1" t="str">
        <f>"2"</f>
        <v>2</v>
      </c>
      <c r="I377" s="2">
        <v>63.73</v>
      </c>
      <c r="J377" s="3">
        <v>46197</v>
      </c>
      <c r="K377" s="1" t="s">
        <v>684</v>
      </c>
    </row>
    <row r="378" spans="1:11" x14ac:dyDescent="0.35">
      <c r="A378" s="1" t="s">
        <v>506</v>
      </c>
      <c r="B378" s="1" t="s">
        <v>666</v>
      </c>
      <c r="C378" s="1" t="s">
        <v>685</v>
      </c>
      <c r="D378" s="1" t="str">
        <f>"8415"</f>
        <v>8415</v>
      </c>
      <c r="E378" s="1" t="str">
        <f>"015841003"</f>
        <v>015841003</v>
      </c>
      <c r="F378" s="1" t="s">
        <v>675</v>
      </c>
      <c r="G378" s="1" t="s">
        <v>16</v>
      </c>
      <c r="H378" s="1" t="str">
        <f>"1"</f>
        <v>1</v>
      </c>
      <c r="I378" s="2">
        <v>134.36000000000001</v>
      </c>
      <c r="J378" s="3">
        <v>46197</v>
      </c>
      <c r="K378" s="1" t="s">
        <v>676</v>
      </c>
    </row>
    <row r="379" spans="1:11" x14ac:dyDescent="0.35">
      <c r="A379" s="1" t="s">
        <v>506</v>
      </c>
      <c r="B379" s="1" t="s">
        <v>666</v>
      </c>
      <c r="C379" s="1" t="s">
        <v>686</v>
      </c>
      <c r="D379" s="1" t="str">
        <f>"8415"</f>
        <v>8415</v>
      </c>
      <c r="E379" s="1" t="str">
        <f>"016411800"</f>
        <v>016411800</v>
      </c>
      <c r="F379" s="1" t="s">
        <v>672</v>
      </c>
      <c r="G379" s="1" t="s">
        <v>311</v>
      </c>
      <c r="H379" s="1" t="str">
        <f>"2"</f>
        <v>2</v>
      </c>
      <c r="I379" s="2">
        <v>108.96</v>
      </c>
      <c r="J379" s="3">
        <v>46197</v>
      </c>
      <c r="K379" s="1" t="s">
        <v>673</v>
      </c>
    </row>
    <row r="380" spans="1:11" x14ac:dyDescent="0.35">
      <c r="A380" s="1" t="s">
        <v>506</v>
      </c>
      <c r="B380" s="1" t="s">
        <v>666</v>
      </c>
      <c r="C380" s="1" t="s">
        <v>687</v>
      </c>
      <c r="D380" s="1" t="str">
        <f>"8440"</f>
        <v>8440</v>
      </c>
      <c r="E380" s="1" t="str">
        <f>"015912571"</f>
        <v>015912571</v>
      </c>
      <c r="F380" s="1" t="s">
        <v>688</v>
      </c>
      <c r="G380" s="1" t="s">
        <v>16</v>
      </c>
      <c r="H380" s="1" t="str">
        <f>"14"</f>
        <v>14</v>
      </c>
      <c r="I380" s="2">
        <v>3.74</v>
      </c>
      <c r="J380" s="3">
        <v>46197</v>
      </c>
      <c r="K380" s="1" t="s">
        <v>689</v>
      </c>
    </row>
    <row r="381" spans="1:11" x14ac:dyDescent="0.35">
      <c r="A381" s="1" t="s">
        <v>506</v>
      </c>
      <c r="B381" s="1" t="s">
        <v>666</v>
      </c>
      <c r="C381" s="1" t="s">
        <v>690</v>
      </c>
      <c r="D381" s="1" t="str">
        <f>"8465"</f>
        <v>8465</v>
      </c>
      <c r="E381" s="1" t="str">
        <f>"016282675"</f>
        <v>016282675</v>
      </c>
      <c r="F381" s="1" t="s">
        <v>691</v>
      </c>
      <c r="G381" s="1" t="s">
        <v>16</v>
      </c>
      <c r="H381" s="1" t="str">
        <f>"20"</f>
        <v>20</v>
      </c>
      <c r="I381" s="2" t="str">
        <f>"209"</f>
        <v>209</v>
      </c>
      <c r="J381" s="3">
        <v>46197</v>
      </c>
      <c r="K381" s="1" t="s">
        <v>692</v>
      </c>
    </row>
    <row r="382" spans="1:11" x14ac:dyDescent="0.35">
      <c r="A382" s="1" t="s">
        <v>506</v>
      </c>
      <c r="B382" s="1" t="s">
        <v>693</v>
      </c>
      <c r="C382" s="1" t="s">
        <v>724</v>
      </c>
      <c r="D382" s="1" t="str">
        <f>"4940"</f>
        <v>4940</v>
      </c>
      <c r="E382" s="1" t="str">
        <f>"016409446"</f>
        <v>016409446</v>
      </c>
      <c r="F382" s="1" t="s">
        <v>725</v>
      </c>
      <c r="G382" s="1" t="s">
        <v>215</v>
      </c>
      <c r="H382" s="1" t="str">
        <f>"1"</f>
        <v>1</v>
      </c>
      <c r="I382" s="2">
        <v>5172.42</v>
      </c>
      <c r="J382" s="3">
        <v>46197</v>
      </c>
      <c r="K382" s="1" t="s">
        <v>726</v>
      </c>
    </row>
    <row r="383" spans="1:11" x14ac:dyDescent="0.35">
      <c r="A383" s="1" t="s">
        <v>506</v>
      </c>
      <c r="B383" s="1" t="s">
        <v>538</v>
      </c>
      <c r="C383" s="1" t="s">
        <v>539</v>
      </c>
      <c r="D383" s="1" t="str">
        <f>"1385"</f>
        <v>1385</v>
      </c>
      <c r="E383" s="1" t="str">
        <f>"015736046"</f>
        <v>015736046</v>
      </c>
      <c r="F383" s="1" t="s">
        <v>540</v>
      </c>
      <c r="G383" s="1" t="s">
        <v>16</v>
      </c>
      <c r="H383" s="1" t="str">
        <f>"1"</f>
        <v>1</v>
      </c>
      <c r="I383" s="2">
        <v>284528.08</v>
      </c>
      <c r="J383" s="3">
        <v>46203</v>
      </c>
      <c r="K383" s="1" t="s">
        <v>541</v>
      </c>
    </row>
    <row r="384" spans="1:11" x14ac:dyDescent="0.35">
      <c r="A384" s="1" t="s">
        <v>962</v>
      </c>
      <c r="B384" s="1" t="s">
        <v>963</v>
      </c>
      <c r="C384" s="1" t="s">
        <v>981</v>
      </c>
      <c r="D384" s="1" t="str">
        <f>"2330"</f>
        <v>2330</v>
      </c>
      <c r="E384" s="1" t="s">
        <v>70</v>
      </c>
      <c r="F384" s="1" t="s">
        <v>71</v>
      </c>
      <c r="G384" s="1" t="s">
        <v>16</v>
      </c>
      <c r="H384" s="1" t="str">
        <f>"1"</f>
        <v>1</v>
      </c>
      <c r="I384" s="2" t="str">
        <f>"5839"</f>
        <v>5839</v>
      </c>
      <c r="J384" s="3">
        <v>46113</v>
      </c>
      <c r="K384" s="1" t="s">
        <v>982</v>
      </c>
    </row>
    <row r="385" spans="1:11" x14ac:dyDescent="0.35">
      <c r="A385" s="1" t="s">
        <v>962</v>
      </c>
      <c r="B385" s="1" t="s">
        <v>1101</v>
      </c>
      <c r="C385" s="1" t="s">
        <v>1109</v>
      </c>
      <c r="D385" s="1" t="str">
        <f>"7010"</f>
        <v>7010</v>
      </c>
      <c r="E385" s="1" t="str">
        <f>"016615955"</f>
        <v>016615955</v>
      </c>
      <c r="F385" s="1" t="s">
        <v>1110</v>
      </c>
      <c r="G385" s="1" t="s">
        <v>16</v>
      </c>
      <c r="H385" s="1" t="str">
        <f>"5"</f>
        <v>5</v>
      </c>
      <c r="I385" s="2" t="str">
        <f>"1300"</f>
        <v>1300</v>
      </c>
      <c r="J385" s="3">
        <v>46113</v>
      </c>
      <c r="K385" s="1" t="s">
        <v>1111</v>
      </c>
    </row>
    <row r="386" spans="1:11" x14ac:dyDescent="0.35">
      <c r="A386" s="1" t="s">
        <v>962</v>
      </c>
      <c r="B386" s="1" t="s">
        <v>1098</v>
      </c>
      <c r="C386" s="1" t="s">
        <v>1099</v>
      </c>
      <c r="D386" s="1" t="str">
        <f>"8150"</f>
        <v>8150</v>
      </c>
      <c r="E386" s="1" t="str">
        <f>"014633177"</f>
        <v>014633177</v>
      </c>
      <c r="F386" s="1" t="s">
        <v>117</v>
      </c>
      <c r="G386" s="1" t="s">
        <v>16</v>
      </c>
      <c r="H386" s="1" t="str">
        <f>"1"</f>
        <v>1</v>
      </c>
      <c r="I386" s="2">
        <v>6361.62</v>
      </c>
      <c r="J386" s="3">
        <v>46114</v>
      </c>
      <c r="K386" s="1" t="s">
        <v>1100</v>
      </c>
    </row>
    <row r="387" spans="1:11" x14ac:dyDescent="0.35">
      <c r="A387" s="1" t="s">
        <v>962</v>
      </c>
      <c r="B387" s="1" t="s">
        <v>963</v>
      </c>
      <c r="C387" s="1" t="s">
        <v>966</v>
      </c>
      <c r="D387" s="1" t="str">
        <f>"2310"</f>
        <v>2310</v>
      </c>
      <c r="E387" s="1" t="s">
        <v>967</v>
      </c>
      <c r="F387" s="1" t="s">
        <v>968</v>
      </c>
      <c r="G387" s="1" t="s">
        <v>16</v>
      </c>
      <c r="H387" s="1" t="str">
        <f>"1"</f>
        <v>1</v>
      </c>
      <c r="I387" s="2" t="str">
        <f>"23000"</f>
        <v>23000</v>
      </c>
      <c r="J387" s="3">
        <v>46119</v>
      </c>
      <c r="K387" s="1" t="s">
        <v>969</v>
      </c>
    </row>
    <row r="388" spans="1:11" x14ac:dyDescent="0.35">
      <c r="A388" s="1" t="s">
        <v>962</v>
      </c>
      <c r="B388" s="1" t="s">
        <v>963</v>
      </c>
      <c r="C388" s="1" t="s">
        <v>978</v>
      </c>
      <c r="D388" s="1" t="str">
        <f>"2330"</f>
        <v>2330</v>
      </c>
      <c r="E388" s="1" t="str">
        <f>"013875426"</f>
        <v>013875426</v>
      </c>
      <c r="F388" s="1" t="s">
        <v>979</v>
      </c>
      <c r="G388" s="1" t="s">
        <v>16</v>
      </c>
      <c r="H388" s="1" t="str">
        <f>"1"</f>
        <v>1</v>
      </c>
      <c r="I388" s="2" t="str">
        <f>"9535"</f>
        <v>9535</v>
      </c>
      <c r="J388" s="3">
        <v>46119</v>
      </c>
      <c r="K388" s="1" t="s">
        <v>980</v>
      </c>
    </row>
    <row r="389" spans="1:11" x14ac:dyDescent="0.35">
      <c r="A389" s="1" t="s">
        <v>962</v>
      </c>
      <c r="B389" s="1" t="s">
        <v>963</v>
      </c>
      <c r="C389" s="1" t="s">
        <v>995</v>
      </c>
      <c r="D389" s="1" t="str">
        <f>"3750"</f>
        <v>3750</v>
      </c>
      <c r="E389" s="1" t="s">
        <v>996</v>
      </c>
      <c r="F389" s="1" t="s">
        <v>997</v>
      </c>
      <c r="G389" s="1" t="s">
        <v>16</v>
      </c>
      <c r="H389" s="1" t="str">
        <f>"1"</f>
        <v>1</v>
      </c>
      <c r="I389" s="2" t="str">
        <f>"13000"</f>
        <v>13000</v>
      </c>
      <c r="J389" s="3">
        <v>46119</v>
      </c>
      <c r="K389" s="1" t="s">
        <v>998</v>
      </c>
    </row>
    <row r="390" spans="1:11" x14ac:dyDescent="0.35">
      <c r="A390" s="1" t="s">
        <v>962</v>
      </c>
      <c r="B390" s="1" t="s">
        <v>963</v>
      </c>
      <c r="C390" s="1" t="s">
        <v>1006</v>
      </c>
      <c r="D390" s="1" t="str">
        <f>"3940"</f>
        <v>3940</v>
      </c>
      <c r="E390" s="1" t="str">
        <f>"015740271"</f>
        <v>015740271</v>
      </c>
      <c r="F390" s="1" t="s">
        <v>1007</v>
      </c>
      <c r="G390" s="1" t="s">
        <v>16</v>
      </c>
      <c r="H390" s="1" t="str">
        <f>"2"</f>
        <v>2</v>
      </c>
      <c r="I390" s="2">
        <v>1433.52</v>
      </c>
      <c r="J390" s="3">
        <v>46119</v>
      </c>
      <c r="K390" s="1" t="s">
        <v>1008</v>
      </c>
    </row>
    <row r="391" spans="1:11" x14ac:dyDescent="0.35">
      <c r="A391" s="1" t="s">
        <v>962</v>
      </c>
      <c r="B391" s="1" t="s">
        <v>963</v>
      </c>
      <c r="C391" s="1" t="s">
        <v>1023</v>
      </c>
      <c r="D391" s="1" t="str">
        <f>"4610"</f>
        <v>4610</v>
      </c>
      <c r="E391" s="1" t="s">
        <v>1024</v>
      </c>
      <c r="F391" s="1" t="s">
        <v>1025</v>
      </c>
      <c r="G391" s="1" t="s">
        <v>16</v>
      </c>
      <c r="H391" s="1" t="str">
        <f>"25"</f>
        <v>25</v>
      </c>
      <c r="I391" s="2">
        <v>399.95</v>
      </c>
      <c r="J391" s="3">
        <v>46119</v>
      </c>
      <c r="K391" s="1" t="s">
        <v>1026</v>
      </c>
    </row>
    <row r="392" spans="1:11" x14ac:dyDescent="0.35">
      <c r="A392" s="1" t="s">
        <v>962</v>
      </c>
      <c r="B392" s="1" t="s">
        <v>963</v>
      </c>
      <c r="C392" s="1" t="s">
        <v>1058</v>
      </c>
      <c r="D392" s="1" t="str">
        <f>"8465"</f>
        <v>8465</v>
      </c>
      <c r="E392" s="1" t="str">
        <f>"016975949"</f>
        <v>016975949</v>
      </c>
      <c r="F392" s="1" t="s">
        <v>1059</v>
      </c>
      <c r="G392" s="1" t="s">
        <v>16</v>
      </c>
      <c r="H392" s="1" t="str">
        <f>"5"</f>
        <v>5</v>
      </c>
      <c r="I392" s="2">
        <v>37.33</v>
      </c>
      <c r="J392" s="3">
        <v>46119</v>
      </c>
      <c r="K392" s="1" t="s">
        <v>1060</v>
      </c>
    </row>
    <row r="393" spans="1:11" x14ac:dyDescent="0.35">
      <c r="A393" s="1" t="s">
        <v>962</v>
      </c>
      <c r="B393" s="1" t="s">
        <v>963</v>
      </c>
      <c r="C393" s="1" t="s">
        <v>1061</v>
      </c>
      <c r="D393" s="1" t="str">
        <f>"8465"</f>
        <v>8465</v>
      </c>
      <c r="E393" s="1" t="str">
        <f>"016976089"</f>
        <v>016976089</v>
      </c>
      <c r="F393" s="1" t="s">
        <v>1059</v>
      </c>
      <c r="G393" s="1" t="s">
        <v>16</v>
      </c>
      <c r="H393" s="1" t="str">
        <f>"29"</f>
        <v>29</v>
      </c>
      <c r="I393" s="2">
        <v>37.33</v>
      </c>
      <c r="J393" s="3">
        <v>46119</v>
      </c>
      <c r="K393" s="1" t="s">
        <v>1060</v>
      </c>
    </row>
    <row r="394" spans="1:11" x14ac:dyDescent="0.35">
      <c r="A394" s="1" t="s">
        <v>962</v>
      </c>
      <c r="B394" s="1" t="s">
        <v>963</v>
      </c>
      <c r="C394" s="1" t="s">
        <v>1066</v>
      </c>
      <c r="D394" s="1" t="str">
        <f>"8465"</f>
        <v>8465</v>
      </c>
      <c r="E394" s="1" t="str">
        <f>"016976091"</f>
        <v>016976091</v>
      </c>
      <c r="F394" s="1" t="s">
        <v>1059</v>
      </c>
      <c r="G394" s="1" t="s">
        <v>16</v>
      </c>
      <c r="H394" s="1" t="str">
        <f>"27"</f>
        <v>27</v>
      </c>
      <c r="I394" s="2">
        <v>37.33</v>
      </c>
      <c r="J394" s="3">
        <v>46119</v>
      </c>
      <c r="K394" s="1" t="s">
        <v>1060</v>
      </c>
    </row>
    <row r="395" spans="1:11" x14ac:dyDescent="0.35">
      <c r="A395" s="1" t="s">
        <v>962</v>
      </c>
      <c r="B395" s="1" t="s">
        <v>1101</v>
      </c>
      <c r="C395" s="1" t="s">
        <v>1102</v>
      </c>
      <c r="D395" s="1" t="str">
        <f>"1240"</f>
        <v>1240</v>
      </c>
      <c r="E395" s="1" t="str">
        <f>"015846306"</f>
        <v>015846306</v>
      </c>
      <c r="F395" s="1" t="s">
        <v>1103</v>
      </c>
      <c r="G395" s="1" t="s">
        <v>16</v>
      </c>
      <c r="H395" s="1" t="str">
        <f>"10"</f>
        <v>10</v>
      </c>
      <c r="I395" s="2">
        <v>776.43</v>
      </c>
      <c r="J395" s="3">
        <v>46127</v>
      </c>
      <c r="K395" s="1" t="s">
        <v>1104</v>
      </c>
    </row>
    <row r="396" spans="1:11" x14ac:dyDescent="0.35">
      <c r="A396" s="1" t="s">
        <v>962</v>
      </c>
      <c r="B396" s="1" t="s">
        <v>1101</v>
      </c>
      <c r="C396" s="1" t="s">
        <v>1105</v>
      </c>
      <c r="D396" s="1" t="str">
        <f>"6115"</f>
        <v>6115</v>
      </c>
      <c r="E396" s="1" t="s">
        <v>1106</v>
      </c>
      <c r="F396" s="1" t="s">
        <v>1107</v>
      </c>
      <c r="G396" s="1" t="s">
        <v>16</v>
      </c>
      <c r="H396" s="1" t="str">
        <f>"1"</f>
        <v>1</v>
      </c>
      <c r="I396" s="2" t="str">
        <f>"1399"</f>
        <v>1399</v>
      </c>
      <c r="J396" s="3">
        <v>46127</v>
      </c>
      <c r="K396" s="1" t="s">
        <v>1108</v>
      </c>
    </row>
    <row r="397" spans="1:11" x14ac:dyDescent="0.35">
      <c r="A397" s="1" t="s">
        <v>962</v>
      </c>
      <c r="B397" s="1" t="s">
        <v>963</v>
      </c>
      <c r="C397" s="1" t="s">
        <v>1052</v>
      </c>
      <c r="D397" s="1" t="str">
        <f>"7110"</f>
        <v>7110</v>
      </c>
      <c r="E397" s="1" t="s">
        <v>1053</v>
      </c>
      <c r="F397" s="1" t="s">
        <v>1054</v>
      </c>
      <c r="G397" s="1" t="s">
        <v>16</v>
      </c>
      <c r="H397" s="1" t="str">
        <f>"10"</f>
        <v>10</v>
      </c>
      <c r="I397" s="2" t="str">
        <f>"500"</f>
        <v>500</v>
      </c>
      <c r="J397" s="3">
        <v>46140</v>
      </c>
      <c r="K397" s="1" t="s">
        <v>1055</v>
      </c>
    </row>
    <row r="398" spans="1:11" x14ac:dyDescent="0.35">
      <c r="A398" s="1" t="s">
        <v>962</v>
      </c>
      <c r="B398" s="1" t="s">
        <v>1101</v>
      </c>
      <c r="C398" s="1" t="s">
        <v>1112</v>
      </c>
      <c r="D398" s="1" t="str">
        <f>"7110"</f>
        <v>7110</v>
      </c>
      <c r="E398" s="1" t="s">
        <v>1053</v>
      </c>
      <c r="F398" s="1" t="s">
        <v>1054</v>
      </c>
      <c r="G398" s="1" t="s">
        <v>16</v>
      </c>
      <c r="H398" s="1" t="str">
        <f>"4"</f>
        <v>4</v>
      </c>
      <c r="I398" s="2" t="str">
        <f>"500"</f>
        <v>500</v>
      </c>
      <c r="J398" s="3">
        <v>46147</v>
      </c>
      <c r="K398" s="1" t="s">
        <v>1113</v>
      </c>
    </row>
    <row r="399" spans="1:11" x14ac:dyDescent="0.35">
      <c r="A399" s="1" t="s">
        <v>962</v>
      </c>
      <c r="B399" s="1" t="s">
        <v>1067</v>
      </c>
      <c r="C399" s="1" t="s">
        <v>1081</v>
      </c>
      <c r="D399" s="1" t="str">
        <f>"7830"</f>
        <v>7830</v>
      </c>
      <c r="E399" s="1" t="s">
        <v>445</v>
      </c>
      <c r="F399" s="1" t="s">
        <v>446</v>
      </c>
      <c r="G399" s="1" t="s">
        <v>16</v>
      </c>
      <c r="H399" s="1" t="str">
        <f>"2"</f>
        <v>2</v>
      </c>
      <c r="I399" s="2" t="str">
        <f>"3998"</f>
        <v>3998</v>
      </c>
      <c r="J399" s="3">
        <v>46161</v>
      </c>
      <c r="K399" s="1" t="s">
        <v>1082</v>
      </c>
    </row>
    <row r="400" spans="1:11" x14ac:dyDescent="0.35">
      <c r="A400" s="1" t="s">
        <v>962</v>
      </c>
      <c r="B400" s="1" t="s">
        <v>1067</v>
      </c>
      <c r="C400" s="1" t="s">
        <v>1084</v>
      </c>
      <c r="D400" s="1" t="str">
        <f>"8140"</f>
        <v>8140</v>
      </c>
      <c r="E400" s="1" t="str">
        <f>"009601699"</f>
        <v>009601699</v>
      </c>
      <c r="F400" s="1" t="s">
        <v>1085</v>
      </c>
      <c r="G400" s="1" t="s">
        <v>16</v>
      </c>
      <c r="H400" s="1" t="str">
        <f>"10"</f>
        <v>10</v>
      </c>
      <c r="I400" s="2">
        <v>11.1</v>
      </c>
      <c r="J400" s="3">
        <v>46161</v>
      </c>
      <c r="K400" s="1" t="s">
        <v>1086</v>
      </c>
    </row>
    <row r="401" spans="1:11" x14ac:dyDescent="0.35">
      <c r="A401" s="1" t="s">
        <v>962</v>
      </c>
      <c r="B401" s="1" t="s">
        <v>1067</v>
      </c>
      <c r="C401" s="1" t="s">
        <v>1091</v>
      </c>
      <c r="D401" s="1" t="str">
        <f>"8415"</f>
        <v>8415</v>
      </c>
      <c r="E401" s="1" t="str">
        <f>"015302350"</f>
        <v>015302350</v>
      </c>
      <c r="F401" s="1" t="s">
        <v>1092</v>
      </c>
      <c r="G401" s="1" t="s">
        <v>311</v>
      </c>
      <c r="H401" s="1" t="str">
        <f>"8"</f>
        <v>8</v>
      </c>
      <c r="I401" s="2">
        <v>17.41</v>
      </c>
      <c r="J401" s="3">
        <v>46161</v>
      </c>
      <c r="K401" s="1" t="s">
        <v>1093</v>
      </c>
    </row>
    <row r="402" spans="1:11" x14ac:dyDescent="0.35">
      <c r="A402" s="1" t="s">
        <v>962</v>
      </c>
      <c r="B402" s="1" t="s">
        <v>963</v>
      </c>
      <c r="C402" s="1" t="s">
        <v>970</v>
      </c>
      <c r="D402" s="1" t="str">
        <f>"2320"</f>
        <v>2320</v>
      </c>
      <c r="E402" s="1" t="s">
        <v>971</v>
      </c>
      <c r="F402" s="1" t="s">
        <v>972</v>
      </c>
      <c r="G402" s="1" t="s">
        <v>16</v>
      </c>
      <c r="H402" s="1" t="str">
        <f>"1"</f>
        <v>1</v>
      </c>
      <c r="I402" s="2" t="str">
        <f>"22000"</f>
        <v>22000</v>
      </c>
      <c r="J402" s="3">
        <v>46162</v>
      </c>
      <c r="K402" s="1" t="s">
        <v>973</v>
      </c>
    </row>
    <row r="403" spans="1:11" x14ac:dyDescent="0.35">
      <c r="A403" s="1" t="s">
        <v>962</v>
      </c>
      <c r="B403" s="1" t="s">
        <v>963</v>
      </c>
      <c r="C403" s="1" t="s">
        <v>991</v>
      </c>
      <c r="D403" s="1" t="str">
        <f>"2610"</f>
        <v>2610</v>
      </c>
      <c r="E403" s="1" t="str">
        <f>"015046590"</f>
        <v>015046590</v>
      </c>
      <c r="F403" s="1" t="s">
        <v>466</v>
      </c>
      <c r="G403" s="1" t="s">
        <v>16</v>
      </c>
      <c r="H403" s="1" t="str">
        <f>"8"</f>
        <v>8</v>
      </c>
      <c r="I403" s="2">
        <v>141.33000000000001</v>
      </c>
      <c r="J403" s="3">
        <v>46162</v>
      </c>
      <c r="K403" s="1" t="s">
        <v>992</v>
      </c>
    </row>
    <row r="404" spans="1:11" x14ac:dyDescent="0.35">
      <c r="A404" s="1" t="s">
        <v>962</v>
      </c>
      <c r="B404" s="1" t="s">
        <v>963</v>
      </c>
      <c r="C404" s="1" t="s">
        <v>993</v>
      </c>
      <c r="D404" s="1" t="str">
        <f>"2610"</f>
        <v>2610</v>
      </c>
      <c r="E404" s="1" t="str">
        <f>"015077619"</f>
        <v>015077619</v>
      </c>
      <c r="F404" s="1" t="s">
        <v>466</v>
      </c>
      <c r="G404" s="1" t="s">
        <v>16</v>
      </c>
      <c r="H404" s="1" t="str">
        <f>"9"</f>
        <v>9</v>
      </c>
      <c r="I404" s="2">
        <v>245.12</v>
      </c>
      <c r="J404" s="3">
        <v>46162</v>
      </c>
      <c r="K404" s="1" t="s">
        <v>992</v>
      </c>
    </row>
    <row r="405" spans="1:11" x14ac:dyDescent="0.35">
      <c r="A405" s="1" t="s">
        <v>962</v>
      </c>
      <c r="B405" s="1" t="s">
        <v>963</v>
      </c>
      <c r="C405" s="1" t="s">
        <v>994</v>
      </c>
      <c r="D405" s="1" t="str">
        <f>"2610"</f>
        <v>2610</v>
      </c>
      <c r="E405" s="1" t="str">
        <f>"014363334"</f>
        <v>014363334</v>
      </c>
      <c r="F405" s="1" t="s">
        <v>466</v>
      </c>
      <c r="G405" s="1" t="s">
        <v>16</v>
      </c>
      <c r="H405" s="1" t="str">
        <f>"8"</f>
        <v>8</v>
      </c>
      <c r="I405" s="2">
        <v>1090.4100000000001</v>
      </c>
      <c r="J405" s="3">
        <v>46162</v>
      </c>
      <c r="K405" s="1" t="s">
        <v>992</v>
      </c>
    </row>
    <row r="406" spans="1:11" x14ac:dyDescent="0.35">
      <c r="A406" s="1" t="s">
        <v>962</v>
      </c>
      <c r="B406" s="1" t="s">
        <v>963</v>
      </c>
      <c r="C406" s="1" t="s">
        <v>1035</v>
      </c>
      <c r="D406" s="1" t="str">
        <f>"5411"</f>
        <v>5411</v>
      </c>
      <c r="E406" s="1" t="str">
        <f>"004896076"</f>
        <v>004896076</v>
      </c>
      <c r="F406" s="1" t="s">
        <v>1033</v>
      </c>
      <c r="G406" s="1" t="s">
        <v>16</v>
      </c>
      <c r="H406" s="1" t="str">
        <f>"1"</f>
        <v>1</v>
      </c>
      <c r="I406" s="2" t="str">
        <f>"12890"</f>
        <v>12890</v>
      </c>
      <c r="J406" s="3">
        <v>46162</v>
      </c>
      <c r="K406" s="1" t="s">
        <v>1036</v>
      </c>
    </row>
    <row r="407" spans="1:11" x14ac:dyDescent="0.35">
      <c r="A407" s="1" t="s">
        <v>962</v>
      </c>
      <c r="B407" s="1" t="s">
        <v>963</v>
      </c>
      <c r="C407" s="1" t="s">
        <v>1040</v>
      </c>
      <c r="D407" s="1" t="str">
        <f>"6685"</f>
        <v>6685</v>
      </c>
      <c r="E407" s="1" t="s">
        <v>1041</v>
      </c>
      <c r="F407" s="1" t="s">
        <v>1042</v>
      </c>
      <c r="G407" s="1" t="s">
        <v>16</v>
      </c>
      <c r="H407" s="1" t="str">
        <f>"6"</f>
        <v>6</v>
      </c>
      <c r="I407" s="2">
        <v>123.99</v>
      </c>
      <c r="J407" s="3">
        <v>46162</v>
      </c>
      <c r="K407" s="1" t="s">
        <v>1043</v>
      </c>
    </row>
    <row r="408" spans="1:11" x14ac:dyDescent="0.35">
      <c r="A408" s="1" t="s">
        <v>962</v>
      </c>
      <c r="B408" s="1" t="s">
        <v>963</v>
      </c>
      <c r="C408" s="1" t="s">
        <v>1044</v>
      </c>
      <c r="D408" s="1" t="str">
        <f>"7035"</f>
        <v>7035</v>
      </c>
      <c r="E408" s="1" t="s">
        <v>1045</v>
      </c>
      <c r="F408" s="1" t="s">
        <v>1046</v>
      </c>
      <c r="G408" s="1" t="s">
        <v>16</v>
      </c>
      <c r="H408" s="1" t="str">
        <f>"7"</f>
        <v>7</v>
      </c>
      <c r="I408" s="2" t="str">
        <f>"6512"</f>
        <v>6512</v>
      </c>
      <c r="J408" s="3">
        <v>46162</v>
      </c>
      <c r="K408" s="1" t="s">
        <v>1047</v>
      </c>
    </row>
    <row r="409" spans="1:11" x14ac:dyDescent="0.35">
      <c r="A409" s="1" t="s">
        <v>962</v>
      </c>
      <c r="B409" s="1" t="s">
        <v>1067</v>
      </c>
      <c r="C409" s="1" t="s">
        <v>1073</v>
      </c>
      <c r="D409" s="1" t="str">
        <f>"5180"</f>
        <v>5180</v>
      </c>
      <c r="E409" s="1" t="str">
        <f>"016055146"</f>
        <v>016055146</v>
      </c>
      <c r="F409" s="1" t="s">
        <v>214</v>
      </c>
      <c r="G409" s="1" t="s">
        <v>458</v>
      </c>
      <c r="H409" s="1" t="str">
        <f>"1"</f>
        <v>1</v>
      </c>
      <c r="I409" s="2" t="str">
        <f>"2048"</f>
        <v>2048</v>
      </c>
      <c r="J409" s="3">
        <v>46168</v>
      </c>
      <c r="K409" s="1" t="s">
        <v>1074</v>
      </c>
    </row>
    <row r="410" spans="1:11" x14ac:dyDescent="0.35">
      <c r="A410" s="1" t="s">
        <v>962</v>
      </c>
      <c r="B410" s="1" t="s">
        <v>1067</v>
      </c>
      <c r="C410" s="1" t="s">
        <v>1075</v>
      </c>
      <c r="D410" s="1" t="str">
        <f>"5180"</f>
        <v>5180</v>
      </c>
      <c r="E410" s="1" t="str">
        <f>"015068287"</f>
        <v>015068287</v>
      </c>
      <c r="F410" s="1" t="s">
        <v>1076</v>
      </c>
      <c r="G410" s="1" t="s">
        <v>215</v>
      </c>
      <c r="H410" s="1" t="str">
        <f>"1"</f>
        <v>1</v>
      </c>
      <c r="I410" s="2" t="str">
        <f>"1774"</f>
        <v>1774</v>
      </c>
      <c r="J410" s="3">
        <v>46169</v>
      </c>
      <c r="K410" s="1" t="s">
        <v>1077</v>
      </c>
    </row>
    <row r="411" spans="1:11" x14ac:dyDescent="0.35">
      <c r="A411" s="1" t="s">
        <v>962</v>
      </c>
      <c r="B411" s="1" t="s">
        <v>1067</v>
      </c>
      <c r="C411" s="1" t="s">
        <v>1078</v>
      </c>
      <c r="D411" s="1" t="str">
        <f>"6545"</f>
        <v>6545</v>
      </c>
      <c r="E411" s="1" t="str">
        <f>"015300929"</f>
        <v>015300929</v>
      </c>
      <c r="F411" s="1" t="s">
        <v>236</v>
      </c>
      <c r="G411" s="1" t="s">
        <v>215</v>
      </c>
      <c r="H411" s="1" t="str">
        <f>"10"</f>
        <v>10</v>
      </c>
      <c r="I411" s="2">
        <v>48.71</v>
      </c>
      <c r="J411" s="3">
        <v>46169</v>
      </c>
      <c r="K411" s="1" t="s">
        <v>1079</v>
      </c>
    </row>
    <row r="412" spans="1:11" x14ac:dyDescent="0.35">
      <c r="A412" s="1" t="s">
        <v>962</v>
      </c>
      <c r="B412" s="1" t="s">
        <v>1067</v>
      </c>
      <c r="C412" s="1" t="s">
        <v>1096</v>
      </c>
      <c r="D412" s="1" t="str">
        <f>"8465"</f>
        <v>8465</v>
      </c>
      <c r="E412" s="1" t="str">
        <f>"015802774"</f>
        <v>015802774</v>
      </c>
      <c r="F412" s="1" t="s">
        <v>1097</v>
      </c>
      <c r="G412" s="1" t="s">
        <v>16</v>
      </c>
      <c r="H412" s="1" t="str">
        <f>"1"</f>
        <v>1</v>
      </c>
      <c r="I412" s="2">
        <v>152.32</v>
      </c>
      <c r="J412" s="3">
        <v>46169</v>
      </c>
      <c r="K412" s="1" t="s">
        <v>1079</v>
      </c>
    </row>
    <row r="413" spans="1:11" x14ac:dyDescent="0.35">
      <c r="A413" s="1" t="s">
        <v>962</v>
      </c>
      <c r="B413" s="1" t="s">
        <v>963</v>
      </c>
      <c r="C413" s="1" t="s">
        <v>974</v>
      </c>
      <c r="D413" s="1" t="str">
        <f>"2320"</f>
        <v>2320</v>
      </c>
      <c r="E413" s="1" t="s">
        <v>975</v>
      </c>
      <c r="F413" s="1" t="s">
        <v>976</v>
      </c>
      <c r="G413" s="1" t="s">
        <v>16</v>
      </c>
      <c r="H413" s="1" t="str">
        <f>"1"</f>
        <v>1</v>
      </c>
      <c r="I413" s="2" t="str">
        <f>"89090"</f>
        <v>89090</v>
      </c>
      <c r="J413" s="3">
        <v>46176</v>
      </c>
      <c r="K413" s="1" t="s">
        <v>977</v>
      </c>
    </row>
    <row r="414" spans="1:11" x14ac:dyDescent="0.35">
      <c r="A414" s="1" t="s">
        <v>962</v>
      </c>
      <c r="B414" s="1" t="s">
        <v>963</v>
      </c>
      <c r="C414" s="1" t="s">
        <v>983</v>
      </c>
      <c r="D414" s="1" t="str">
        <f>"2330"</f>
        <v>2330</v>
      </c>
      <c r="E414" s="1" t="str">
        <f>"010915167"</f>
        <v>010915167</v>
      </c>
      <c r="F414" s="1" t="s">
        <v>984</v>
      </c>
      <c r="G414" s="1" t="s">
        <v>16</v>
      </c>
      <c r="H414" s="1" t="str">
        <f>"1"</f>
        <v>1</v>
      </c>
      <c r="I414" s="2">
        <v>16423.78</v>
      </c>
      <c r="J414" s="3">
        <v>46176</v>
      </c>
      <c r="K414" s="1" t="s">
        <v>985</v>
      </c>
    </row>
    <row r="415" spans="1:11" x14ac:dyDescent="0.35">
      <c r="A415" s="1" t="s">
        <v>962</v>
      </c>
      <c r="B415" s="1" t="s">
        <v>963</v>
      </c>
      <c r="C415" s="1" t="s">
        <v>999</v>
      </c>
      <c r="D415" s="1" t="str">
        <f>"3805"</f>
        <v>3805</v>
      </c>
      <c r="E415" s="1" t="s">
        <v>384</v>
      </c>
      <c r="F415" s="1" t="s">
        <v>385</v>
      </c>
      <c r="G415" s="1" t="s">
        <v>16</v>
      </c>
      <c r="H415" s="1" t="str">
        <f>"1"</f>
        <v>1</v>
      </c>
      <c r="I415" s="2" t="str">
        <f>"16056"</f>
        <v>16056</v>
      </c>
      <c r="J415" s="3">
        <v>46176</v>
      </c>
      <c r="K415" s="1" t="s">
        <v>1000</v>
      </c>
    </row>
    <row r="416" spans="1:11" x14ac:dyDescent="0.35">
      <c r="A416" s="1" t="s">
        <v>962</v>
      </c>
      <c r="B416" s="1" t="s">
        <v>963</v>
      </c>
      <c r="C416" s="1" t="s">
        <v>1037</v>
      </c>
      <c r="D416" s="1" t="str">
        <f>"6115"</f>
        <v>6115</v>
      </c>
      <c r="E416" s="1" t="str">
        <f>"014526513"</f>
        <v>014526513</v>
      </c>
      <c r="F416" s="1" t="s">
        <v>1038</v>
      </c>
      <c r="G416" s="1" t="s">
        <v>16</v>
      </c>
      <c r="H416" s="1" t="str">
        <f>"1"</f>
        <v>1</v>
      </c>
      <c r="I416" s="2" t="str">
        <f>"90778"</f>
        <v>90778</v>
      </c>
      <c r="J416" s="3">
        <v>46176</v>
      </c>
      <c r="K416" s="1" t="s">
        <v>1039</v>
      </c>
    </row>
    <row r="417" spans="1:11" x14ac:dyDescent="0.35">
      <c r="A417" s="1" t="s">
        <v>962</v>
      </c>
      <c r="B417" s="1" t="s">
        <v>1067</v>
      </c>
      <c r="C417" s="1" t="s">
        <v>1068</v>
      </c>
      <c r="D417" s="1" t="str">
        <f>"1730"</f>
        <v>1730</v>
      </c>
      <c r="E417" s="1" t="str">
        <f>"015413186"</f>
        <v>015413186</v>
      </c>
      <c r="F417" s="1" t="s">
        <v>1069</v>
      </c>
      <c r="G417" s="1" t="s">
        <v>16</v>
      </c>
      <c r="H417" s="1" t="str">
        <f>"1"</f>
        <v>1</v>
      </c>
      <c r="I417" s="2" t="str">
        <f>"3505"</f>
        <v>3505</v>
      </c>
      <c r="J417" s="3">
        <v>46182</v>
      </c>
      <c r="K417" s="1" t="s">
        <v>1070</v>
      </c>
    </row>
    <row r="418" spans="1:11" x14ac:dyDescent="0.35">
      <c r="A418" s="1" t="s">
        <v>962</v>
      </c>
      <c r="B418" s="1" t="s">
        <v>1067</v>
      </c>
      <c r="C418" s="1" t="s">
        <v>1071</v>
      </c>
      <c r="D418" s="1" t="str">
        <f>"2330"</f>
        <v>2330</v>
      </c>
      <c r="E418" s="1" t="s">
        <v>70</v>
      </c>
      <c r="F418" s="1" t="s">
        <v>71</v>
      </c>
      <c r="G418" s="1" t="s">
        <v>16</v>
      </c>
      <c r="H418" s="1" t="str">
        <f>"1"</f>
        <v>1</v>
      </c>
      <c r="I418" s="2" t="str">
        <f>"3918"</f>
        <v>3918</v>
      </c>
      <c r="J418" s="3">
        <v>46182</v>
      </c>
      <c r="K418" s="1" t="s">
        <v>1072</v>
      </c>
    </row>
    <row r="419" spans="1:11" x14ac:dyDescent="0.35">
      <c r="A419" s="1" t="s">
        <v>962</v>
      </c>
      <c r="B419" s="1" t="s">
        <v>1067</v>
      </c>
      <c r="C419" s="1" t="s">
        <v>1080</v>
      </c>
      <c r="D419" s="1" t="str">
        <f>"6545"</f>
        <v>6545</v>
      </c>
      <c r="E419" s="1" t="str">
        <f>"015300929"</f>
        <v>015300929</v>
      </c>
      <c r="F419" s="1" t="s">
        <v>236</v>
      </c>
      <c r="G419" s="1" t="s">
        <v>215</v>
      </c>
      <c r="H419" s="1" t="str">
        <f>"1"</f>
        <v>1</v>
      </c>
      <c r="I419" s="2">
        <v>48.71</v>
      </c>
      <c r="J419" s="3">
        <v>46182</v>
      </c>
      <c r="K419" s="1" t="s">
        <v>1079</v>
      </c>
    </row>
    <row r="420" spans="1:11" x14ac:dyDescent="0.35">
      <c r="A420" s="1" t="s">
        <v>962</v>
      </c>
      <c r="B420" s="1" t="s">
        <v>1067</v>
      </c>
      <c r="C420" s="1" t="s">
        <v>1083</v>
      </c>
      <c r="D420" s="1" t="str">
        <f>"7830"</f>
        <v>7830</v>
      </c>
      <c r="E420" s="1" t="s">
        <v>14</v>
      </c>
      <c r="F420" s="1" t="s">
        <v>15</v>
      </c>
      <c r="G420" s="1" t="s">
        <v>16</v>
      </c>
      <c r="H420" s="1" t="str">
        <f>"1"</f>
        <v>1</v>
      </c>
      <c r="I420" s="2">
        <v>1548.5</v>
      </c>
      <c r="J420" s="3">
        <v>46182</v>
      </c>
      <c r="K420" s="1" t="s">
        <v>1082</v>
      </c>
    </row>
    <row r="421" spans="1:11" x14ac:dyDescent="0.35">
      <c r="A421" s="1" t="s">
        <v>962</v>
      </c>
      <c r="B421" s="1" t="s">
        <v>1067</v>
      </c>
      <c r="C421" s="1" t="s">
        <v>1087</v>
      </c>
      <c r="D421" s="1" t="str">
        <f>"8145"</f>
        <v>8145</v>
      </c>
      <c r="E421" s="1" t="s">
        <v>489</v>
      </c>
      <c r="F421" s="1" t="s">
        <v>490</v>
      </c>
      <c r="G421" s="1" t="s">
        <v>16</v>
      </c>
      <c r="H421" s="1" t="str">
        <f>"2"</f>
        <v>2</v>
      </c>
      <c r="I421" s="2" t="str">
        <f>"200"</f>
        <v>200</v>
      </c>
      <c r="J421" s="3">
        <v>46182</v>
      </c>
      <c r="K421" s="1" t="s">
        <v>1088</v>
      </c>
    </row>
    <row r="422" spans="1:11" x14ac:dyDescent="0.35">
      <c r="A422" s="1" t="s">
        <v>962</v>
      </c>
      <c r="B422" s="1" t="s">
        <v>1067</v>
      </c>
      <c r="C422" s="1" t="s">
        <v>1089</v>
      </c>
      <c r="D422" s="1" t="str">
        <f>"8415"</f>
        <v>8415</v>
      </c>
      <c r="E422" s="1" t="str">
        <f>"015302161"</f>
        <v>015302161</v>
      </c>
      <c r="F422" s="1" t="s">
        <v>1090</v>
      </c>
      <c r="G422" s="1" t="s">
        <v>311</v>
      </c>
      <c r="H422" s="1" t="str">
        <f>"5"</f>
        <v>5</v>
      </c>
      <c r="I422" s="2">
        <v>9.2899999999999991</v>
      </c>
      <c r="J422" s="3">
        <v>46182</v>
      </c>
      <c r="K422" s="1" t="s">
        <v>1079</v>
      </c>
    </row>
    <row r="423" spans="1:11" x14ac:dyDescent="0.35">
      <c r="A423" s="1" t="s">
        <v>962</v>
      </c>
      <c r="B423" s="1" t="s">
        <v>1067</v>
      </c>
      <c r="C423" s="1" t="s">
        <v>1094</v>
      </c>
      <c r="D423" s="1" t="str">
        <f>"8465"</f>
        <v>8465</v>
      </c>
      <c r="E423" s="1" t="str">
        <f>"013936515"</f>
        <v>013936515</v>
      </c>
      <c r="F423" s="1" t="s">
        <v>1095</v>
      </c>
      <c r="G423" s="1" t="s">
        <v>16</v>
      </c>
      <c r="H423" s="1" t="str">
        <f>"4"</f>
        <v>4</v>
      </c>
      <c r="I423" s="2">
        <v>68.81</v>
      </c>
      <c r="J423" s="3">
        <v>46182</v>
      </c>
      <c r="K423" s="1" t="s">
        <v>1079</v>
      </c>
    </row>
    <row r="424" spans="1:11" x14ac:dyDescent="0.35">
      <c r="A424" s="1" t="s">
        <v>962</v>
      </c>
      <c r="B424" s="1" t="s">
        <v>963</v>
      </c>
      <c r="C424" s="1" t="s">
        <v>988</v>
      </c>
      <c r="D424" s="1" t="str">
        <f>"2410"</f>
        <v>2410</v>
      </c>
      <c r="E424" s="1" t="str">
        <f>"012237261"</f>
        <v>012237261</v>
      </c>
      <c r="F424" s="1" t="s">
        <v>989</v>
      </c>
      <c r="G424" s="1" t="s">
        <v>16</v>
      </c>
      <c r="H424" s="1" t="str">
        <f>"1"</f>
        <v>1</v>
      </c>
      <c r="I424" s="2" t="str">
        <f>"90375"</f>
        <v>90375</v>
      </c>
      <c r="J424" s="3">
        <v>46184</v>
      </c>
      <c r="K424" s="1" t="s">
        <v>990</v>
      </c>
    </row>
    <row r="425" spans="1:11" x14ac:dyDescent="0.35">
      <c r="A425" s="1" t="s">
        <v>962</v>
      </c>
      <c r="B425" s="1" t="s">
        <v>963</v>
      </c>
      <c r="C425" s="1" t="s">
        <v>1027</v>
      </c>
      <c r="D425" s="1" t="str">
        <f>"5180"</f>
        <v>5180</v>
      </c>
      <c r="E425" s="1" t="str">
        <f>"016592696"</f>
        <v>016592696</v>
      </c>
      <c r="F425" s="1" t="s">
        <v>1028</v>
      </c>
      <c r="G425" s="1" t="s">
        <v>16</v>
      </c>
      <c r="H425" s="1" t="str">
        <f>"8"</f>
        <v>8</v>
      </c>
      <c r="I425" s="2" t="str">
        <f>"439"</f>
        <v>439</v>
      </c>
      <c r="J425" s="3">
        <v>46184</v>
      </c>
      <c r="K425" s="1" t="s">
        <v>1029</v>
      </c>
    </row>
    <row r="426" spans="1:11" x14ac:dyDescent="0.35">
      <c r="A426" s="1" t="s">
        <v>962</v>
      </c>
      <c r="B426" s="1" t="s">
        <v>963</v>
      </c>
      <c r="C426" s="1" t="s">
        <v>1062</v>
      </c>
      <c r="D426" s="1" t="str">
        <f>"8465"</f>
        <v>8465</v>
      </c>
      <c r="E426" s="1" t="s">
        <v>1063</v>
      </c>
      <c r="F426" s="1" t="s">
        <v>1064</v>
      </c>
      <c r="G426" s="1" t="s">
        <v>16</v>
      </c>
      <c r="H426" s="1" t="str">
        <f>"15"</f>
        <v>15</v>
      </c>
      <c r="I426" s="2" t="str">
        <f>"60"</f>
        <v>60</v>
      </c>
      <c r="J426" s="3">
        <v>46184</v>
      </c>
      <c r="K426" s="1" t="s">
        <v>1065</v>
      </c>
    </row>
    <row r="427" spans="1:11" x14ac:dyDescent="0.35">
      <c r="A427" s="1" t="s">
        <v>962</v>
      </c>
      <c r="B427" s="1" t="s">
        <v>963</v>
      </c>
      <c r="C427" s="1" t="s">
        <v>1001</v>
      </c>
      <c r="D427" s="1" t="str">
        <f>"3810"</f>
        <v>3810</v>
      </c>
      <c r="E427" s="1" t="str">
        <f>"017022732"</f>
        <v>017022732</v>
      </c>
      <c r="F427" s="1" t="s">
        <v>1002</v>
      </c>
      <c r="G427" s="1" t="s">
        <v>16</v>
      </c>
      <c r="H427" s="1" t="str">
        <f>"1"</f>
        <v>1</v>
      </c>
      <c r="I427" s="2" t="str">
        <f>"428955"</f>
        <v>428955</v>
      </c>
      <c r="J427" s="3">
        <v>46185</v>
      </c>
      <c r="K427" s="1" t="s">
        <v>1003</v>
      </c>
    </row>
    <row r="428" spans="1:11" x14ac:dyDescent="0.35">
      <c r="A428" s="1" t="s">
        <v>962</v>
      </c>
      <c r="B428" s="1" t="s">
        <v>963</v>
      </c>
      <c r="C428" s="1" t="s">
        <v>1020</v>
      </c>
      <c r="D428" s="1" t="str">
        <f>"4520"</f>
        <v>4520</v>
      </c>
      <c r="E428" s="1" t="str">
        <f>"014318927"</f>
        <v>014318927</v>
      </c>
      <c r="F428" s="1" t="s">
        <v>1021</v>
      </c>
      <c r="G428" s="1" t="s">
        <v>16</v>
      </c>
      <c r="H428" s="1" t="str">
        <f>"3"</f>
        <v>3</v>
      </c>
      <c r="I428" s="2">
        <v>16718.580000000002</v>
      </c>
      <c r="J428" s="3">
        <v>46185</v>
      </c>
      <c r="K428" s="1" t="s">
        <v>1022</v>
      </c>
    </row>
    <row r="429" spans="1:11" x14ac:dyDescent="0.35">
      <c r="A429" s="1" t="s">
        <v>962</v>
      </c>
      <c r="B429" s="1" t="s">
        <v>963</v>
      </c>
      <c r="C429" s="1" t="s">
        <v>964</v>
      </c>
      <c r="D429" s="1" t="str">
        <f>"1095"</f>
        <v>1095</v>
      </c>
      <c r="E429" s="1" t="str">
        <f>"015449199"</f>
        <v>015449199</v>
      </c>
      <c r="F429" s="1" t="s">
        <v>28</v>
      </c>
      <c r="G429" s="1" t="s">
        <v>16</v>
      </c>
      <c r="H429" s="1" t="str">
        <f>"12"</f>
        <v>12</v>
      </c>
      <c r="I429" s="2">
        <v>203.45</v>
      </c>
      <c r="J429" s="3">
        <v>46190</v>
      </c>
      <c r="K429" s="1" t="s">
        <v>965</v>
      </c>
    </row>
    <row r="430" spans="1:11" x14ac:dyDescent="0.35">
      <c r="A430" s="1" t="s">
        <v>962</v>
      </c>
      <c r="B430" s="1" t="s">
        <v>963</v>
      </c>
      <c r="C430" s="1" t="s">
        <v>1009</v>
      </c>
      <c r="D430" s="1" t="str">
        <f>"3940"</f>
        <v>3940</v>
      </c>
      <c r="E430" s="1" t="str">
        <f>"015771836"</f>
        <v>015771836</v>
      </c>
      <c r="F430" s="1" t="s">
        <v>1010</v>
      </c>
      <c r="G430" s="1" t="s">
        <v>16</v>
      </c>
      <c r="H430" s="1" t="str">
        <f>"1"</f>
        <v>1</v>
      </c>
      <c r="I430" s="2">
        <v>16821.11</v>
      </c>
      <c r="J430" s="3">
        <v>46190</v>
      </c>
      <c r="K430" s="1" t="s">
        <v>1011</v>
      </c>
    </row>
    <row r="431" spans="1:11" x14ac:dyDescent="0.35">
      <c r="A431" s="1" t="s">
        <v>962</v>
      </c>
      <c r="B431" s="1" t="s">
        <v>963</v>
      </c>
      <c r="C431" s="1" t="s">
        <v>1016</v>
      </c>
      <c r="D431" s="1" t="str">
        <f>"4210"</f>
        <v>4210</v>
      </c>
      <c r="E431" s="1" t="s">
        <v>1017</v>
      </c>
      <c r="F431" s="1" t="s">
        <v>1018</v>
      </c>
      <c r="G431" s="1" t="s">
        <v>16</v>
      </c>
      <c r="H431" s="1" t="str">
        <f>"1"</f>
        <v>1</v>
      </c>
      <c r="I431" s="2" t="str">
        <f>"9800"</f>
        <v>9800</v>
      </c>
      <c r="J431" s="3">
        <v>46190</v>
      </c>
      <c r="K431" s="1" t="s">
        <v>1019</v>
      </c>
    </row>
    <row r="432" spans="1:11" x14ac:dyDescent="0.35">
      <c r="A432" s="1" t="s">
        <v>962</v>
      </c>
      <c r="B432" s="1" t="s">
        <v>963</v>
      </c>
      <c r="C432" s="1" t="s">
        <v>1056</v>
      </c>
      <c r="D432" s="1" t="str">
        <f>"7810"</f>
        <v>7810</v>
      </c>
      <c r="E432" s="1" t="str">
        <f>"016219400"</f>
        <v>016219400</v>
      </c>
      <c r="F432" s="1" t="s">
        <v>1057</v>
      </c>
      <c r="G432" s="1" t="s">
        <v>16</v>
      </c>
      <c r="H432" s="1" t="str">
        <f>"6"</f>
        <v>6</v>
      </c>
      <c r="I432" s="2" t="str">
        <f>"250"</f>
        <v>250</v>
      </c>
      <c r="J432" s="3">
        <v>46190</v>
      </c>
      <c r="K432" s="1" t="s">
        <v>965</v>
      </c>
    </row>
    <row r="433" spans="1:11" x14ac:dyDescent="0.35">
      <c r="A433" s="1" t="s">
        <v>962</v>
      </c>
      <c r="B433" s="1" t="s">
        <v>963</v>
      </c>
      <c r="C433" s="1" t="s">
        <v>1004</v>
      </c>
      <c r="D433" s="1" t="str">
        <f>"3895"</f>
        <v>3895</v>
      </c>
      <c r="E433" s="1" t="s">
        <v>107</v>
      </c>
      <c r="F433" s="1" t="s">
        <v>108</v>
      </c>
      <c r="G433" s="1" t="s">
        <v>16</v>
      </c>
      <c r="H433" s="1" t="str">
        <f>"1"</f>
        <v>1</v>
      </c>
      <c r="I433" s="2" t="str">
        <f>"1611"</f>
        <v>1611</v>
      </c>
      <c r="J433" s="3">
        <v>46197</v>
      </c>
      <c r="K433" s="1" t="s">
        <v>1005</v>
      </c>
    </row>
    <row r="434" spans="1:11" x14ac:dyDescent="0.35">
      <c r="A434" s="1" t="s">
        <v>962</v>
      </c>
      <c r="B434" s="1" t="s">
        <v>963</v>
      </c>
      <c r="C434" s="1" t="s">
        <v>1012</v>
      </c>
      <c r="D434" s="1" t="str">
        <f>"4140"</f>
        <v>4140</v>
      </c>
      <c r="E434" s="1" t="s">
        <v>1013</v>
      </c>
      <c r="F434" s="1" t="s">
        <v>1014</v>
      </c>
      <c r="G434" s="1" t="s">
        <v>16</v>
      </c>
      <c r="H434" s="1" t="str">
        <f>"5"</f>
        <v>5</v>
      </c>
      <c r="I434" s="2" t="str">
        <f>"125"</f>
        <v>125</v>
      </c>
      <c r="J434" s="3">
        <v>46197</v>
      </c>
      <c r="K434" s="1" t="s">
        <v>1015</v>
      </c>
    </row>
    <row r="435" spans="1:11" x14ac:dyDescent="0.35">
      <c r="A435" s="1" t="s">
        <v>962</v>
      </c>
      <c r="B435" s="1" t="s">
        <v>963</v>
      </c>
      <c r="C435" s="1" t="s">
        <v>1030</v>
      </c>
      <c r="D435" s="1" t="str">
        <f>"5180"</f>
        <v>5180</v>
      </c>
      <c r="E435" s="1" t="str">
        <f>"002932875"</f>
        <v>002932875</v>
      </c>
      <c r="F435" s="1" t="s">
        <v>434</v>
      </c>
      <c r="G435" s="1" t="s">
        <v>215</v>
      </c>
      <c r="H435" s="1" t="str">
        <f>"1"</f>
        <v>1</v>
      </c>
      <c r="I435" s="2" t="str">
        <f>"1251"</f>
        <v>1251</v>
      </c>
      <c r="J435" s="3">
        <v>46197</v>
      </c>
      <c r="K435" s="1" t="s">
        <v>1031</v>
      </c>
    </row>
    <row r="436" spans="1:11" x14ac:dyDescent="0.35">
      <c r="A436" s="1" t="s">
        <v>962</v>
      </c>
      <c r="B436" s="1" t="s">
        <v>963</v>
      </c>
      <c r="C436" s="1" t="s">
        <v>1032</v>
      </c>
      <c r="D436" s="1" t="str">
        <f>"5411"</f>
        <v>5411</v>
      </c>
      <c r="E436" s="1" t="str">
        <f>"013335941"</f>
        <v>013335941</v>
      </c>
      <c r="F436" s="1" t="s">
        <v>1033</v>
      </c>
      <c r="G436" s="1" t="s">
        <v>16</v>
      </c>
      <c r="H436" s="1" t="str">
        <f>"1"</f>
        <v>1</v>
      </c>
      <c r="I436" s="2" t="str">
        <f>"15000"</f>
        <v>15000</v>
      </c>
      <c r="J436" s="3">
        <v>46197</v>
      </c>
      <c r="K436" s="1" t="s">
        <v>1034</v>
      </c>
    </row>
    <row r="437" spans="1:11" x14ac:dyDescent="0.35">
      <c r="A437" s="1" t="s">
        <v>962</v>
      </c>
      <c r="B437" s="1" t="s">
        <v>963</v>
      </c>
      <c r="C437" s="1" t="s">
        <v>1048</v>
      </c>
      <c r="D437" s="1" t="str">
        <f>"7035"</f>
        <v>7035</v>
      </c>
      <c r="E437" s="1" t="s">
        <v>1049</v>
      </c>
      <c r="F437" s="1" t="s">
        <v>1050</v>
      </c>
      <c r="G437" s="1" t="s">
        <v>16</v>
      </c>
      <c r="H437" s="1" t="str">
        <f>"20"</f>
        <v>20</v>
      </c>
      <c r="I437" s="2" t="str">
        <f>"75"</f>
        <v>75</v>
      </c>
      <c r="J437" s="3">
        <v>46197</v>
      </c>
      <c r="K437" s="1" t="s">
        <v>1051</v>
      </c>
    </row>
    <row r="438" spans="1:11" x14ac:dyDescent="0.35">
      <c r="A438" s="1" t="s">
        <v>962</v>
      </c>
      <c r="B438" s="1" t="s">
        <v>963</v>
      </c>
      <c r="C438" s="1" t="s">
        <v>986</v>
      </c>
      <c r="D438" s="1" t="str">
        <f>"2330"</f>
        <v>2330</v>
      </c>
      <c r="E438" s="1" t="s">
        <v>70</v>
      </c>
      <c r="F438" s="1" t="s">
        <v>71</v>
      </c>
      <c r="G438" s="1" t="s">
        <v>16</v>
      </c>
      <c r="H438" s="1" t="str">
        <f>"1"</f>
        <v>1</v>
      </c>
      <c r="I438" s="2" t="str">
        <f>"20000"</f>
        <v>20000</v>
      </c>
      <c r="J438" s="3">
        <v>46202</v>
      </c>
      <c r="K438" s="1" t="s">
        <v>987</v>
      </c>
    </row>
    <row r="439" spans="1:11" x14ac:dyDescent="0.35">
      <c r="A439" s="1" t="s">
        <v>1114</v>
      </c>
      <c r="B439" s="1" t="s">
        <v>1115</v>
      </c>
      <c r="C439" s="1" t="s">
        <v>1116</v>
      </c>
      <c r="D439" s="1" t="str">
        <f>"1005"</f>
        <v>1005</v>
      </c>
      <c r="E439" s="1" t="s">
        <v>94</v>
      </c>
      <c r="F439" s="1" t="s">
        <v>95</v>
      </c>
      <c r="G439" s="1" t="s">
        <v>16</v>
      </c>
      <c r="H439" s="1" t="str">
        <f>"10"</f>
        <v>10</v>
      </c>
      <c r="I439" s="2" t="str">
        <f>"50"</f>
        <v>50</v>
      </c>
      <c r="J439" s="3">
        <v>46178</v>
      </c>
      <c r="K439" s="1" t="s">
        <v>1117</v>
      </c>
    </row>
    <row r="440" spans="1:11" x14ac:dyDescent="0.35">
      <c r="A440" s="1" t="s">
        <v>1114</v>
      </c>
      <c r="B440" s="1" t="s">
        <v>1115</v>
      </c>
      <c r="C440" s="1" t="s">
        <v>1118</v>
      </c>
      <c r="D440" s="1" t="str">
        <f>"2340"</f>
        <v>2340</v>
      </c>
      <c r="E440" s="1" t="s">
        <v>61</v>
      </c>
      <c r="F440" s="1" t="s">
        <v>62</v>
      </c>
      <c r="G440" s="1" t="s">
        <v>16</v>
      </c>
      <c r="H440" s="1" t="str">
        <f>"1"</f>
        <v>1</v>
      </c>
      <c r="I440" s="2" t="str">
        <f>"2500"</f>
        <v>2500</v>
      </c>
      <c r="J440" s="3">
        <v>46178</v>
      </c>
      <c r="K440" s="1" t="s">
        <v>1119</v>
      </c>
    </row>
    <row r="441" spans="1:11" x14ac:dyDescent="0.35">
      <c r="A441" s="1" t="s">
        <v>1114</v>
      </c>
      <c r="B441" s="1" t="s">
        <v>1115</v>
      </c>
      <c r="C441" s="1" t="s">
        <v>1120</v>
      </c>
      <c r="D441" s="1" t="str">
        <f>"6530"</f>
        <v>6530</v>
      </c>
      <c r="E441" s="1" t="str">
        <f>"015049051"</f>
        <v>015049051</v>
      </c>
      <c r="F441" s="1" t="s">
        <v>1121</v>
      </c>
      <c r="G441" s="1" t="s">
        <v>16</v>
      </c>
      <c r="H441" s="1" t="str">
        <f>"4"</f>
        <v>4</v>
      </c>
      <c r="I441" s="2">
        <v>937.15</v>
      </c>
      <c r="J441" s="3">
        <v>46178</v>
      </c>
      <c r="K441" s="1" t="s">
        <v>1122</v>
      </c>
    </row>
    <row r="442" spans="1:11" x14ac:dyDescent="0.35">
      <c r="A442" s="1" t="s">
        <v>1114</v>
      </c>
      <c r="B442" s="1" t="s">
        <v>1115</v>
      </c>
      <c r="C442" s="1" t="s">
        <v>1123</v>
      </c>
      <c r="D442" s="1" t="str">
        <f>"6910"</f>
        <v>6910</v>
      </c>
      <c r="E442" s="1" t="s">
        <v>1124</v>
      </c>
      <c r="F442" s="1" t="s">
        <v>1125</v>
      </c>
      <c r="G442" s="1" t="s">
        <v>16</v>
      </c>
      <c r="H442" s="1" t="str">
        <f>"1"</f>
        <v>1</v>
      </c>
      <c r="I442" s="2" t="str">
        <f>"500"</f>
        <v>500</v>
      </c>
      <c r="J442" s="3">
        <v>46178</v>
      </c>
      <c r="K442" s="1" t="s">
        <v>1126</v>
      </c>
    </row>
    <row r="443" spans="1:11" x14ac:dyDescent="0.35">
      <c r="A443" s="1" t="s">
        <v>1114</v>
      </c>
      <c r="B443" s="1" t="s">
        <v>1115</v>
      </c>
      <c r="C443" s="1" t="s">
        <v>1127</v>
      </c>
      <c r="D443" s="1" t="str">
        <f>"7025"</f>
        <v>7025</v>
      </c>
      <c r="E443" s="1" t="s">
        <v>1128</v>
      </c>
      <c r="F443" s="1" t="s">
        <v>1129</v>
      </c>
      <c r="G443" s="1" t="s">
        <v>16</v>
      </c>
      <c r="H443" s="1" t="str">
        <f>"5"</f>
        <v>5</v>
      </c>
      <c r="I443" s="2" t="str">
        <f>"500"</f>
        <v>500</v>
      </c>
      <c r="J443" s="3">
        <v>46178</v>
      </c>
      <c r="K443" s="1" t="s">
        <v>1130</v>
      </c>
    </row>
    <row r="444" spans="1:11" x14ac:dyDescent="0.35">
      <c r="A444" s="1" t="s">
        <v>1114</v>
      </c>
      <c r="B444" s="1" t="s">
        <v>1115</v>
      </c>
      <c r="C444" s="1" t="s">
        <v>1131</v>
      </c>
      <c r="D444" s="1" t="str">
        <f>"7025"</f>
        <v>7025</v>
      </c>
      <c r="E444" s="1" t="str">
        <f>"016203056"</f>
        <v>016203056</v>
      </c>
      <c r="F444" s="1" t="s">
        <v>1132</v>
      </c>
      <c r="G444" s="1" t="s">
        <v>16</v>
      </c>
      <c r="H444" s="1" t="str">
        <f>"5"</f>
        <v>5</v>
      </c>
      <c r="I444" s="2" t="str">
        <f>"300"</f>
        <v>300</v>
      </c>
      <c r="J444" s="3">
        <v>46178</v>
      </c>
      <c r="K444" s="1" t="s">
        <v>1133</v>
      </c>
    </row>
    <row r="445" spans="1:11" x14ac:dyDescent="0.35">
      <c r="A445" s="1" t="s">
        <v>1114</v>
      </c>
      <c r="B445" s="1" t="s">
        <v>1115</v>
      </c>
      <c r="C445" s="1" t="s">
        <v>1134</v>
      </c>
      <c r="D445" s="1" t="str">
        <f>"8340"</f>
        <v>8340</v>
      </c>
      <c r="E445" s="1" t="s">
        <v>1135</v>
      </c>
      <c r="F445" s="1" t="s">
        <v>1136</v>
      </c>
      <c r="G445" s="1" t="s">
        <v>16</v>
      </c>
      <c r="H445" s="1" t="str">
        <f>"3"</f>
        <v>3</v>
      </c>
      <c r="I445" s="2" t="str">
        <f>"500"</f>
        <v>500</v>
      </c>
      <c r="J445" s="3">
        <v>46178</v>
      </c>
      <c r="K445" s="1" t="s">
        <v>1137</v>
      </c>
    </row>
    <row r="446" spans="1:11" x14ac:dyDescent="0.35">
      <c r="A446" s="1" t="s">
        <v>1114</v>
      </c>
      <c r="B446" s="1" t="s">
        <v>1115</v>
      </c>
      <c r="C446" s="1" t="s">
        <v>1138</v>
      </c>
      <c r="D446" s="1" t="str">
        <f>"8415"</f>
        <v>8415</v>
      </c>
      <c r="E446" s="1" t="s">
        <v>1139</v>
      </c>
      <c r="F446" s="1" t="s">
        <v>1140</v>
      </c>
      <c r="G446" s="1" t="s">
        <v>16</v>
      </c>
      <c r="H446" s="1" t="str">
        <f>"2"</f>
        <v>2</v>
      </c>
      <c r="I446" s="2" t="str">
        <f>"100"</f>
        <v>100</v>
      </c>
      <c r="J446" s="3">
        <v>46178</v>
      </c>
      <c r="K446" s="1" t="s">
        <v>1141</v>
      </c>
    </row>
    <row r="447" spans="1:11" x14ac:dyDescent="0.35">
      <c r="A447" s="1" t="s">
        <v>1114</v>
      </c>
      <c r="B447" s="1" t="s">
        <v>1115</v>
      </c>
      <c r="C447" s="1" t="s">
        <v>1142</v>
      </c>
      <c r="D447" s="1" t="str">
        <f>"8465"</f>
        <v>8465</v>
      </c>
      <c r="E447" s="1" t="s">
        <v>1143</v>
      </c>
      <c r="F447" s="1" t="s">
        <v>1144</v>
      </c>
      <c r="G447" s="1" t="s">
        <v>16</v>
      </c>
      <c r="H447" s="1" t="str">
        <f>"10"</f>
        <v>10</v>
      </c>
      <c r="I447" s="2" t="str">
        <f>"60"</f>
        <v>60</v>
      </c>
      <c r="J447" s="3">
        <v>46178</v>
      </c>
      <c r="K447" s="1" t="s">
        <v>1145</v>
      </c>
    </row>
    <row r="448" spans="1:11" x14ac:dyDescent="0.35">
      <c r="A448" s="1" t="s">
        <v>1114</v>
      </c>
      <c r="B448" s="1" t="s">
        <v>1115</v>
      </c>
      <c r="C448" s="1" t="s">
        <v>1146</v>
      </c>
      <c r="D448" s="1" t="str">
        <f>"8465"</f>
        <v>8465</v>
      </c>
      <c r="E448" s="1" t="s">
        <v>1147</v>
      </c>
      <c r="F448" s="1" t="s">
        <v>1148</v>
      </c>
      <c r="G448" s="1" t="s">
        <v>16</v>
      </c>
      <c r="H448" s="1" t="str">
        <f>"7"</f>
        <v>7</v>
      </c>
      <c r="I448" s="2" t="str">
        <f>"33"</f>
        <v>33</v>
      </c>
      <c r="J448" s="3">
        <v>46178</v>
      </c>
      <c r="K448" s="1" t="s">
        <v>1149</v>
      </c>
    </row>
    <row r="449" spans="1:11" x14ac:dyDescent="0.35">
      <c r="A449" s="1" t="s">
        <v>1114</v>
      </c>
      <c r="B449" s="1" t="s">
        <v>1115</v>
      </c>
      <c r="C449" s="1" t="s">
        <v>1150</v>
      </c>
      <c r="D449" s="1" t="str">
        <f>"8465"</f>
        <v>8465</v>
      </c>
      <c r="E449" s="1" t="s">
        <v>1063</v>
      </c>
      <c r="F449" s="1" t="s">
        <v>1064</v>
      </c>
      <c r="G449" s="1" t="s">
        <v>16</v>
      </c>
      <c r="H449" s="1" t="str">
        <f>"5"</f>
        <v>5</v>
      </c>
      <c r="I449" s="2" t="str">
        <f>"30"</f>
        <v>30</v>
      </c>
      <c r="J449" s="3">
        <v>46178</v>
      </c>
      <c r="K449" s="1" t="s">
        <v>1151</v>
      </c>
    </row>
    <row r="450" spans="1:11" x14ac:dyDescent="0.35">
      <c r="A450" s="1" t="s">
        <v>1152</v>
      </c>
      <c r="B450" s="1" t="s">
        <v>1153</v>
      </c>
      <c r="C450" s="1" t="s">
        <v>1199</v>
      </c>
      <c r="D450" s="1" t="str">
        <f>"8405"</f>
        <v>8405</v>
      </c>
      <c r="E450" s="1" t="str">
        <f>"015472559"</f>
        <v>015472559</v>
      </c>
      <c r="F450" s="1" t="s">
        <v>1200</v>
      </c>
      <c r="G450" s="1" t="s">
        <v>16</v>
      </c>
      <c r="H450" s="1" t="str">
        <f>"97"</f>
        <v>97</v>
      </c>
      <c r="I450" s="2">
        <v>38.4</v>
      </c>
      <c r="J450" s="3">
        <v>46119</v>
      </c>
      <c r="K450" s="1" t="s">
        <v>1201</v>
      </c>
    </row>
    <row r="451" spans="1:11" x14ac:dyDescent="0.35">
      <c r="A451" s="1" t="s">
        <v>1152</v>
      </c>
      <c r="B451" s="1" t="s">
        <v>1269</v>
      </c>
      <c r="C451" s="1" t="s">
        <v>1270</v>
      </c>
      <c r="D451" s="1" t="str">
        <f>"8430"</f>
        <v>8430</v>
      </c>
      <c r="E451" s="1" t="str">
        <f>"015145135"</f>
        <v>015145135</v>
      </c>
      <c r="F451" s="1" t="s">
        <v>898</v>
      </c>
      <c r="G451" s="1" t="s">
        <v>311</v>
      </c>
      <c r="H451" s="1" t="str">
        <f>"1"</f>
        <v>1</v>
      </c>
      <c r="I451" s="2">
        <v>67.489999999999995</v>
      </c>
      <c r="J451" s="3">
        <v>46119</v>
      </c>
      <c r="K451" s="1" t="s">
        <v>1271</v>
      </c>
    </row>
    <row r="452" spans="1:11" x14ac:dyDescent="0.35">
      <c r="A452" s="1" t="s">
        <v>1152</v>
      </c>
      <c r="B452" s="1" t="s">
        <v>1269</v>
      </c>
      <c r="C452" s="1" t="s">
        <v>1272</v>
      </c>
      <c r="D452" s="1" t="str">
        <f>"8430"</f>
        <v>8430</v>
      </c>
      <c r="E452" s="1" t="s">
        <v>522</v>
      </c>
      <c r="F452" s="1" t="s">
        <v>523</v>
      </c>
      <c r="G452" s="1" t="s">
        <v>311</v>
      </c>
      <c r="H452" s="1" t="str">
        <f>"1"</f>
        <v>1</v>
      </c>
      <c r="I452" s="2">
        <v>173.8</v>
      </c>
      <c r="J452" s="3">
        <v>46119</v>
      </c>
      <c r="K452" s="1" t="s">
        <v>1273</v>
      </c>
    </row>
    <row r="453" spans="1:11" x14ac:dyDescent="0.35">
      <c r="A453" s="1" t="s">
        <v>1152</v>
      </c>
      <c r="B453" s="1" t="s">
        <v>1269</v>
      </c>
      <c r="C453" s="1" t="s">
        <v>1274</v>
      </c>
      <c r="D453" s="1" t="str">
        <f>"8430"</f>
        <v>8430</v>
      </c>
      <c r="E453" s="1" t="s">
        <v>522</v>
      </c>
      <c r="F453" s="1" t="s">
        <v>523</v>
      </c>
      <c r="G453" s="1" t="s">
        <v>311</v>
      </c>
      <c r="H453" s="1" t="str">
        <f>"1"</f>
        <v>1</v>
      </c>
      <c r="I453" s="2">
        <v>110.1</v>
      </c>
      <c r="J453" s="3">
        <v>46122</v>
      </c>
      <c r="K453" s="1" t="s">
        <v>1275</v>
      </c>
    </row>
    <row r="454" spans="1:11" x14ac:dyDescent="0.35">
      <c r="A454" s="1" t="s">
        <v>1152</v>
      </c>
      <c r="B454" s="1" t="s">
        <v>1153</v>
      </c>
      <c r="C454" s="1" t="s">
        <v>1204</v>
      </c>
      <c r="D454" s="1" t="str">
        <f>"8415"</f>
        <v>8415</v>
      </c>
      <c r="E454" s="1" t="str">
        <f>"015066256"</f>
        <v>015066256</v>
      </c>
      <c r="F454" s="1" t="s">
        <v>1205</v>
      </c>
      <c r="G454" s="1" t="s">
        <v>16</v>
      </c>
      <c r="H454" s="1" t="str">
        <f>"5"</f>
        <v>5</v>
      </c>
      <c r="I454" s="2">
        <v>162.94999999999999</v>
      </c>
      <c r="J454" s="3">
        <v>46128</v>
      </c>
      <c r="K454" s="1" t="s">
        <v>1156</v>
      </c>
    </row>
    <row r="455" spans="1:11" x14ac:dyDescent="0.35">
      <c r="A455" s="1" t="s">
        <v>1152</v>
      </c>
      <c r="B455" s="1" t="s">
        <v>1153</v>
      </c>
      <c r="C455" s="1" t="s">
        <v>1206</v>
      </c>
      <c r="D455" s="1" t="str">
        <f>"8415"</f>
        <v>8415</v>
      </c>
      <c r="E455" s="1" t="str">
        <f>"016238633"</f>
        <v>016238633</v>
      </c>
      <c r="F455" s="1" t="s">
        <v>1207</v>
      </c>
      <c r="G455" s="1" t="s">
        <v>16</v>
      </c>
      <c r="H455" s="1" t="str">
        <f>"1"</f>
        <v>1</v>
      </c>
      <c r="I455" s="2">
        <v>63.65</v>
      </c>
      <c r="J455" s="3">
        <v>46128</v>
      </c>
      <c r="K455" s="1" t="s">
        <v>1208</v>
      </c>
    </row>
    <row r="456" spans="1:11" x14ac:dyDescent="0.35">
      <c r="A456" s="1" t="s">
        <v>1152</v>
      </c>
      <c r="B456" s="1" t="s">
        <v>1153</v>
      </c>
      <c r="C456" s="1" t="s">
        <v>1158</v>
      </c>
      <c r="D456" s="1" t="str">
        <f>"1240"</f>
        <v>1240</v>
      </c>
      <c r="E456" s="1" t="str">
        <f>"015751105"</f>
        <v>015751105</v>
      </c>
      <c r="F456" s="1" t="s">
        <v>1159</v>
      </c>
      <c r="G456" s="1" t="s">
        <v>16</v>
      </c>
      <c r="H456" s="1" t="str">
        <f>"9"</f>
        <v>9</v>
      </c>
      <c r="I456" s="2" t="str">
        <f>"7974"</f>
        <v>7974</v>
      </c>
      <c r="J456" s="3">
        <v>46129</v>
      </c>
      <c r="K456" s="1" t="s">
        <v>1156</v>
      </c>
    </row>
    <row r="457" spans="1:11" x14ac:dyDescent="0.35">
      <c r="A457" s="1" t="s">
        <v>1152</v>
      </c>
      <c r="B457" s="1" t="s">
        <v>1153</v>
      </c>
      <c r="C457" s="1" t="s">
        <v>1160</v>
      </c>
      <c r="D457" s="1" t="str">
        <f>"1240"</f>
        <v>1240</v>
      </c>
      <c r="E457" s="1" t="str">
        <f>"015751124"</f>
        <v>015751124</v>
      </c>
      <c r="F457" s="1" t="s">
        <v>1161</v>
      </c>
      <c r="G457" s="1" t="s">
        <v>16</v>
      </c>
      <c r="H457" s="1" t="str">
        <f>"9"</f>
        <v>9</v>
      </c>
      <c r="I457" s="2" t="str">
        <f>"73929"</f>
        <v>73929</v>
      </c>
      <c r="J457" s="3">
        <v>46129</v>
      </c>
      <c r="K457" s="1" t="s">
        <v>1156</v>
      </c>
    </row>
    <row r="458" spans="1:11" x14ac:dyDescent="0.35">
      <c r="A458" s="1" t="s">
        <v>1152</v>
      </c>
      <c r="B458" s="1" t="s">
        <v>1153</v>
      </c>
      <c r="C458" s="1" t="s">
        <v>1166</v>
      </c>
      <c r="D458" s="1" t="str">
        <f>"2540"</f>
        <v>2540</v>
      </c>
      <c r="E458" s="1" t="str">
        <f>"014504019"</f>
        <v>014504019</v>
      </c>
      <c r="F458" s="1" t="s">
        <v>1167</v>
      </c>
      <c r="G458" s="1" t="s">
        <v>1168</v>
      </c>
      <c r="H458" s="1" t="str">
        <f>"1"</f>
        <v>1</v>
      </c>
      <c r="I458" s="2">
        <v>777.75</v>
      </c>
      <c r="J458" s="3">
        <v>46129</v>
      </c>
      <c r="K458" s="1" t="s">
        <v>1156</v>
      </c>
    </row>
    <row r="459" spans="1:11" x14ac:dyDescent="0.35">
      <c r="A459" s="1" t="s">
        <v>1152</v>
      </c>
      <c r="B459" s="1" t="s">
        <v>1153</v>
      </c>
      <c r="C459" s="1" t="s">
        <v>1180</v>
      </c>
      <c r="D459" s="1" t="str">
        <f>"6625"</f>
        <v>6625</v>
      </c>
      <c r="E459" s="1" t="s">
        <v>1181</v>
      </c>
      <c r="F459" s="1" t="s">
        <v>1182</v>
      </c>
      <c r="G459" s="1" t="s">
        <v>16</v>
      </c>
      <c r="H459" s="1" t="str">
        <f>"20"</f>
        <v>20</v>
      </c>
      <c r="I459" s="2" t="str">
        <f>"500"</f>
        <v>500</v>
      </c>
      <c r="J459" s="3">
        <v>46129</v>
      </c>
      <c r="K459" s="1" t="s">
        <v>1156</v>
      </c>
    </row>
    <row r="460" spans="1:11" x14ac:dyDescent="0.35">
      <c r="A460" s="1" t="s">
        <v>1152</v>
      </c>
      <c r="B460" s="1" t="s">
        <v>1153</v>
      </c>
      <c r="C460" s="1" t="s">
        <v>1189</v>
      </c>
      <c r="D460" s="1" t="str">
        <f>"7210"</f>
        <v>7210</v>
      </c>
      <c r="E460" s="1" t="str">
        <f>"002827950"</f>
        <v>002827950</v>
      </c>
      <c r="F460" s="1" t="s">
        <v>864</v>
      </c>
      <c r="G460" s="1" t="s">
        <v>16</v>
      </c>
      <c r="H460" s="1" t="str">
        <f>"1"</f>
        <v>1</v>
      </c>
      <c r="I460" s="2">
        <v>41.47</v>
      </c>
      <c r="J460" s="3">
        <v>46129</v>
      </c>
      <c r="K460" s="1" t="s">
        <v>1156</v>
      </c>
    </row>
    <row r="461" spans="1:11" x14ac:dyDescent="0.35">
      <c r="A461" s="1" t="s">
        <v>1152</v>
      </c>
      <c r="B461" s="1" t="s">
        <v>1153</v>
      </c>
      <c r="C461" s="1" t="s">
        <v>1190</v>
      </c>
      <c r="D461" s="1" t="str">
        <f>"7210"</f>
        <v>7210</v>
      </c>
      <c r="E461" s="1" t="str">
        <f>"002669736"</f>
        <v>002669736</v>
      </c>
      <c r="F461" s="1" t="s">
        <v>1191</v>
      </c>
      <c r="G461" s="1" t="s">
        <v>16</v>
      </c>
      <c r="H461" s="1" t="str">
        <f>"1"</f>
        <v>1</v>
      </c>
      <c r="I461" s="2">
        <v>93.86</v>
      </c>
      <c r="J461" s="3">
        <v>46129</v>
      </c>
      <c r="K461" s="1" t="s">
        <v>1156</v>
      </c>
    </row>
    <row r="462" spans="1:11" x14ac:dyDescent="0.35">
      <c r="A462" s="1" t="s">
        <v>1152</v>
      </c>
      <c r="B462" s="1" t="s">
        <v>1153</v>
      </c>
      <c r="C462" s="1" t="s">
        <v>1192</v>
      </c>
      <c r="D462" s="1" t="str">
        <f>"7210"</f>
        <v>7210</v>
      </c>
      <c r="E462" s="1" t="str">
        <f>"002669736"</f>
        <v>002669736</v>
      </c>
      <c r="F462" s="1" t="s">
        <v>1191</v>
      </c>
      <c r="G462" s="1" t="s">
        <v>16</v>
      </c>
      <c r="H462" s="1" t="str">
        <f>"2"</f>
        <v>2</v>
      </c>
      <c r="I462" s="2">
        <v>93.86</v>
      </c>
      <c r="J462" s="3">
        <v>46129</v>
      </c>
      <c r="K462" s="1" t="s">
        <v>1156</v>
      </c>
    </row>
    <row r="463" spans="1:11" x14ac:dyDescent="0.35">
      <c r="A463" s="1" t="s">
        <v>1152</v>
      </c>
      <c r="B463" s="1" t="s">
        <v>1153</v>
      </c>
      <c r="C463" s="1" t="s">
        <v>1202</v>
      </c>
      <c r="D463" s="1" t="str">
        <f>"8415"</f>
        <v>8415</v>
      </c>
      <c r="E463" s="1" t="str">
        <f>"012281307"</f>
        <v>012281307</v>
      </c>
      <c r="F463" s="1" t="s">
        <v>1203</v>
      </c>
      <c r="G463" s="1" t="s">
        <v>16</v>
      </c>
      <c r="H463" s="1" t="str">
        <f>"1"</f>
        <v>1</v>
      </c>
      <c r="I463" s="2">
        <v>155.33000000000001</v>
      </c>
      <c r="J463" s="3">
        <v>46129</v>
      </c>
      <c r="K463" s="1" t="s">
        <v>1156</v>
      </c>
    </row>
    <row r="464" spans="1:11" x14ac:dyDescent="0.35">
      <c r="A464" s="1" t="s">
        <v>1152</v>
      </c>
      <c r="B464" s="1" t="s">
        <v>1153</v>
      </c>
      <c r="C464" s="1" t="s">
        <v>1214</v>
      </c>
      <c r="D464" s="1" t="str">
        <f>"8415"</f>
        <v>8415</v>
      </c>
      <c r="E464" s="1" t="str">
        <f>"013950005"</f>
        <v>013950005</v>
      </c>
      <c r="F464" s="1" t="s">
        <v>1211</v>
      </c>
      <c r="G464" s="1" t="s">
        <v>16</v>
      </c>
      <c r="H464" s="1" t="str">
        <f>"1"</f>
        <v>1</v>
      </c>
      <c r="I464" s="2">
        <v>184.45</v>
      </c>
      <c r="J464" s="3">
        <v>46129</v>
      </c>
      <c r="K464" s="1" t="s">
        <v>1156</v>
      </c>
    </row>
    <row r="465" spans="1:11" x14ac:dyDescent="0.35">
      <c r="A465" s="1" t="s">
        <v>1152</v>
      </c>
      <c r="B465" s="1" t="s">
        <v>1153</v>
      </c>
      <c r="C465" s="1" t="s">
        <v>1215</v>
      </c>
      <c r="D465" s="1" t="str">
        <f>"8415"</f>
        <v>8415</v>
      </c>
      <c r="E465" s="1" t="str">
        <f>"012281319"</f>
        <v>012281319</v>
      </c>
      <c r="F465" s="1" t="s">
        <v>1203</v>
      </c>
      <c r="G465" s="1" t="s">
        <v>16</v>
      </c>
      <c r="H465" s="1" t="str">
        <f>"1"</f>
        <v>1</v>
      </c>
      <c r="I465" s="2">
        <v>155.33000000000001</v>
      </c>
      <c r="J465" s="3">
        <v>46129</v>
      </c>
      <c r="K465" s="1" t="s">
        <v>1156</v>
      </c>
    </row>
    <row r="466" spans="1:11" x14ac:dyDescent="0.35">
      <c r="A466" s="1" t="s">
        <v>1152</v>
      </c>
      <c r="B466" s="1" t="s">
        <v>1153</v>
      </c>
      <c r="C466" s="1" t="s">
        <v>1216</v>
      </c>
      <c r="D466" s="1" t="str">
        <f>"8415"</f>
        <v>8415</v>
      </c>
      <c r="E466" s="1" t="str">
        <f>"009353130"</f>
        <v>009353130</v>
      </c>
      <c r="F466" s="1" t="s">
        <v>1217</v>
      </c>
      <c r="G466" s="1" t="s">
        <v>16</v>
      </c>
      <c r="H466" s="1" t="str">
        <f>"5"</f>
        <v>5</v>
      </c>
      <c r="I466" s="2">
        <v>17.22</v>
      </c>
      <c r="J466" s="3">
        <v>46129</v>
      </c>
      <c r="K466" s="1" t="s">
        <v>1156</v>
      </c>
    </row>
    <row r="467" spans="1:11" x14ac:dyDescent="0.35">
      <c r="A467" s="1" t="s">
        <v>1152</v>
      </c>
      <c r="B467" s="1" t="s">
        <v>1153</v>
      </c>
      <c r="C467" s="1" t="s">
        <v>1218</v>
      </c>
      <c r="D467" s="1" t="str">
        <f>"8415"</f>
        <v>8415</v>
      </c>
      <c r="E467" s="1" t="str">
        <f>"015778459"</f>
        <v>015778459</v>
      </c>
      <c r="F467" s="1" t="s">
        <v>675</v>
      </c>
      <c r="G467" s="1" t="s">
        <v>16</v>
      </c>
      <c r="H467" s="1" t="str">
        <f>"1"</f>
        <v>1</v>
      </c>
      <c r="I467" s="2">
        <v>134.36000000000001</v>
      </c>
      <c r="J467" s="3">
        <v>46129</v>
      </c>
      <c r="K467" s="1" t="s">
        <v>1156</v>
      </c>
    </row>
    <row r="468" spans="1:11" x14ac:dyDescent="0.35">
      <c r="A468" s="1" t="s">
        <v>1152</v>
      </c>
      <c r="B468" s="1" t="s">
        <v>1153</v>
      </c>
      <c r="C468" s="1" t="s">
        <v>1219</v>
      </c>
      <c r="D468" s="1" t="str">
        <f>"8415"</f>
        <v>8415</v>
      </c>
      <c r="E468" s="1" t="str">
        <f>"014726917"</f>
        <v>014726917</v>
      </c>
      <c r="F468" s="1" t="s">
        <v>1220</v>
      </c>
      <c r="G468" s="1" t="s">
        <v>16</v>
      </c>
      <c r="H468" s="1" t="str">
        <f>"1"</f>
        <v>1</v>
      </c>
      <c r="I468" s="2" t="str">
        <f>"42"</f>
        <v>42</v>
      </c>
      <c r="J468" s="3">
        <v>46129</v>
      </c>
      <c r="K468" s="1" t="s">
        <v>1156</v>
      </c>
    </row>
    <row r="469" spans="1:11" x14ac:dyDescent="0.35">
      <c r="A469" s="1" t="s">
        <v>1152</v>
      </c>
      <c r="B469" s="1" t="s">
        <v>1153</v>
      </c>
      <c r="C469" s="1" t="s">
        <v>1221</v>
      </c>
      <c r="D469" s="1" t="str">
        <f>"8415"</f>
        <v>8415</v>
      </c>
      <c r="E469" s="1" t="str">
        <f>"012281322"</f>
        <v>012281322</v>
      </c>
      <c r="F469" s="1" t="s">
        <v>1203</v>
      </c>
      <c r="G469" s="1" t="s">
        <v>16</v>
      </c>
      <c r="H469" s="1" t="str">
        <f>"1"</f>
        <v>1</v>
      </c>
      <c r="I469" s="2">
        <v>155.33000000000001</v>
      </c>
      <c r="J469" s="3">
        <v>46129</v>
      </c>
      <c r="K469" s="1" t="s">
        <v>1156</v>
      </c>
    </row>
    <row r="470" spans="1:11" x14ac:dyDescent="0.35">
      <c r="A470" s="1" t="s">
        <v>1152</v>
      </c>
      <c r="B470" s="1" t="s">
        <v>1153</v>
      </c>
      <c r="C470" s="1" t="s">
        <v>1222</v>
      </c>
      <c r="D470" s="1" t="str">
        <f>"8415"</f>
        <v>8415</v>
      </c>
      <c r="E470" s="1" t="str">
        <f>"012281337"</f>
        <v>012281337</v>
      </c>
      <c r="F470" s="1" t="s">
        <v>668</v>
      </c>
      <c r="G470" s="1" t="s">
        <v>311</v>
      </c>
      <c r="H470" s="1" t="str">
        <f>"1"</f>
        <v>1</v>
      </c>
      <c r="I470" s="2">
        <v>90.54</v>
      </c>
      <c r="J470" s="3">
        <v>46129</v>
      </c>
      <c r="K470" s="1" t="s">
        <v>1156</v>
      </c>
    </row>
    <row r="471" spans="1:11" x14ac:dyDescent="0.35">
      <c r="A471" s="1" t="s">
        <v>1152</v>
      </c>
      <c r="B471" s="1" t="s">
        <v>1153</v>
      </c>
      <c r="C471" s="1" t="s">
        <v>1223</v>
      </c>
      <c r="D471" s="1" t="str">
        <f>"8415"</f>
        <v>8415</v>
      </c>
      <c r="E471" s="1" t="str">
        <f>"014618341"</f>
        <v>014618341</v>
      </c>
      <c r="F471" s="1" t="s">
        <v>1224</v>
      </c>
      <c r="G471" s="1" t="s">
        <v>16</v>
      </c>
      <c r="H471" s="1" t="str">
        <f>"1"</f>
        <v>1</v>
      </c>
      <c r="I471" s="2">
        <v>58.54</v>
      </c>
      <c r="J471" s="3">
        <v>46129</v>
      </c>
      <c r="K471" s="1" t="s">
        <v>1156</v>
      </c>
    </row>
    <row r="472" spans="1:11" x14ac:dyDescent="0.35">
      <c r="A472" s="1" t="s">
        <v>1152</v>
      </c>
      <c r="B472" s="1" t="s">
        <v>1153</v>
      </c>
      <c r="C472" s="1" t="s">
        <v>1225</v>
      </c>
      <c r="D472" s="1" t="str">
        <f>"8465"</f>
        <v>8465</v>
      </c>
      <c r="E472" s="1" t="str">
        <f>"014168517"</f>
        <v>014168517</v>
      </c>
      <c r="F472" s="1" t="s">
        <v>1226</v>
      </c>
      <c r="G472" s="1" t="s">
        <v>16</v>
      </c>
      <c r="H472" s="1" t="str">
        <f>"1"</f>
        <v>1</v>
      </c>
      <c r="I472" s="2">
        <v>152.18</v>
      </c>
      <c r="J472" s="3">
        <v>46129</v>
      </c>
      <c r="K472" s="1" t="s">
        <v>1156</v>
      </c>
    </row>
    <row r="473" spans="1:11" x14ac:dyDescent="0.35">
      <c r="A473" s="1" t="s">
        <v>1152</v>
      </c>
      <c r="B473" s="1" t="s">
        <v>1153</v>
      </c>
      <c r="C473" s="1" t="s">
        <v>1227</v>
      </c>
      <c r="D473" s="1" t="str">
        <f>"8465"</f>
        <v>8465</v>
      </c>
      <c r="E473" s="1" t="str">
        <f>"013980687"</f>
        <v>013980687</v>
      </c>
      <c r="F473" s="1" t="s">
        <v>644</v>
      </c>
      <c r="G473" s="1" t="s">
        <v>16</v>
      </c>
      <c r="H473" s="1" t="str">
        <f>"1"</f>
        <v>1</v>
      </c>
      <c r="I473" s="2">
        <v>65.8</v>
      </c>
      <c r="J473" s="3">
        <v>46129</v>
      </c>
      <c r="K473" s="1" t="s">
        <v>1156</v>
      </c>
    </row>
    <row r="474" spans="1:11" x14ac:dyDescent="0.35">
      <c r="A474" s="1" t="s">
        <v>1152</v>
      </c>
      <c r="B474" s="1" t="s">
        <v>1153</v>
      </c>
      <c r="C474" s="1" t="s">
        <v>1228</v>
      </c>
      <c r="D474" s="1" t="str">
        <f>"8465"</f>
        <v>8465</v>
      </c>
      <c r="E474" s="1" t="str">
        <f>"013980685"</f>
        <v>013980685</v>
      </c>
      <c r="F474" s="1" t="s">
        <v>644</v>
      </c>
      <c r="G474" s="1" t="s">
        <v>16</v>
      </c>
      <c r="H474" s="1" t="str">
        <f>"1"</f>
        <v>1</v>
      </c>
      <c r="I474" s="2">
        <v>47.26</v>
      </c>
      <c r="J474" s="3">
        <v>46129</v>
      </c>
      <c r="K474" s="1" t="s">
        <v>1156</v>
      </c>
    </row>
    <row r="475" spans="1:11" x14ac:dyDescent="0.35">
      <c r="A475" s="1" t="s">
        <v>1152</v>
      </c>
      <c r="B475" s="1" t="s">
        <v>1153</v>
      </c>
      <c r="C475" s="1" t="s">
        <v>1229</v>
      </c>
      <c r="D475" s="1" t="str">
        <f>"8465"</f>
        <v>8465</v>
      </c>
      <c r="E475" s="1" t="str">
        <f>"013985428"</f>
        <v>013985428</v>
      </c>
      <c r="F475" s="1" t="s">
        <v>1230</v>
      </c>
      <c r="G475" s="1" t="s">
        <v>16</v>
      </c>
      <c r="H475" s="1" t="str">
        <f>"4"</f>
        <v>4</v>
      </c>
      <c r="I475" s="2">
        <v>16.239999999999998</v>
      </c>
      <c r="J475" s="3">
        <v>46129</v>
      </c>
      <c r="K475" s="1" t="s">
        <v>1156</v>
      </c>
    </row>
    <row r="476" spans="1:11" x14ac:dyDescent="0.35">
      <c r="A476" s="1" t="s">
        <v>1152</v>
      </c>
      <c r="B476" s="1" t="s">
        <v>1153</v>
      </c>
      <c r="C476" s="1" t="s">
        <v>1231</v>
      </c>
      <c r="D476" s="1" t="str">
        <f>"8465"</f>
        <v>8465</v>
      </c>
      <c r="E476" s="1" t="str">
        <f>"013980685"</f>
        <v>013980685</v>
      </c>
      <c r="F476" s="1" t="s">
        <v>644</v>
      </c>
      <c r="G476" s="1" t="s">
        <v>16</v>
      </c>
      <c r="H476" s="1" t="str">
        <f>"4"</f>
        <v>4</v>
      </c>
      <c r="I476" s="2">
        <v>47.26</v>
      </c>
      <c r="J476" s="3">
        <v>46129</v>
      </c>
      <c r="K476" s="1" t="s">
        <v>1156</v>
      </c>
    </row>
    <row r="477" spans="1:11" x14ac:dyDescent="0.35">
      <c r="A477" s="1" t="s">
        <v>1152</v>
      </c>
      <c r="B477" s="1" t="s">
        <v>1153</v>
      </c>
      <c r="C477" s="1" t="s">
        <v>1232</v>
      </c>
      <c r="D477" s="1" t="str">
        <f>"8465"</f>
        <v>8465</v>
      </c>
      <c r="E477" s="1" t="str">
        <f>"013980687"</f>
        <v>013980687</v>
      </c>
      <c r="F477" s="1" t="s">
        <v>644</v>
      </c>
      <c r="G477" s="1" t="s">
        <v>16</v>
      </c>
      <c r="H477" s="1" t="str">
        <f>"3"</f>
        <v>3</v>
      </c>
      <c r="I477" s="2">
        <v>65.8</v>
      </c>
      <c r="J477" s="3">
        <v>46129</v>
      </c>
      <c r="K477" s="1" t="s">
        <v>1156</v>
      </c>
    </row>
    <row r="478" spans="1:11" x14ac:dyDescent="0.35">
      <c r="A478" s="1" t="s">
        <v>1152</v>
      </c>
      <c r="B478" s="1" t="s">
        <v>1153</v>
      </c>
      <c r="C478" s="1" t="s">
        <v>1233</v>
      </c>
      <c r="D478" s="1" t="str">
        <f>"8465"</f>
        <v>8465</v>
      </c>
      <c r="E478" s="1" t="str">
        <f>"014168517"</f>
        <v>014168517</v>
      </c>
      <c r="F478" s="1" t="s">
        <v>1226</v>
      </c>
      <c r="G478" s="1" t="s">
        <v>16</v>
      </c>
      <c r="H478" s="1" t="str">
        <f>"3"</f>
        <v>3</v>
      </c>
      <c r="I478" s="2">
        <v>152.18</v>
      </c>
      <c r="J478" s="3">
        <v>46129</v>
      </c>
      <c r="K478" s="1" t="s">
        <v>1156</v>
      </c>
    </row>
    <row r="479" spans="1:11" x14ac:dyDescent="0.35">
      <c r="A479" s="1" t="s">
        <v>1152</v>
      </c>
      <c r="B479" s="1" t="s">
        <v>1153</v>
      </c>
      <c r="C479" s="1" t="s">
        <v>1234</v>
      </c>
      <c r="D479" s="1" t="str">
        <f>"8465"</f>
        <v>8465</v>
      </c>
      <c r="E479" s="1" t="str">
        <f>"014168517"</f>
        <v>014168517</v>
      </c>
      <c r="F479" s="1" t="s">
        <v>1226</v>
      </c>
      <c r="G479" s="1" t="s">
        <v>16</v>
      </c>
      <c r="H479" s="1" t="str">
        <f>"1"</f>
        <v>1</v>
      </c>
      <c r="I479" s="2">
        <v>152.18</v>
      </c>
      <c r="J479" s="3">
        <v>46129</v>
      </c>
      <c r="K479" s="1" t="s">
        <v>1156</v>
      </c>
    </row>
    <row r="480" spans="1:11" x14ac:dyDescent="0.35">
      <c r="A480" s="1" t="s">
        <v>1152</v>
      </c>
      <c r="B480" s="1" t="s">
        <v>1153</v>
      </c>
      <c r="C480" s="1" t="s">
        <v>1235</v>
      </c>
      <c r="D480" s="1" t="str">
        <f>"8465"</f>
        <v>8465</v>
      </c>
      <c r="E480" s="1" t="str">
        <f>"016036613"</f>
        <v>016036613</v>
      </c>
      <c r="F480" s="1" t="s">
        <v>1236</v>
      </c>
      <c r="G480" s="1" t="s">
        <v>16</v>
      </c>
      <c r="H480" s="1" t="str">
        <f>"1"</f>
        <v>1</v>
      </c>
      <c r="I480" s="2">
        <v>395.65</v>
      </c>
      <c r="J480" s="3">
        <v>46129</v>
      </c>
      <c r="K480" s="1" t="s">
        <v>1156</v>
      </c>
    </row>
    <row r="481" spans="1:11" x14ac:dyDescent="0.35">
      <c r="A481" s="1" t="s">
        <v>1152</v>
      </c>
      <c r="B481" s="1" t="s">
        <v>1153</v>
      </c>
      <c r="C481" s="1" t="s">
        <v>1250</v>
      </c>
      <c r="D481" s="1" t="str">
        <f>"8465"</f>
        <v>8465</v>
      </c>
      <c r="E481" s="1" t="str">
        <f>"016834707"</f>
        <v>016834707</v>
      </c>
      <c r="F481" s="1" t="s">
        <v>1251</v>
      </c>
      <c r="G481" s="1" t="s">
        <v>16</v>
      </c>
      <c r="H481" s="1" t="str">
        <f>"80"</f>
        <v>80</v>
      </c>
      <c r="I481" s="2">
        <v>13.14</v>
      </c>
      <c r="J481" s="3">
        <v>46129</v>
      </c>
      <c r="K481" s="1" t="s">
        <v>1156</v>
      </c>
    </row>
    <row r="482" spans="1:11" x14ac:dyDescent="0.35">
      <c r="A482" s="1" t="s">
        <v>1152</v>
      </c>
      <c r="B482" s="1" t="s">
        <v>1153</v>
      </c>
      <c r="C482" s="1" t="s">
        <v>1252</v>
      </c>
      <c r="D482" s="1" t="str">
        <f>"8465"</f>
        <v>8465</v>
      </c>
      <c r="E482" s="1" t="str">
        <f>"015801563"</f>
        <v>015801563</v>
      </c>
      <c r="F482" s="1" t="s">
        <v>1253</v>
      </c>
      <c r="G482" s="1" t="s">
        <v>16</v>
      </c>
      <c r="H482" s="1" t="str">
        <f>"25"</f>
        <v>25</v>
      </c>
      <c r="I482" s="2">
        <v>13.9</v>
      </c>
      <c r="J482" s="3">
        <v>46129</v>
      </c>
      <c r="K482" s="1" t="s">
        <v>1156</v>
      </c>
    </row>
    <row r="483" spans="1:11" x14ac:dyDescent="0.35">
      <c r="A483" s="1" t="s">
        <v>1152</v>
      </c>
      <c r="B483" s="1" t="s">
        <v>1153</v>
      </c>
      <c r="C483" s="1" t="s">
        <v>1254</v>
      </c>
      <c r="D483" s="1" t="str">
        <f>"8465"</f>
        <v>8465</v>
      </c>
      <c r="E483" s="1" t="str">
        <f>"014652088"</f>
        <v>014652088</v>
      </c>
      <c r="F483" s="1" t="s">
        <v>1255</v>
      </c>
      <c r="G483" s="1" t="s">
        <v>16</v>
      </c>
      <c r="H483" s="1" t="str">
        <f>"1"</f>
        <v>1</v>
      </c>
      <c r="I483" s="2">
        <v>66.31</v>
      </c>
      <c r="J483" s="3">
        <v>46129</v>
      </c>
      <c r="K483" s="1" t="s">
        <v>1156</v>
      </c>
    </row>
    <row r="484" spans="1:11" x14ac:dyDescent="0.35">
      <c r="A484" s="1" t="s">
        <v>1152</v>
      </c>
      <c r="B484" s="1" t="s">
        <v>1153</v>
      </c>
      <c r="C484" s="1" t="s">
        <v>1256</v>
      </c>
      <c r="D484" s="1" t="str">
        <f>"8465"</f>
        <v>8465</v>
      </c>
      <c r="E484" s="1" t="str">
        <f>"016733364"</f>
        <v>016733364</v>
      </c>
      <c r="F484" s="1" t="s">
        <v>653</v>
      </c>
      <c r="G484" s="1" t="s">
        <v>458</v>
      </c>
      <c r="H484" s="1" t="str">
        <f>"6"</f>
        <v>6</v>
      </c>
      <c r="I484" s="2">
        <v>376.9</v>
      </c>
      <c r="J484" s="3">
        <v>46129</v>
      </c>
      <c r="K484" s="1" t="s">
        <v>1156</v>
      </c>
    </row>
    <row r="485" spans="1:11" x14ac:dyDescent="0.35">
      <c r="A485" s="1" t="s">
        <v>1152</v>
      </c>
      <c r="B485" s="1" t="s">
        <v>1153</v>
      </c>
      <c r="C485" s="1" t="s">
        <v>1257</v>
      </c>
      <c r="D485" s="1" t="str">
        <f>"8465"</f>
        <v>8465</v>
      </c>
      <c r="E485" s="1" t="str">
        <f>"016087503"</f>
        <v>016087503</v>
      </c>
      <c r="F485" s="1" t="s">
        <v>1249</v>
      </c>
      <c r="G485" s="1" t="s">
        <v>16</v>
      </c>
      <c r="H485" s="1" t="str">
        <f>"6"</f>
        <v>6</v>
      </c>
      <c r="I485" s="2">
        <v>140.44</v>
      </c>
      <c r="J485" s="3">
        <v>46129</v>
      </c>
      <c r="K485" s="1" t="s">
        <v>1156</v>
      </c>
    </row>
    <row r="486" spans="1:11" x14ac:dyDescent="0.35">
      <c r="A486" s="1" t="s">
        <v>1152</v>
      </c>
      <c r="B486" s="1" t="s">
        <v>1153</v>
      </c>
      <c r="C486" s="1" t="s">
        <v>1258</v>
      </c>
      <c r="D486" s="1" t="str">
        <f>"8465"</f>
        <v>8465</v>
      </c>
      <c r="E486" s="1" t="str">
        <f>"015472670"</f>
        <v>015472670</v>
      </c>
      <c r="F486" s="1" t="s">
        <v>54</v>
      </c>
      <c r="G486" s="1" t="s">
        <v>16</v>
      </c>
      <c r="H486" s="1" t="str">
        <f>"10"</f>
        <v>10</v>
      </c>
      <c r="I486" s="2">
        <v>19.27</v>
      </c>
      <c r="J486" s="3">
        <v>46129</v>
      </c>
      <c r="K486" s="1" t="s">
        <v>1156</v>
      </c>
    </row>
    <row r="487" spans="1:11" x14ac:dyDescent="0.35">
      <c r="A487" s="1" t="s">
        <v>1152</v>
      </c>
      <c r="B487" s="1" t="s">
        <v>1153</v>
      </c>
      <c r="C487" s="1" t="s">
        <v>1259</v>
      </c>
      <c r="D487" s="1" t="str">
        <f>"8465"</f>
        <v>8465</v>
      </c>
      <c r="E487" s="1" t="str">
        <f>"016419864"</f>
        <v>016419864</v>
      </c>
      <c r="F487" s="1" t="s">
        <v>1260</v>
      </c>
      <c r="G487" s="1" t="s">
        <v>16</v>
      </c>
      <c r="H487" s="1" t="str">
        <f>"6"</f>
        <v>6</v>
      </c>
      <c r="I487" s="2">
        <v>60.55</v>
      </c>
      <c r="J487" s="3">
        <v>46129</v>
      </c>
      <c r="K487" s="1" t="s">
        <v>1156</v>
      </c>
    </row>
    <row r="488" spans="1:11" x14ac:dyDescent="0.35">
      <c r="A488" s="1" t="s">
        <v>1152</v>
      </c>
      <c r="B488" s="1" t="s">
        <v>1153</v>
      </c>
      <c r="C488" s="1" t="s">
        <v>1261</v>
      </c>
      <c r="D488" s="1" t="str">
        <f>"8465"</f>
        <v>8465</v>
      </c>
      <c r="E488" s="1" t="str">
        <f>"016419862"</f>
        <v>016419862</v>
      </c>
      <c r="F488" s="1" t="s">
        <v>1262</v>
      </c>
      <c r="G488" s="1" t="s">
        <v>16</v>
      </c>
      <c r="H488" s="1" t="str">
        <f>"3"</f>
        <v>3</v>
      </c>
      <c r="I488" s="2">
        <v>25.48</v>
      </c>
      <c r="J488" s="3">
        <v>46129</v>
      </c>
      <c r="K488" s="1" t="s">
        <v>1156</v>
      </c>
    </row>
    <row r="489" spans="1:11" x14ac:dyDescent="0.35">
      <c r="A489" s="1" t="s">
        <v>1152</v>
      </c>
      <c r="B489" s="1" t="s">
        <v>1153</v>
      </c>
      <c r="C489" s="1" t="s">
        <v>1263</v>
      </c>
      <c r="D489" s="1" t="str">
        <f>"8465"</f>
        <v>8465</v>
      </c>
      <c r="E489" s="1" t="str">
        <f>"016419862"</f>
        <v>016419862</v>
      </c>
      <c r="F489" s="1" t="s">
        <v>1262</v>
      </c>
      <c r="G489" s="1" t="s">
        <v>16</v>
      </c>
      <c r="H489" s="1" t="str">
        <f>"3"</f>
        <v>3</v>
      </c>
      <c r="I489" s="2">
        <v>25.48</v>
      </c>
      <c r="J489" s="3">
        <v>46129</v>
      </c>
      <c r="K489" s="1" t="s">
        <v>1156</v>
      </c>
    </row>
    <row r="490" spans="1:11" x14ac:dyDescent="0.35">
      <c r="A490" s="1" t="s">
        <v>1152</v>
      </c>
      <c r="B490" s="1" t="s">
        <v>1153</v>
      </c>
      <c r="C490" s="1" t="s">
        <v>1264</v>
      </c>
      <c r="D490" s="1" t="str">
        <f>"8465"</f>
        <v>8465</v>
      </c>
      <c r="E490" s="1" t="str">
        <f>"016733449"</f>
        <v>016733449</v>
      </c>
      <c r="F490" s="1" t="s">
        <v>1265</v>
      </c>
      <c r="G490" s="1" t="s">
        <v>16</v>
      </c>
      <c r="H490" s="1" t="str">
        <f>"11"</f>
        <v>11</v>
      </c>
      <c r="I490" s="2">
        <v>19.97</v>
      </c>
      <c r="J490" s="3">
        <v>46129</v>
      </c>
      <c r="K490" s="1" t="s">
        <v>1156</v>
      </c>
    </row>
    <row r="491" spans="1:11" x14ac:dyDescent="0.35">
      <c r="A491" s="1" t="s">
        <v>1152</v>
      </c>
      <c r="B491" s="1" t="s">
        <v>1153</v>
      </c>
      <c r="C491" s="1" t="s">
        <v>1266</v>
      </c>
      <c r="D491" s="1" t="str">
        <f>"8465"</f>
        <v>8465</v>
      </c>
      <c r="E491" s="1" t="str">
        <f>"013980685"</f>
        <v>013980685</v>
      </c>
      <c r="F491" s="1" t="s">
        <v>644</v>
      </c>
      <c r="G491" s="1" t="s">
        <v>16</v>
      </c>
      <c r="H491" s="1" t="str">
        <f>"2"</f>
        <v>2</v>
      </c>
      <c r="I491" s="2">
        <v>47.26</v>
      </c>
      <c r="J491" s="3">
        <v>46129</v>
      </c>
      <c r="K491" s="1" t="s">
        <v>1156</v>
      </c>
    </row>
    <row r="492" spans="1:11" x14ac:dyDescent="0.35">
      <c r="A492" s="1" t="s">
        <v>1152</v>
      </c>
      <c r="B492" s="1" t="s">
        <v>1153</v>
      </c>
      <c r="C492" s="1" t="s">
        <v>1267</v>
      </c>
      <c r="D492" s="1" t="str">
        <f>"8465"</f>
        <v>8465</v>
      </c>
      <c r="E492" s="1" t="str">
        <f>"014168517"</f>
        <v>014168517</v>
      </c>
      <c r="F492" s="1" t="s">
        <v>1226</v>
      </c>
      <c r="G492" s="1" t="s">
        <v>16</v>
      </c>
      <c r="H492" s="1" t="str">
        <f>"1"</f>
        <v>1</v>
      </c>
      <c r="I492" s="2">
        <v>152.18</v>
      </c>
      <c r="J492" s="3">
        <v>46129</v>
      </c>
      <c r="K492" s="1" t="s">
        <v>1156</v>
      </c>
    </row>
    <row r="493" spans="1:11" x14ac:dyDescent="0.35">
      <c r="A493" s="1" t="s">
        <v>1152</v>
      </c>
      <c r="B493" s="1" t="s">
        <v>1153</v>
      </c>
      <c r="C493" s="1" t="s">
        <v>1268</v>
      </c>
      <c r="D493" s="1" t="str">
        <f>"8465"</f>
        <v>8465</v>
      </c>
      <c r="E493" s="1" t="str">
        <f>"014168517"</f>
        <v>014168517</v>
      </c>
      <c r="F493" s="1" t="s">
        <v>1226</v>
      </c>
      <c r="G493" s="1" t="s">
        <v>16</v>
      </c>
      <c r="H493" s="1" t="str">
        <f>"1"</f>
        <v>1</v>
      </c>
      <c r="I493" s="2">
        <v>152.18</v>
      </c>
      <c r="J493" s="3">
        <v>46129</v>
      </c>
      <c r="K493" s="1" t="s">
        <v>1156</v>
      </c>
    </row>
    <row r="494" spans="1:11" x14ac:dyDescent="0.35">
      <c r="A494" s="1" t="s">
        <v>1152</v>
      </c>
      <c r="B494" s="1" t="s">
        <v>1153</v>
      </c>
      <c r="C494" s="1" t="s">
        <v>1154</v>
      </c>
      <c r="D494" s="1" t="str">
        <f>"1005"</f>
        <v>1005</v>
      </c>
      <c r="E494" s="1" t="str">
        <f>"015623825"</f>
        <v>015623825</v>
      </c>
      <c r="F494" s="1" t="s">
        <v>1155</v>
      </c>
      <c r="G494" s="1" t="s">
        <v>16</v>
      </c>
      <c r="H494" s="1" t="str">
        <f>"70"</f>
        <v>70</v>
      </c>
      <c r="I494" s="2">
        <v>4.7699999999999996</v>
      </c>
      <c r="J494" s="3">
        <v>46150</v>
      </c>
      <c r="K494" s="1" t="s">
        <v>1156</v>
      </c>
    </row>
    <row r="495" spans="1:11" x14ac:dyDescent="0.35">
      <c r="A495" s="1" t="s">
        <v>1152</v>
      </c>
      <c r="B495" s="1" t="s">
        <v>1153</v>
      </c>
      <c r="C495" s="1" t="s">
        <v>1157</v>
      </c>
      <c r="D495" s="1" t="str">
        <f>"1005"</f>
        <v>1005</v>
      </c>
      <c r="E495" s="1" t="s">
        <v>94</v>
      </c>
      <c r="F495" s="1" t="s">
        <v>95</v>
      </c>
      <c r="G495" s="1" t="s">
        <v>16</v>
      </c>
      <c r="H495" s="1" t="str">
        <f>"4"</f>
        <v>4</v>
      </c>
      <c r="I495" s="2" t="str">
        <f>"25"</f>
        <v>25</v>
      </c>
      <c r="J495" s="3">
        <v>46150</v>
      </c>
      <c r="K495" s="1" t="s">
        <v>1156</v>
      </c>
    </row>
    <row r="496" spans="1:11" x14ac:dyDescent="0.35">
      <c r="A496" s="1" t="s">
        <v>1152</v>
      </c>
      <c r="B496" s="1" t="s">
        <v>1153</v>
      </c>
      <c r="C496" s="1" t="s">
        <v>1170</v>
      </c>
      <c r="D496" s="1" t="str">
        <f>"4910"</f>
        <v>4910</v>
      </c>
      <c r="E496" s="1" t="s">
        <v>1171</v>
      </c>
      <c r="F496" s="1" t="s">
        <v>1172</v>
      </c>
      <c r="G496" s="1" t="s">
        <v>16</v>
      </c>
      <c r="H496" s="1" t="str">
        <f>"1"</f>
        <v>1</v>
      </c>
      <c r="I496" s="2" t="str">
        <f>"75"</f>
        <v>75</v>
      </c>
      <c r="J496" s="3">
        <v>46150</v>
      </c>
      <c r="K496" s="1" t="s">
        <v>1156</v>
      </c>
    </row>
    <row r="497" spans="1:11" x14ac:dyDescent="0.35">
      <c r="A497" s="1" t="s">
        <v>1152</v>
      </c>
      <c r="B497" s="1" t="s">
        <v>1153</v>
      </c>
      <c r="C497" s="1" t="s">
        <v>1173</v>
      </c>
      <c r="D497" s="1" t="str">
        <f>"5180"</f>
        <v>5180</v>
      </c>
      <c r="E497" s="1" t="str">
        <f>"016684783"</f>
        <v>016684783</v>
      </c>
      <c r="F497" s="1" t="s">
        <v>1174</v>
      </c>
      <c r="G497" s="1" t="s">
        <v>215</v>
      </c>
      <c r="H497" s="1" t="str">
        <f>"1"</f>
        <v>1</v>
      </c>
      <c r="I497" s="2" t="str">
        <f>"7613"</f>
        <v>7613</v>
      </c>
      <c r="J497" s="3">
        <v>46150</v>
      </c>
      <c r="K497" s="1" t="s">
        <v>1156</v>
      </c>
    </row>
    <row r="498" spans="1:11" x14ac:dyDescent="0.35">
      <c r="A498" s="1" t="s">
        <v>1152</v>
      </c>
      <c r="B498" s="1" t="s">
        <v>1153</v>
      </c>
      <c r="C498" s="1" t="s">
        <v>1178</v>
      </c>
      <c r="D498" s="1" t="str">
        <f>"6230"</f>
        <v>6230</v>
      </c>
      <c r="E498" s="1" t="str">
        <f>"014393732"</f>
        <v>014393732</v>
      </c>
      <c r="F498" s="1" t="s">
        <v>66</v>
      </c>
      <c r="G498" s="1" t="s">
        <v>16</v>
      </c>
      <c r="H498" s="1" t="str">
        <f>"1"</f>
        <v>1</v>
      </c>
      <c r="I498" s="2" t="str">
        <f>"12000"</f>
        <v>12000</v>
      </c>
      <c r="J498" s="3">
        <v>46150</v>
      </c>
      <c r="K498" s="1" t="s">
        <v>1179</v>
      </c>
    </row>
    <row r="499" spans="1:11" x14ac:dyDescent="0.35">
      <c r="A499" s="1" t="s">
        <v>1152</v>
      </c>
      <c r="B499" s="1" t="s">
        <v>1153</v>
      </c>
      <c r="C499" s="1" t="s">
        <v>1193</v>
      </c>
      <c r="D499" s="1" t="str">
        <f>"8140"</f>
        <v>8140</v>
      </c>
      <c r="E499" s="1" t="str">
        <f>"009601699"</f>
        <v>009601699</v>
      </c>
      <c r="F499" s="1" t="s">
        <v>1085</v>
      </c>
      <c r="G499" s="1" t="s">
        <v>16</v>
      </c>
      <c r="H499" s="1" t="str">
        <f>"200"</f>
        <v>200</v>
      </c>
      <c r="I499" s="2">
        <v>11.1</v>
      </c>
      <c r="J499" s="3">
        <v>46150</v>
      </c>
      <c r="K499" s="1" t="s">
        <v>1156</v>
      </c>
    </row>
    <row r="500" spans="1:11" x14ac:dyDescent="0.35">
      <c r="A500" s="1" t="s">
        <v>1152</v>
      </c>
      <c r="B500" s="1" t="s">
        <v>1153</v>
      </c>
      <c r="C500" s="1" t="s">
        <v>1198</v>
      </c>
      <c r="D500" s="1" t="str">
        <f>"8340"</f>
        <v>8340</v>
      </c>
      <c r="E500" s="1" t="str">
        <f>"016728427"</f>
        <v>016728427</v>
      </c>
      <c r="F500" s="1" t="s">
        <v>888</v>
      </c>
      <c r="G500" s="1" t="s">
        <v>16</v>
      </c>
      <c r="H500" s="1" t="str">
        <f>"5"</f>
        <v>5</v>
      </c>
      <c r="I500" s="2">
        <v>152.96</v>
      </c>
      <c r="J500" s="3">
        <v>46150</v>
      </c>
      <c r="K500" s="1" t="s">
        <v>1156</v>
      </c>
    </row>
    <row r="501" spans="1:11" x14ac:dyDescent="0.35">
      <c r="A501" s="1" t="s">
        <v>1152</v>
      </c>
      <c r="B501" s="1" t="s">
        <v>1153</v>
      </c>
      <c r="C501" s="1" t="s">
        <v>1210</v>
      </c>
      <c r="D501" s="1" t="str">
        <f>"8415"</f>
        <v>8415</v>
      </c>
      <c r="E501" s="1" t="str">
        <f>"013950005"</f>
        <v>013950005</v>
      </c>
      <c r="F501" s="1" t="s">
        <v>1211</v>
      </c>
      <c r="G501" s="1" t="s">
        <v>16</v>
      </c>
      <c r="H501" s="1" t="str">
        <f>"1"</f>
        <v>1</v>
      </c>
      <c r="I501" s="2">
        <v>184.45</v>
      </c>
      <c r="J501" s="3">
        <v>46150</v>
      </c>
      <c r="K501" s="1" t="s">
        <v>1156</v>
      </c>
    </row>
    <row r="502" spans="1:11" x14ac:dyDescent="0.35">
      <c r="A502" s="1" t="s">
        <v>1152</v>
      </c>
      <c r="B502" s="1" t="s">
        <v>1153</v>
      </c>
      <c r="C502" s="1" t="s">
        <v>1212</v>
      </c>
      <c r="D502" s="1" t="str">
        <f>"8415"</f>
        <v>8415</v>
      </c>
      <c r="E502" s="1" t="str">
        <f>"016643142"</f>
        <v>016643142</v>
      </c>
      <c r="F502" s="1" t="s">
        <v>1213</v>
      </c>
      <c r="G502" s="1" t="s">
        <v>16</v>
      </c>
      <c r="H502" s="1" t="str">
        <f>"4"</f>
        <v>4</v>
      </c>
      <c r="I502" s="2">
        <v>77.67</v>
      </c>
      <c r="J502" s="3">
        <v>46150</v>
      </c>
      <c r="K502" s="1" t="s">
        <v>1156</v>
      </c>
    </row>
    <row r="503" spans="1:11" x14ac:dyDescent="0.35">
      <c r="A503" s="1" t="s">
        <v>1152</v>
      </c>
      <c r="B503" s="1" t="s">
        <v>1153</v>
      </c>
      <c r="C503" s="1" t="s">
        <v>1237</v>
      </c>
      <c r="D503" s="1" t="str">
        <f>"8465"</f>
        <v>8465</v>
      </c>
      <c r="E503" s="1" t="str">
        <f>"015743998"</f>
        <v>015743998</v>
      </c>
      <c r="F503" s="1" t="s">
        <v>644</v>
      </c>
      <c r="G503" s="1" t="s">
        <v>16</v>
      </c>
      <c r="H503" s="1" t="str">
        <f>"1"</f>
        <v>1</v>
      </c>
      <c r="I503" s="2">
        <v>128.30000000000001</v>
      </c>
      <c r="J503" s="3">
        <v>46150</v>
      </c>
      <c r="K503" s="1" t="s">
        <v>1156</v>
      </c>
    </row>
    <row r="504" spans="1:11" x14ac:dyDescent="0.35">
      <c r="A504" s="1" t="s">
        <v>1152</v>
      </c>
      <c r="B504" s="1" t="s">
        <v>1153</v>
      </c>
      <c r="C504" s="1" t="s">
        <v>1238</v>
      </c>
      <c r="D504" s="1" t="str">
        <f>"8465"</f>
        <v>8465</v>
      </c>
      <c r="E504" s="1" t="str">
        <f>"015836329"</f>
        <v>015836329</v>
      </c>
      <c r="F504" s="1" t="s">
        <v>57</v>
      </c>
      <c r="G504" s="1" t="s">
        <v>16</v>
      </c>
      <c r="H504" s="1" t="str">
        <f>"4"</f>
        <v>4</v>
      </c>
      <c r="I504" s="2">
        <v>34.86</v>
      </c>
      <c r="J504" s="3">
        <v>46150</v>
      </c>
      <c r="K504" s="1" t="s">
        <v>1156</v>
      </c>
    </row>
    <row r="505" spans="1:11" x14ac:dyDescent="0.35">
      <c r="A505" s="1" t="s">
        <v>1152</v>
      </c>
      <c r="B505" s="1" t="s">
        <v>1153</v>
      </c>
      <c r="C505" s="1" t="s">
        <v>1239</v>
      </c>
      <c r="D505" s="1" t="str">
        <f>"8465"</f>
        <v>8465</v>
      </c>
      <c r="E505" s="1" t="str">
        <f>"015744005"</f>
        <v>015744005</v>
      </c>
      <c r="F505" s="1" t="s">
        <v>1240</v>
      </c>
      <c r="G505" s="1" t="s">
        <v>16</v>
      </c>
      <c r="H505" s="1" t="str">
        <f>"15"</f>
        <v>15</v>
      </c>
      <c r="I505" s="2">
        <v>169.73</v>
      </c>
      <c r="J505" s="3">
        <v>46150</v>
      </c>
      <c r="K505" s="1" t="s">
        <v>1156</v>
      </c>
    </row>
    <row r="506" spans="1:11" x14ac:dyDescent="0.35">
      <c r="A506" s="1" t="s">
        <v>1152</v>
      </c>
      <c r="B506" s="1" t="s">
        <v>1153</v>
      </c>
      <c r="C506" s="1" t="s">
        <v>1246</v>
      </c>
      <c r="D506" s="1" t="str">
        <f>"8465"</f>
        <v>8465</v>
      </c>
      <c r="E506" s="1" t="str">
        <f>"015744005"</f>
        <v>015744005</v>
      </c>
      <c r="F506" s="1" t="s">
        <v>1240</v>
      </c>
      <c r="G506" s="1" t="s">
        <v>16</v>
      </c>
      <c r="H506" s="1" t="str">
        <f>"8"</f>
        <v>8</v>
      </c>
      <c r="I506" s="2">
        <v>169.73</v>
      </c>
      <c r="J506" s="3">
        <v>46150</v>
      </c>
      <c r="K506" s="1" t="s">
        <v>1156</v>
      </c>
    </row>
    <row r="507" spans="1:11" x14ac:dyDescent="0.35">
      <c r="A507" s="1" t="s">
        <v>1152</v>
      </c>
      <c r="B507" s="1" t="s">
        <v>1153</v>
      </c>
      <c r="C507" s="1" t="s">
        <v>1247</v>
      </c>
      <c r="D507" s="1" t="str">
        <f>"8465"</f>
        <v>8465</v>
      </c>
      <c r="E507" s="1" t="str">
        <f>"015744004"</f>
        <v>015744004</v>
      </c>
      <c r="F507" s="1" t="s">
        <v>644</v>
      </c>
      <c r="G507" s="1" t="s">
        <v>16</v>
      </c>
      <c r="H507" s="1" t="str">
        <f>"7"</f>
        <v>7</v>
      </c>
      <c r="I507" s="2">
        <v>136.28</v>
      </c>
      <c r="J507" s="3">
        <v>46150</v>
      </c>
      <c r="K507" s="1" t="s">
        <v>1156</v>
      </c>
    </row>
    <row r="508" spans="1:11" x14ac:dyDescent="0.35">
      <c r="A508" s="1" t="s">
        <v>1152</v>
      </c>
      <c r="B508" s="1" t="s">
        <v>1153</v>
      </c>
      <c r="C508" s="1" t="s">
        <v>1248</v>
      </c>
      <c r="D508" s="1" t="str">
        <f>"8465"</f>
        <v>8465</v>
      </c>
      <c r="E508" s="1" t="str">
        <f>"016087503"</f>
        <v>016087503</v>
      </c>
      <c r="F508" s="1" t="s">
        <v>1249</v>
      </c>
      <c r="G508" s="1" t="s">
        <v>16</v>
      </c>
      <c r="H508" s="1" t="str">
        <f>"3"</f>
        <v>3</v>
      </c>
      <c r="I508" s="2">
        <v>140.44</v>
      </c>
      <c r="J508" s="3">
        <v>46150</v>
      </c>
      <c r="K508" s="1" t="s">
        <v>1156</v>
      </c>
    </row>
    <row r="509" spans="1:11" x14ac:dyDescent="0.35">
      <c r="A509" s="1" t="s">
        <v>1152</v>
      </c>
      <c r="B509" s="1" t="s">
        <v>1153</v>
      </c>
      <c r="C509" s="1" t="s">
        <v>1176</v>
      </c>
      <c r="D509" s="1" t="str">
        <f>"6130"</f>
        <v>6130</v>
      </c>
      <c r="E509" s="1" t="str">
        <f>"014952839"</f>
        <v>014952839</v>
      </c>
      <c r="F509" s="1" t="s">
        <v>227</v>
      </c>
      <c r="G509" s="1" t="s">
        <v>16</v>
      </c>
      <c r="H509" s="1" t="str">
        <f>"3"</f>
        <v>3</v>
      </c>
      <c r="I509" s="2" t="str">
        <f>"4393"</f>
        <v>4393</v>
      </c>
      <c r="J509" s="3">
        <v>46156</v>
      </c>
      <c r="K509" s="1" t="s">
        <v>1177</v>
      </c>
    </row>
    <row r="510" spans="1:11" x14ac:dyDescent="0.35">
      <c r="A510" s="1" t="s">
        <v>1152</v>
      </c>
      <c r="B510" s="1" t="s">
        <v>1153</v>
      </c>
      <c r="C510" s="1" t="s">
        <v>1175</v>
      </c>
      <c r="D510" s="1" t="str">
        <f>"5180"</f>
        <v>5180</v>
      </c>
      <c r="E510" s="1" t="s">
        <v>88</v>
      </c>
      <c r="F510" s="1" t="s">
        <v>89</v>
      </c>
      <c r="G510" s="1" t="s">
        <v>16</v>
      </c>
      <c r="H510" s="1" t="str">
        <f>"6"</f>
        <v>6</v>
      </c>
      <c r="I510" s="2" t="str">
        <f>"999"</f>
        <v>999</v>
      </c>
      <c r="J510" s="3">
        <v>46164</v>
      </c>
      <c r="K510" s="1" t="s">
        <v>1156</v>
      </c>
    </row>
    <row r="511" spans="1:11" x14ac:dyDescent="0.35">
      <c r="A511" s="1" t="s">
        <v>1152</v>
      </c>
      <c r="B511" s="1" t="s">
        <v>1153</v>
      </c>
      <c r="C511" s="1" t="s">
        <v>1194</v>
      </c>
      <c r="D511" s="1" t="str">
        <f>"8340"</f>
        <v>8340</v>
      </c>
      <c r="E511" s="1" t="s">
        <v>252</v>
      </c>
      <c r="F511" s="1" t="s">
        <v>253</v>
      </c>
      <c r="G511" s="1" t="s">
        <v>16</v>
      </c>
      <c r="H511" s="1" t="str">
        <f>"5"</f>
        <v>5</v>
      </c>
      <c r="I511" s="2">
        <v>4745.8</v>
      </c>
      <c r="J511" s="3">
        <v>46164</v>
      </c>
      <c r="K511" s="1" t="s">
        <v>1156</v>
      </c>
    </row>
    <row r="512" spans="1:11" x14ac:dyDescent="0.35">
      <c r="A512" s="1" t="s">
        <v>1152</v>
      </c>
      <c r="B512" s="1" t="s">
        <v>1153</v>
      </c>
      <c r="C512" s="1" t="s">
        <v>1197</v>
      </c>
      <c r="D512" s="1" t="str">
        <f>"8340"</f>
        <v>8340</v>
      </c>
      <c r="E512" s="1" t="s">
        <v>252</v>
      </c>
      <c r="F512" s="1" t="s">
        <v>253</v>
      </c>
      <c r="G512" s="1" t="s">
        <v>16</v>
      </c>
      <c r="H512" s="1" t="str">
        <f>"4"</f>
        <v>4</v>
      </c>
      <c r="I512" s="2">
        <v>949.16</v>
      </c>
      <c r="J512" s="3">
        <v>46164</v>
      </c>
      <c r="K512" s="1" t="s">
        <v>1156</v>
      </c>
    </row>
    <row r="513" spans="1:11" x14ac:dyDescent="0.35">
      <c r="A513" s="1" t="s">
        <v>1152</v>
      </c>
      <c r="B513" s="1" t="s">
        <v>1153</v>
      </c>
      <c r="C513" s="1" t="s">
        <v>1209</v>
      </c>
      <c r="D513" s="1" t="str">
        <f>"8415"</f>
        <v>8415</v>
      </c>
      <c r="E513" s="1" t="str">
        <f>"012281320"</f>
        <v>012281320</v>
      </c>
      <c r="F513" s="1" t="s">
        <v>1203</v>
      </c>
      <c r="G513" s="1" t="s">
        <v>16</v>
      </c>
      <c r="H513" s="1" t="str">
        <f>"1"</f>
        <v>1</v>
      </c>
      <c r="I513" s="2">
        <v>155.33000000000001</v>
      </c>
      <c r="J513" s="3">
        <v>46164</v>
      </c>
      <c r="K513" s="1" t="s">
        <v>1156</v>
      </c>
    </row>
    <row r="514" spans="1:11" x14ac:dyDescent="0.35">
      <c r="A514" s="1" t="s">
        <v>1152</v>
      </c>
      <c r="B514" s="1" t="s">
        <v>1153</v>
      </c>
      <c r="C514" s="1" t="s">
        <v>1241</v>
      </c>
      <c r="D514" s="1" t="str">
        <f>"8465"</f>
        <v>8465</v>
      </c>
      <c r="E514" s="1" t="str">
        <f>"014168517"</f>
        <v>014168517</v>
      </c>
      <c r="F514" s="1" t="s">
        <v>1226</v>
      </c>
      <c r="G514" s="1" t="s">
        <v>16</v>
      </c>
      <c r="H514" s="1" t="str">
        <f>"1"</f>
        <v>1</v>
      </c>
      <c r="I514" s="2">
        <v>152.18</v>
      </c>
      <c r="J514" s="3">
        <v>46164</v>
      </c>
      <c r="K514" s="1" t="s">
        <v>1156</v>
      </c>
    </row>
    <row r="515" spans="1:11" x14ac:dyDescent="0.35">
      <c r="A515" s="1" t="s">
        <v>1152</v>
      </c>
      <c r="B515" s="1" t="s">
        <v>1153</v>
      </c>
      <c r="C515" s="1" t="s">
        <v>1242</v>
      </c>
      <c r="D515" s="1" t="str">
        <f>"8465"</f>
        <v>8465</v>
      </c>
      <c r="E515" s="1" t="str">
        <f>"013936515"</f>
        <v>013936515</v>
      </c>
      <c r="F515" s="1" t="s">
        <v>1095</v>
      </c>
      <c r="G515" s="1" t="s">
        <v>16</v>
      </c>
      <c r="H515" s="1" t="str">
        <f>"1"</f>
        <v>1</v>
      </c>
      <c r="I515" s="2">
        <v>68.81</v>
      </c>
      <c r="J515" s="3">
        <v>46164</v>
      </c>
      <c r="K515" s="1" t="s">
        <v>1156</v>
      </c>
    </row>
    <row r="516" spans="1:11" x14ac:dyDescent="0.35">
      <c r="A516" s="1" t="s">
        <v>1152</v>
      </c>
      <c r="B516" s="1" t="s">
        <v>1153</v>
      </c>
      <c r="C516" s="1" t="s">
        <v>1243</v>
      </c>
      <c r="D516" s="1" t="str">
        <f>"8465"</f>
        <v>8465</v>
      </c>
      <c r="E516" s="1" t="str">
        <f>"013985428"</f>
        <v>013985428</v>
      </c>
      <c r="F516" s="1" t="s">
        <v>1230</v>
      </c>
      <c r="G516" s="1" t="s">
        <v>16</v>
      </c>
      <c r="H516" s="1" t="str">
        <f>"1"</f>
        <v>1</v>
      </c>
      <c r="I516" s="2">
        <v>16.239999999999998</v>
      </c>
      <c r="J516" s="3">
        <v>46164</v>
      </c>
      <c r="K516" s="1" t="s">
        <v>1156</v>
      </c>
    </row>
    <row r="517" spans="1:11" x14ac:dyDescent="0.35">
      <c r="A517" s="1" t="s">
        <v>1152</v>
      </c>
      <c r="B517" s="1" t="s">
        <v>1153</v>
      </c>
      <c r="C517" s="1" t="s">
        <v>1244</v>
      </c>
      <c r="D517" s="1" t="str">
        <f>"8465"</f>
        <v>8465</v>
      </c>
      <c r="E517" s="1" t="str">
        <f>"013980687"</f>
        <v>013980687</v>
      </c>
      <c r="F517" s="1" t="s">
        <v>644</v>
      </c>
      <c r="G517" s="1" t="s">
        <v>16</v>
      </c>
      <c r="H517" s="1" t="str">
        <f>"2"</f>
        <v>2</v>
      </c>
      <c r="I517" s="2">
        <v>65.8</v>
      </c>
      <c r="J517" s="3">
        <v>46164</v>
      </c>
      <c r="K517" s="1" t="s">
        <v>1156</v>
      </c>
    </row>
    <row r="518" spans="1:11" x14ac:dyDescent="0.35">
      <c r="A518" s="1" t="s">
        <v>1152</v>
      </c>
      <c r="B518" s="1" t="s">
        <v>1153</v>
      </c>
      <c r="C518" s="1" t="s">
        <v>1245</v>
      </c>
      <c r="D518" s="1" t="str">
        <f>"8465"</f>
        <v>8465</v>
      </c>
      <c r="E518" s="1" t="str">
        <f>"013980685"</f>
        <v>013980685</v>
      </c>
      <c r="F518" s="1" t="s">
        <v>644</v>
      </c>
      <c r="G518" s="1" t="s">
        <v>16</v>
      </c>
      <c r="H518" s="1" t="str">
        <f>"1"</f>
        <v>1</v>
      </c>
      <c r="I518" s="2">
        <v>47.26</v>
      </c>
      <c r="J518" s="3">
        <v>46164</v>
      </c>
      <c r="K518" s="1" t="s">
        <v>1156</v>
      </c>
    </row>
    <row r="519" spans="1:11" x14ac:dyDescent="0.35">
      <c r="A519" s="1" t="s">
        <v>1152</v>
      </c>
      <c r="B519" s="1" t="s">
        <v>1153</v>
      </c>
      <c r="C519" s="1" t="s">
        <v>1169</v>
      </c>
      <c r="D519" s="1" t="str">
        <f>"4140"</f>
        <v>4140</v>
      </c>
      <c r="E519" s="1" t="s">
        <v>1013</v>
      </c>
      <c r="F519" s="1" t="s">
        <v>1014</v>
      </c>
      <c r="G519" s="1" t="s">
        <v>16</v>
      </c>
      <c r="H519" s="1" t="str">
        <f>"1"</f>
        <v>1</v>
      </c>
      <c r="I519" s="2" t="str">
        <f>"300"</f>
        <v>300</v>
      </c>
      <c r="J519" s="3">
        <v>46171</v>
      </c>
      <c r="K519" s="1" t="s">
        <v>1156</v>
      </c>
    </row>
    <row r="520" spans="1:11" x14ac:dyDescent="0.35">
      <c r="A520" s="1" t="s">
        <v>1152</v>
      </c>
      <c r="B520" s="1" t="s">
        <v>1153</v>
      </c>
      <c r="C520" s="1" t="s">
        <v>1184</v>
      </c>
      <c r="D520" s="1" t="str">
        <f>"6930"</f>
        <v>6930</v>
      </c>
      <c r="E520" s="1" t="str">
        <f>"016846410"</f>
        <v>016846410</v>
      </c>
      <c r="F520" s="1" t="s">
        <v>1185</v>
      </c>
      <c r="G520" s="1" t="s">
        <v>16</v>
      </c>
      <c r="H520" s="1" t="str">
        <f>"8"</f>
        <v>8</v>
      </c>
      <c r="I520" s="2">
        <v>28.75</v>
      </c>
      <c r="J520" s="3">
        <v>46171</v>
      </c>
      <c r="K520" s="1" t="s">
        <v>1156</v>
      </c>
    </row>
    <row r="521" spans="1:11" x14ac:dyDescent="0.35">
      <c r="A521" s="1" t="s">
        <v>1152</v>
      </c>
      <c r="B521" s="1" t="s">
        <v>1153</v>
      </c>
      <c r="C521" s="1" t="s">
        <v>1186</v>
      </c>
      <c r="D521" s="1" t="str">
        <f>"6930"</f>
        <v>6930</v>
      </c>
      <c r="E521" s="1" t="str">
        <f>"016846415"</f>
        <v>016846415</v>
      </c>
      <c r="F521" s="1" t="s">
        <v>1185</v>
      </c>
      <c r="G521" s="1" t="s">
        <v>16</v>
      </c>
      <c r="H521" s="1" t="str">
        <f>"4"</f>
        <v>4</v>
      </c>
      <c r="I521" s="2">
        <v>53.63</v>
      </c>
      <c r="J521" s="3">
        <v>46171</v>
      </c>
      <c r="K521" s="1" t="s">
        <v>1156</v>
      </c>
    </row>
    <row r="522" spans="1:11" x14ac:dyDescent="0.35">
      <c r="A522" s="1" t="s">
        <v>1152</v>
      </c>
      <c r="B522" s="1" t="s">
        <v>1153</v>
      </c>
      <c r="C522" s="1" t="s">
        <v>1187</v>
      </c>
      <c r="D522" s="1" t="str">
        <f>"6930"</f>
        <v>6930</v>
      </c>
      <c r="E522" s="1" t="str">
        <f>"016846420"</f>
        <v>016846420</v>
      </c>
      <c r="F522" s="1" t="s">
        <v>1185</v>
      </c>
      <c r="G522" s="1" t="s">
        <v>16</v>
      </c>
      <c r="H522" s="1" t="str">
        <f>"5"</f>
        <v>5</v>
      </c>
      <c r="I522" s="2">
        <v>99.91</v>
      </c>
      <c r="J522" s="3">
        <v>46171</v>
      </c>
      <c r="K522" s="1" t="s">
        <v>1156</v>
      </c>
    </row>
    <row r="523" spans="1:11" x14ac:dyDescent="0.35">
      <c r="A523" s="1" t="s">
        <v>1152</v>
      </c>
      <c r="B523" s="1" t="s">
        <v>1153</v>
      </c>
      <c r="C523" s="1" t="s">
        <v>1188</v>
      </c>
      <c r="D523" s="1" t="str">
        <f>"6930"</f>
        <v>6930</v>
      </c>
      <c r="E523" s="1" t="str">
        <f>"016846415"</f>
        <v>016846415</v>
      </c>
      <c r="F523" s="1" t="s">
        <v>1185</v>
      </c>
      <c r="G523" s="1" t="s">
        <v>16</v>
      </c>
      <c r="H523" s="1" t="str">
        <f>"6"</f>
        <v>6</v>
      </c>
      <c r="I523" s="2">
        <v>53.63</v>
      </c>
      <c r="J523" s="3">
        <v>46171</v>
      </c>
      <c r="K523" s="1" t="s">
        <v>1156</v>
      </c>
    </row>
    <row r="524" spans="1:11" x14ac:dyDescent="0.35">
      <c r="A524" s="1" t="s">
        <v>1152</v>
      </c>
      <c r="B524" s="1" t="s">
        <v>1153</v>
      </c>
      <c r="C524" s="1" t="s">
        <v>1195</v>
      </c>
      <c r="D524" s="1" t="str">
        <f>"8340"</f>
        <v>8340</v>
      </c>
      <c r="E524" s="1" t="str">
        <f>"007823232"</f>
        <v>007823232</v>
      </c>
      <c r="F524" s="1" t="s">
        <v>1196</v>
      </c>
      <c r="G524" s="1" t="s">
        <v>16</v>
      </c>
      <c r="H524" s="1" t="str">
        <f>"1"</f>
        <v>1</v>
      </c>
      <c r="I524" s="2">
        <v>4832.0200000000004</v>
      </c>
      <c r="J524" s="3">
        <v>46171</v>
      </c>
      <c r="K524" s="1" t="s">
        <v>1156</v>
      </c>
    </row>
    <row r="525" spans="1:11" x14ac:dyDescent="0.35">
      <c r="A525" s="1" t="s">
        <v>1152</v>
      </c>
      <c r="B525" s="1" t="s">
        <v>1153</v>
      </c>
      <c r="C525" s="1" t="s">
        <v>1183</v>
      </c>
      <c r="D525" s="1" t="str">
        <f>"6910"</f>
        <v>6910</v>
      </c>
      <c r="E525" s="1" t="s">
        <v>1124</v>
      </c>
      <c r="F525" s="1" t="s">
        <v>1125</v>
      </c>
      <c r="G525" s="1" t="s">
        <v>16</v>
      </c>
      <c r="H525" s="1" t="str">
        <f>"75"</f>
        <v>75</v>
      </c>
      <c r="I525" s="2" t="str">
        <f>"22"</f>
        <v>22</v>
      </c>
      <c r="J525" s="3">
        <v>46190</v>
      </c>
      <c r="K525" s="1" t="s">
        <v>1156</v>
      </c>
    </row>
    <row r="526" spans="1:11" x14ac:dyDescent="0.35">
      <c r="A526" s="1" t="s">
        <v>1152</v>
      </c>
      <c r="B526" s="1" t="s">
        <v>1153</v>
      </c>
      <c r="C526" s="1" t="s">
        <v>1162</v>
      </c>
      <c r="D526" s="1" t="str">
        <f>"1680"</f>
        <v>1680</v>
      </c>
      <c r="E526" s="1" t="str">
        <f>"016147921"</f>
        <v>016147921</v>
      </c>
      <c r="F526" s="1" t="s">
        <v>1163</v>
      </c>
      <c r="G526" s="1" t="s">
        <v>16</v>
      </c>
      <c r="H526" s="1" t="str">
        <f>"4"</f>
        <v>4</v>
      </c>
      <c r="I526" s="2" t="str">
        <f>"21187"</f>
        <v>21187</v>
      </c>
      <c r="J526" s="3">
        <v>46195</v>
      </c>
      <c r="K526" s="1" t="s">
        <v>1164</v>
      </c>
    </row>
    <row r="527" spans="1:11" x14ac:dyDescent="0.35">
      <c r="A527" s="1" t="s">
        <v>1152</v>
      </c>
      <c r="B527" s="1" t="s">
        <v>1153</v>
      </c>
      <c r="C527" s="1" t="s">
        <v>1165</v>
      </c>
      <c r="D527" s="1" t="str">
        <f>"1680"</f>
        <v>1680</v>
      </c>
      <c r="E527" s="1" t="str">
        <f>"016147921"</f>
        <v>016147921</v>
      </c>
      <c r="F527" s="1" t="s">
        <v>1163</v>
      </c>
      <c r="G527" s="1" t="s">
        <v>16</v>
      </c>
      <c r="H527" s="1" t="str">
        <f>"4"</f>
        <v>4</v>
      </c>
      <c r="I527" s="2" t="str">
        <f>"21187"</f>
        <v>21187</v>
      </c>
      <c r="J527" s="3">
        <v>46195</v>
      </c>
      <c r="K527" s="1" t="s">
        <v>1164</v>
      </c>
    </row>
    <row r="528" spans="1:11" x14ac:dyDescent="0.35">
      <c r="A528" s="1" t="s">
        <v>1276</v>
      </c>
      <c r="B528" s="1" t="s">
        <v>1277</v>
      </c>
      <c r="C528" s="1" t="s">
        <v>1287</v>
      </c>
      <c r="D528" s="1" t="str">
        <f>"5180"</f>
        <v>5180</v>
      </c>
      <c r="E528" s="1" t="str">
        <f>"014830250"</f>
        <v>014830250</v>
      </c>
      <c r="F528" s="1" t="s">
        <v>214</v>
      </c>
      <c r="G528" s="1" t="s">
        <v>458</v>
      </c>
      <c r="H528" s="1" t="str">
        <f>"4"</f>
        <v>4</v>
      </c>
      <c r="I528" s="2" t="str">
        <f>"1803"</f>
        <v>1803</v>
      </c>
      <c r="J528" s="3">
        <v>46146</v>
      </c>
      <c r="K528" s="1" t="s">
        <v>1288</v>
      </c>
    </row>
    <row r="529" spans="1:11" x14ac:dyDescent="0.35">
      <c r="A529" s="1" t="s">
        <v>1276</v>
      </c>
      <c r="B529" s="1" t="s">
        <v>1277</v>
      </c>
      <c r="C529" s="1" t="s">
        <v>1289</v>
      </c>
      <c r="D529" s="1" t="str">
        <f>"6130"</f>
        <v>6130</v>
      </c>
      <c r="E529" s="1" t="str">
        <f>"016677839"</f>
        <v>016677839</v>
      </c>
      <c r="F529" s="1" t="s">
        <v>1290</v>
      </c>
      <c r="G529" s="1" t="s">
        <v>16</v>
      </c>
      <c r="H529" s="1" t="str">
        <f>"10"</f>
        <v>10</v>
      </c>
      <c r="I529" s="2" t="str">
        <f>"159"</f>
        <v>159</v>
      </c>
      <c r="J529" s="3">
        <v>46146</v>
      </c>
      <c r="K529" s="1" t="s">
        <v>1291</v>
      </c>
    </row>
    <row r="530" spans="1:11" x14ac:dyDescent="0.35">
      <c r="A530" s="1" t="s">
        <v>1276</v>
      </c>
      <c r="B530" s="1" t="s">
        <v>1277</v>
      </c>
      <c r="C530" s="1" t="s">
        <v>1284</v>
      </c>
      <c r="D530" s="1" t="str">
        <f>"4910"</f>
        <v>4910</v>
      </c>
      <c r="E530" s="1" t="str">
        <f>"013539944"</f>
        <v>013539944</v>
      </c>
      <c r="F530" s="1" t="s">
        <v>1285</v>
      </c>
      <c r="G530" s="1" t="s">
        <v>16</v>
      </c>
      <c r="H530" s="1" t="str">
        <f>"2"</f>
        <v>2</v>
      </c>
      <c r="I530" s="2">
        <v>454.51</v>
      </c>
      <c r="J530" s="3">
        <v>46177</v>
      </c>
      <c r="K530" s="1" t="s">
        <v>1286</v>
      </c>
    </row>
    <row r="531" spans="1:11" x14ac:dyDescent="0.35">
      <c r="A531" s="1" t="s">
        <v>1276</v>
      </c>
      <c r="B531" s="1" t="s">
        <v>1277</v>
      </c>
      <c r="C531" s="1" t="s">
        <v>1278</v>
      </c>
      <c r="D531" s="1" t="str">
        <f>"3615"</f>
        <v>3615</v>
      </c>
      <c r="E531" s="1" t="s">
        <v>701</v>
      </c>
      <c r="F531" s="1" t="s">
        <v>702</v>
      </c>
      <c r="G531" s="1" t="s">
        <v>16</v>
      </c>
      <c r="H531" s="1" t="str">
        <f>"4"</f>
        <v>4</v>
      </c>
      <c r="I531" s="2" t="str">
        <f>"200"</f>
        <v>200</v>
      </c>
      <c r="J531" s="3">
        <v>46185</v>
      </c>
      <c r="K531" s="1" t="s">
        <v>1279</v>
      </c>
    </row>
    <row r="532" spans="1:11" x14ac:dyDescent="0.35">
      <c r="A532" s="1" t="s">
        <v>1276</v>
      </c>
      <c r="B532" s="1" t="s">
        <v>1277</v>
      </c>
      <c r="C532" s="1" t="s">
        <v>1280</v>
      </c>
      <c r="D532" s="1" t="str">
        <f>"4240"</f>
        <v>4240</v>
      </c>
      <c r="E532" s="1" t="s">
        <v>1281</v>
      </c>
      <c r="F532" s="1" t="s">
        <v>1282</v>
      </c>
      <c r="G532" s="1" t="s">
        <v>16</v>
      </c>
      <c r="H532" s="1" t="str">
        <f>"16"</f>
        <v>16</v>
      </c>
      <c r="I532" s="2">
        <v>38.99</v>
      </c>
      <c r="J532" s="3">
        <v>46185</v>
      </c>
      <c r="K532" s="1" t="s">
        <v>1283</v>
      </c>
    </row>
    <row r="533" spans="1:11" x14ac:dyDescent="0.35">
      <c r="A533" s="1" t="s">
        <v>1276</v>
      </c>
      <c r="B533" s="1" t="s">
        <v>1277</v>
      </c>
      <c r="C533" s="1" t="s">
        <v>1292</v>
      </c>
      <c r="D533" s="1" t="str">
        <f>"7025"</f>
        <v>7025</v>
      </c>
      <c r="E533" s="1" t="s">
        <v>1293</v>
      </c>
      <c r="F533" s="1" t="s">
        <v>1294</v>
      </c>
      <c r="G533" s="1" t="s">
        <v>16</v>
      </c>
      <c r="H533" s="1" t="str">
        <f>"5"</f>
        <v>5</v>
      </c>
      <c r="I533" s="2">
        <v>529.26</v>
      </c>
      <c r="J533" s="3">
        <v>46185</v>
      </c>
      <c r="K533" s="1" t="s">
        <v>1295</v>
      </c>
    </row>
    <row r="534" spans="1:11" x14ac:dyDescent="0.35">
      <c r="A534" s="1" t="s">
        <v>1276</v>
      </c>
      <c r="B534" s="1" t="s">
        <v>1277</v>
      </c>
      <c r="C534" s="1" t="s">
        <v>1296</v>
      </c>
      <c r="D534" s="1" t="str">
        <f>"7830"</f>
        <v>7830</v>
      </c>
      <c r="E534" s="1" t="s">
        <v>1297</v>
      </c>
      <c r="F534" s="1" t="s">
        <v>1298</v>
      </c>
      <c r="G534" s="1" t="s">
        <v>16</v>
      </c>
      <c r="H534" s="1" t="str">
        <f>"1"</f>
        <v>1</v>
      </c>
      <c r="I534" s="2">
        <v>3470.99</v>
      </c>
      <c r="J534" s="3">
        <v>46185</v>
      </c>
      <c r="K534" s="1" t="s">
        <v>1299</v>
      </c>
    </row>
    <row r="535" spans="1:11" x14ac:dyDescent="0.35">
      <c r="A535" s="1" t="s">
        <v>1276</v>
      </c>
      <c r="B535" s="1" t="s">
        <v>1277</v>
      </c>
      <c r="C535" s="1" t="s">
        <v>1300</v>
      </c>
      <c r="D535" s="1" t="str">
        <f>"8340"</f>
        <v>8340</v>
      </c>
      <c r="E535" s="1" t="str">
        <f>"013957853"</f>
        <v>013957853</v>
      </c>
      <c r="F535" s="1" t="s">
        <v>253</v>
      </c>
      <c r="G535" s="1" t="s">
        <v>16</v>
      </c>
      <c r="H535" s="1" t="str">
        <f>"1"</f>
        <v>1</v>
      </c>
      <c r="I535" s="2">
        <v>17611.43</v>
      </c>
      <c r="J535" s="3">
        <v>46185</v>
      </c>
      <c r="K535" s="1" t="s">
        <v>1301</v>
      </c>
    </row>
    <row r="536" spans="1:11" x14ac:dyDescent="0.35">
      <c r="A536" s="1" t="s">
        <v>1276</v>
      </c>
      <c r="B536" s="1" t="s">
        <v>1302</v>
      </c>
      <c r="C536" s="1" t="s">
        <v>1303</v>
      </c>
      <c r="D536" s="1" t="str">
        <f>"3930"</f>
        <v>3930</v>
      </c>
      <c r="E536" s="1" t="str">
        <f>"009357865"</f>
        <v>009357865</v>
      </c>
      <c r="F536" s="1" t="s">
        <v>1304</v>
      </c>
      <c r="G536" s="1" t="s">
        <v>16</v>
      </c>
      <c r="H536" s="1" t="str">
        <f>"1"</f>
        <v>1</v>
      </c>
      <c r="I536" s="2" t="str">
        <f>"10584"</f>
        <v>10584</v>
      </c>
      <c r="J536" s="3">
        <v>46185</v>
      </c>
      <c r="K536" s="1" t="s">
        <v>1305</v>
      </c>
    </row>
    <row r="537" spans="1:11" x14ac:dyDescent="0.35">
      <c r="A537" s="1" t="s">
        <v>1306</v>
      </c>
      <c r="B537" s="1" t="s">
        <v>1322</v>
      </c>
      <c r="C537" s="1" t="s">
        <v>1326</v>
      </c>
      <c r="D537" s="1" t="str">
        <f>"2330"</f>
        <v>2330</v>
      </c>
      <c r="E537" s="1" t="str">
        <f>"010907919"</f>
        <v>010907919</v>
      </c>
      <c r="F537" s="1" t="s">
        <v>1327</v>
      </c>
      <c r="G537" s="1" t="s">
        <v>16</v>
      </c>
      <c r="H537" s="1" t="str">
        <f>"1"</f>
        <v>1</v>
      </c>
      <c r="I537" s="2" t="str">
        <f>"24035"</f>
        <v>24035</v>
      </c>
      <c r="J537" s="3">
        <v>46120</v>
      </c>
      <c r="K537" s="1" t="s">
        <v>1328</v>
      </c>
    </row>
    <row r="538" spans="1:11" x14ac:dyDescent="0.35">
      <c r="A538" s="1" t="s">
        <v>1306</v>
      </c>
      <c r="B538" s="1" t="s">
        <v>1322</v>
      </c>
      <c r="C538" s="1" t="s">
        <v>1335</v>
      </c>
      <c r="D538" s="1" t="str">
        <f>"7830"</f>
        <v>7830</v>
      </c>
      <c r="E538" s="1" t="s">
        <v>1336</v>
      </c>
      <c r="F538" s="1" t="s">
        <v>1337</v>
      </c>
      <c r="G538" s="1" t="s">
        <v>16</v>
      </c>
      <c r="H538" s="1" t="str">
        <f>"1"</f>
        <v>1</v>
      </c>
      <c r="I538" s="2" t="str">
        <f>"98995"</f>
        <v>98995</v>
      </c>
      <c r="J538" s="3">
        <v>46120</v>
      </c>
      <c r="K538" s="1" t="s">
        <v>1338</v>
      </c>
    </row>
    <row r="539" spans="1:11" x14ac:dyDescent="0.35">
      <c r="A539" s="1" t="s">
        <v>1306</v>
      </c>
      <c r="B539" s="1" t="s">
        <v>1344</v>
      </c>
      <c r="C539" s="1" t="s">
        <v>1345</v>
      </c>
      <c r="D539" s="1" t="str">
        <f>"5120"</f>
        <v>5120</v>
      </c>
      <c r="E539" s="1" t="str">
        <f>"010909319"</f>
        <v>010909319</v>
      </c>
      <c r="F539" s="1" t="s">
        <v>1346</v>
      </c>
      <c r="G539" s="1" t="s">
        <v>16</v>
      </c>
      <c r="H539" s="1" t="str">
        <f>"1"</f>
        <v>1</v>
      </c>
      <c r="I539" s="2">
        <v>56.48</v>
      </c>
      <c r="J539" s="3">
        <v>46121</v>
      </c>
      <c r="K539" s="1" t="s">
        <v>1347</v>
      </c>
    </row>
    <row r="540" spans="1:11" x14ac:dyDescent="0.35">
      <c r="A540" s="1" t="s">
        <v>1306</v>
      </c>
      <c r="B540" s="1" t="s">
        <v>1344</v>
      </c>
      <c r="C540" s="1" t="s">
        <v>1348</v>
      </c>
      <c r="D540" s="1" t="str">
        <f>"5120"</f>
        <v>5120</v>
      </c>
      <c r="E540" s="1" t="str">
        <f>"014618327"</f>
        <v>014618327</v>
      </c>
      <c r="F540" s="1" t="s">
        <v>1346</v>
      </c>
      <c r="G540" s="1" t="s">
        <v>16</v>
      </c>
      <c r="H540" s="1" t="str">
        <f>"1"</f>
        <v>1</v>
      </c>
      <c r="I540" s="2">
        <v>30.71</v>
      </c>
      <c r="J540" s="3">
        <v>46121</v>
      </c>
      <c r="K540" s="1" t="s">
        <v>1347</v>
      </c>
    </row>
    <row r="541" spans="1:11" x14ac:dyDescent="0.35">
      <c r="A541" s="1" t="s">
        <v>1306</v>
      </c>
      <c r="B541" s="1" t="s">
        <v>1344</v>
      </c>
      <c r="C541" s="1" t="s">
        <v>1349</v>
      </c>
      <c r="D541" s="1" t="str">
        <f>"5120"</f>
        <v>5120</v>
      </c>
      <c r="E541" s="1" t="str">
        <f>"014810382"</f>
        <v>014810382</v>
      </c>
      <c r="F541" s="1" t="s">
        <v>1350</v>
      </c>
      <c r="G541" s="1" t="s">
        <v>16</v>
      </c>
      <c r="H541" s="1" t="str">
        <f>"1"</f>
        <v>1</v>
      </c>
      <c r="I541" s="2">
        <v>150.94</v>
      </c>
      <c r="J541" s="3">
        <v>46121</v>
      </c>
      <c r="K541" s="1" t="s">
        <v>1347</v>
      </c>
    </row>
    <row r="542" spans="1:11" x14ac:dyDescent="0.35">
      <c r="A542" s="1" t="s">
        <v>1306</v>
      </c>
      <c r="B542" s="1" t="s">
        <v>1344</v>
      </c>
      <c r="C542" s="1" t="s">
        <v>1351</v>
      </c>
      <c r="D542" s="1" t="str">
        <f>"6220"</f>
        <v>6220</v>
      </c>
      <c r="E542" s="1" t="str">
        <f>"016707316"</f>
        <v>016707316</v>
      </c>
      <c r="F542" s="1" t="s">
        <v>1352</v>
      </c>
      <c r="G542" s="1" t="s">
        <v>16</v>
      </c>
      <c r="H542" s="1" t="str">
        <f>"4"</f>
        <v>4</v>
      </c>
      <c r="I542" s="2">
        <v>2087.35</v>
      </c>
      <c r="J542" s="3">
        <v>46121</v>
      </c>
      <c r="K542" s="1" t="s">
        <v>1353</v>
      </c>
    </row>
    <row r="543" spans="1:11" x14ac:dyDescent="0.35">
      <c r="A543" s="1" t="s">
        <v>1306</v>
      </c>
      <c r="B543" s="1" t="s">
        <v>1344</v>
      </c>
      <c r="C543" s="1" t="s">
        <v>1354</v>
      </c>
      <c r="D543" s="1" t="str">
        <f>"6530"</f>
        <v>6530</v>
      </c>
      <c r="E543" s="1" t="str">
        <f>"015726775"</f>
        <v>015726775</v>
      </c>
      <c r="F543" s="1" t="s">
        <v>1355</v>
      </c>
      <c r="G543" s="1" t="s">
        <v>16</v>
      </c>
      <c r="H543" s="1" t="str">
        <f>"3"</f>
        <v>3</v>
      </c>
      <c r="I543" s="2">
        <v>7046.08</v>
      </c>
      <c r="J543" s="3">
        <v>46121</v>
      </c>
      <c r="K543" s="1" t="s">
        <v>1356</v>
      </c>
    </row>
    <row r="544" spans="1:11" x14ac:dyDescent="0.35">
      <c r="A544" s="1" t="s">
        <v>1306</v>
      </c>
      <c r="B544" s="1" t="s">
        <v>1344</v>
      </c>
      <c r="C544" s="1" t="s">
        <v>1357</v>
      </c>
      <c r="D544" s="1" t="str">
        <f>"6530"</f>
        <v>6530</v>
      </c>
      <c r="E544" s="1" t="str">
        <f>"015726775"</f>
        <v>015726775</v>
      </c>
      <c r="F544" s="1" t="s">
        <v>1355</v>
      </c>
      <c r="G544" s="1" t="s">
        <v>16</v>
      </c>
      <c r="H544" s="1" t="str">
        <f>"1"</f>
        <v>1</v>
      </c>
      <c r="I544" s="2">
        <v>7046.08</v>
      </c>
      <c r="J544" s="3">
        <v>46121</v>
      </c>
      <c r="K544" s="1" t="s">
        <v>1356</v>
      </c>
    </row>
    <row r="545" spans="1:11" x14ac:dyDescent="0.35">
      <c r="A545" s="1" t="s">
        <v>1306</v>
      </c>
      <c r="B545" s="1" t="s">
        <v>1344</v>
      </c>
      <c r="C545" s="1" t="s">
        <v>1358</v>
      </c>
      <c r="D545" s="1" t="str">
        <f>"7110"</f>
        <v>7110</v>
      </c>
      <c r="E545" s="1" t="s">
        <v>1359</v>
      </c>
      <c r="F545" s="1" t="s">
        <v>1360</v>
      </c>
      <c r="G545" s="1" t="s">
        <v>16</v>
      </c>
      <c r="H545" s="1" t="str">
        <f>"1"</f>
        <v>1</v>
      </c>
      <c r="I545" s="2" t="str">
        <f>"150"</f>
        <v>150</v>
      </c>
      <c r="J545" s="3">
        <v>46121</v>
      </c>
      <c r="K545" s="1" t="s">
        <v>1361</v>
      </c>
    </row>
    <row r="546" spans="1:11" x14ac:dyDescent="0.35">
      <c r="A546" s="1" t="s">
        <v>1306</v>
      </c>
      <c r="B546" s="1" t="s">
        <v>1344</v>
      </c>
      <c r="C546" s="1" t="s">
        <v>1362</v>
      </c>
      <c r="D546" s="1" t="str">
        <f>"8465"</f>
        <v>8465</v>
      </c>
      <c r="E546" s="1" t="str">
        <f>"016260056"</f>
        <v>016260056</v>
      </c>
      <c r="F546" s="1" t="s">
        <v>1251</v>
      </c>
      <c r="G546" s="1" t="s">
        <v>16</v>
      </c>
      <c r="H546" s="1" t="str">
        <f>"26"</f>
        <v>26</v>
      </c>
      <c r="I546" s="2">
        <v>18.27</v>
      </c>
      <c r="J546" s="3">
        <v>46121</v>
      </c>
      <c r="K546" s="1" t="s">
        <v>1363</v>
      </c>
    </row>
    <row r="547" spans="1:11" x14ac:dyDescent="0.35">
      <c r="A547" s="1" t="s">
        <v>1306</v>
      </c>
      <c r="B547" s="1" t="s">
        <v>1322</v>
      </c>
      <c r="C547" s="1" t="s">
        <v>1323</v>
      </c>
      <c r="D547" s="1" t="str">
        <f>"1730"</f>
        <v>1730</v>
      </c>
      <c r="E547" s="1" t="str">
        <f>"012737700"</f>
        <v>012737700</v>
      </c>
      <c r="F547" s="1" t="s">
        <v>1324</v>
      </c>
      <c r="G547" s="1" t="s">
        <v>16</v>
      </c>
      <c r="H547" s="1" t="str">
        <f>"4"</f>
        <v>4</v>
      </c>
      <c r="I547" s="2">
        <v>181.69</v>
      </c>
      <c r="J547" s="3">
        <v>46126</v>
      </c>
      <c r="K547" s="1" t="s">
        <v>1325</v>
      </c>
    </row>
    <row r="548" spans="1:11" x14ac:dyDescent="0.35">
      <c r="A548" s="1" t="s">
        <v>1306</v>
      </c>
      <c r="B548" s="1" t="s">
        <v>1322</v>
      </c>
      <c r="C548" s="1" t="s">
        <v>1329</v>
      </c>
      <c r="D548" s="1" t="str">
        <f>"2540"</f>
        <v>2540</v>
      </c>
      <c r="E548" s="1" t="s">
        <v>1330</v>
      </c>
      <c r="F548" s="1" t="s">
        <v>1331</v>
      </c>
      <c r="G548" s="1" t="s">
        <v>16</v>
      </c>
      <c r="H548" s="1" t="str">
        <f>"24"</f>
        <v>24</v>
      </c>
      <c r="I548" s="2" t="str">
        <f>"30"</f>
        <v>30</v>
      </c>
      <c r="J548" s="3">
        <v>46126</v>
      </c>
      <c r="K548" s="1" t="s">
        <v>1332</v>
      </c>
    </row>
    <row r="549" spans="1:11" x14ac:dyDescent="0.35">
      <c r="A549" s="1" t="s">
        <v>1306</v>
      </c>
      <c r="B549" s="1" t="s">
        <v>1322</v>
      </c>
      <c r="C549" s="1" t="s">
        <v>1339</v>
      </c>
      <c r="D549" s="1" t="str">
        <f>"8115"</f>
        <v>8115</v>
      </c>
      <c r="E549" s="1" t="str">
        <f>"013540797"</f>
        <v>013540797</v>
      </c>
      <c r="F549" s="1" t="s">
        <v>1340</v>
      </c>
      <c r="G549" s="1" t="s">
        <v>16</v>
      </c>
      <c r="H549" s="1" t="str">
        <f>"2"</f>
        <v>2</v>
      </c>
      <c r="I549" s="2">
        <v>2546.7199999999998</v>
      </c>
      <c r="J549" s="3">
        <v>46126</v>
      </c>
      <c r="K549" s="1" t="s">
        <v>1341</v>
      </c>
    </row>
    <row r="550" spans="1:11" x14ac:dyDescent="0.35">
      <c r="A550" s="1" t="s">
        <v>1306</v>
      </c>
      <c r="B550" s="1" t="s">
        <v>1364</v>
      </c>
      <c r="C550" s="1" t="s">
        <v>1383</v>
      </c>
      <c r="D550" s="1" t="str">
        <f>"5855"</f>
        <v>5855</v>
      </c>
      <c r="E550" s="1" t="str">
        <f>"015345931"</f>
        <v>015345931</v>
      </c>
      <c r="F550" s="1" t="s">
        <v>1379</v>
      </c>
      <c r="G550" s="1" t="s">
        <v>16</v>
      </c>
      <c r="H550" s="1" t="str">
        <f>"4"</f>
        <v>4</v>
      </c>
      <c r="I550" s="2" t="str">
        <f>"970"</f>
        <v>970</v>
      </c>
      <c r="J550" s="3">
        <v>46127</v>
      </c>
      <c r="K550" s="1" t="s">
        <v>1384</v>
      </c>
    </row>
    <row r="551" spans="1:11" x14ac:dyDescent="0.35">
      <c r="A551" s="1" t="s">
        <v>1306</v>
      </c>
      <c r="B551" s="1" t="s">
        <v>1364</v>
      </c>
      <c r="C551" s="1" t="s">
        <v>1385</v>
      </c>
      <c r="D551" s="1" t="str">
        <f>"5855"</f>
        <v>5855</v>
      </c>
      <c r="E551" s="1" t="str">
        <f>"015777174"</f>
        <v>015777174</v>
      </c>
      <c r="F551" s="1" t="s">
        <v>1366</v>
      </c>
      <c r="G551" s="1" t="s">
        <v>16</v>
      </c>
      <c r="H551" s="1" t="str">
        <f>"5"</f>
        <v>5</v>
      </c>
      <c r="I551" s="2" t="str">
        <f>"1791"</f>
        <v>1791</v>
      </c>
      <c r="J551" s="3">
        <v>46127</v>
      </c>
      <c r="K551" s="1" t="s">
        <v>1367</v>
      </c>
    </row>
    <row r="552" spans="1:11" x14ac:dyDescent="0.35">
      <c r="A552" s="1" t="s">
        <v>1306</v>
      </c>
      <c r="B552" s="1" t="s">
        <v>1364</v>
      </c>
      <c r="C552" s="1" t="s">
        <v>1386</v>
      </c>
      <c r="D552" s="1" t="str">
        <f>"5855"</f>
        <v>5855</v>
      </c>
      <c r="E552" s="1" t="str">
        <f>"015345931"</f>
        <v>015345931</v>
      </c>
      <c r="F552" s="1" t="s">
        <v>1379</v>
      </c>
      <c r="G552" s="1" t="s">
        <v>16</v>
      </c>
      <c r="H552" s="1" t="str">
        <f>"1"</f>
        <v>1</v>
      </c>
      <c r="I552" s="2" t="str">
        <f>"970"</f>
        <v>970</v>
      </c>
      <c r="J552" s="3">
        <v>46127</v>
      </c>
      <c r="K552" s="1" t="s">
        <v>1384</v>
      </c>
    </row>
    <row r="553" spans="1:11" x14ac:dyDescent="0.35">
      <c r="A553" s="1" t="s">
        <v>1306</v>
      </c>
      <c r="B553" s="1" t="s">
        <v>1364</v>
      </c>
      <c r="C553" s="1" t="s">
        <v>1365</v>
      </c>
      <c r="D553" s="1" t="str">
        <f>"5855"</f>
        <v>5855</v>
      </c>
      <c r="E553" s="1" t="str">
        <f>"015777174"</f>
        <v>015777174</v>
      </c>
      <c r="F553" s="1" t="s">
        <v>1366</v>
      </c>
      <c r="G553" s="1" t="s">
        <v>16</v>
      </c>
      <c r="H553" s="1" t="str">
        <f>"1"</f>
        <v>1</v>
      </c>
      <c r="I553" s="2" t="str">
        <f>"1791"</f>
        <v>1791</v>
      </c>
      <c r="J553" s="3">
        <v>46146</v>
      </c>
      <c r="K553" s="1" t="s">
        <v>1367</v>
      </c>
    </row>
    <row r="554" spans="1:11" x14ac:dyDescent="0.35">
      <c r="A554" s="1" t="s">
        <v>1306</v>
      </c>
      <c r="B554" s="1" t="s">
        <v>1364</v>
      </c>
      <c r="C554" s="1" t="s">
        <v>1368</v>
      </c>
      <c r="D554" s="1" t="str">
        <f>"5855"</f>
        <v>5855</v>
      </c>
      <c r="E554" s="1" t="str">
        <f>"015777174"</f>
        <v>015777174</v>
      </c>
      <c r="F554" s="1" t="s">
        <v>1366</v>
      </c>
      <c r="G554" s="1" t="s">
        <v>16</v>
      </c>
      <c r="H554" s="1" t="str">
        <f>"1"</f>
        <v>1</v>
      </c>
      <c r="I554" s="2" t="str">
        <f>"1791"</f>
        <v>1791</v>
      </c>
      <c r="J554" s="3">
        <v>46146</v>
      </c>
      <c r="K554" s="1" t="s">
        <v>1367</v>
      </c>
    </row>
    <row r="555" spans="1:11" x14ac:dyDescent="0.35">
      <c r="A555" s="1" t="s">
        <v>1306</v>
      </c>
      <c r="B555" s="1" t="s">
        <v>1364</v>
      </c>
      <c r="C555" s="1" t="s">
        <v>1369</v>
      </c>
      <c r="D555" s="1" t="str">
        <f>"5855"</f>
        <v>5855</v>
      </c>
      <c r="E555" s="1" t="str">
        <f>"015777174"</f>
        <v>015777174</v>
      </c>
      <c r="F555" s="1" t="s">
        <v>1366</v>
      </c>
      <c r="G555" s="1" t="s">
        <v>16</v>
      </c>
      <c r="H555" s="1" t="str">
        <f>"1"</f>
        <v>1</v>
      </c>
      <c r="I555" s="2" t="str">
        <f>"1791"</f>
        <v>1791</v>
      </c>
      <c r="J555" s="3">
        <v>46146</v>
      </c>
      <c r="K555" s="1" t="s">
        <v>1367</v>
      </c>
    </row>
    <row r="556" spans="1:11" x14ac:dyDescent="0.35">
      <c r="A556" s="1" t="s">
        <v>1306</v>
      </c>
      <c r="B556" s="1" t="s">
        <v>1364</v>
      </c>
      <c r="C556" s="1" t="s">
        <v>1370</v>
      </c>
      <c r="D556" s="1" t="str">
        <f>"5855"</f>
        <v>5855</v>
      </c>
      <c r="E556" s="1" t="str">
        <f>"015777174"</f>
        <v>015777174</v>
      </c>
      <c r="F556" s="1" t="s">
        <v>1366</v>
      </c>
      <c r="G556" s="1" t="s">
        <v>16</v>
      </c>
      <c r="H556" s="1" t="str">
        <f>"1"</f>
        <v>1</v>
      </c>
      <c r="I556" s="2" t="str">
        <f>"1791"</f>
        <v>1791</v>
      </c>
      <c r="J556" s="3">
        <v>46146</v>
      </c>
      <c r="K556" s="1" t="s">
        <v>1367</v>
      </c>
    </row>
    <row r="557" spans="1:11" x14ac:dyDescent="0.35">
      <c r="A557" s="1" t="s">
        <v>1306</v>
      </c>
      <c r="B557" s="1" t="s">
        <v>1364</v>
      </c>
      <c r="C557" s="1" t="s">
        <v>1371</v>
      </c>
      <c r="D557" s="1" t="str">
        <f>"5855"</f>
        <v>5855</v>
      </c>
      <c r="E557" s="1" t="str">
        <f>"015777174"</f>
        <v>015777174</v>
      </c>
      <c r="F557" s="1" t="s">
        <v>1366</v>
      </c>
      <c r="G557" s="1" t="s">
        <v>16</v>
      </c>
      <c r="H557" s="1" t="str">
        <f>"1"</f>
        <v>1</v>
      </c>
      <c r="I557" s="2" t="str">
        <f>"1791"</f>
        <v>1791</v>
      </c>
      <c r="J557" s="3">
        <v>46146</v>
      </c>
      <c r="K557" s="1" t="s">
        <v>1367</v>
      </c>
    </row>
    <row r="558" spans="1:11" x14ac:dyDescent="0.35">
      <c r="A558" s="1" t="s">
        <v>1306</v>
      </c>
      <c r="B558" s="1" t="s">
        <v>1364</v>
      </c>
      <c r="C558" s="1" t="s">
        <v>1372</v>
      </c>
      <c r="D558" s="1" t="str">
        <f>"5855"</f>
        <v>5855</v>
      </c>
      <c r="E558" s="1" t="str">
        <f>"015777174"</f>
        <v>015777174</v>
      </c>
      <c r="F558" s="1" t="s">
        <v>1366</v>
      </c>
      <c r="G558" s="1" t="s">
        <v>16</v>
      </c>
      <c r="H558" s="1" t="str">
        <f>"1"</f>
        <v>1</v>
      </c>
      <c r="I558" s="2" t="str">
        <f>"1791"</f>
        <v>1791</v>
      </c>
      <c r="J558" s="3">
        <v>46146</v>
      </c>
      <c r="K558" s="1" t="s">
        <v>1367</v>
      </c>
    </row>
    <row r="559" spans="1:11" x14ac:dyDescent="0.35">
      <c r="A559" s="1" t="s">
        <v>1306</v>
      </c>
      <c r="B559" s="1" t="s">
        <v>1364</v>
      </c>
      <c r="C559" s="1" t="s">
        <v>1373</v>
      </c>
      <c r="D559" s="1" t="str">
        <f>"5855"</f>
        <v>5855</v>
      </c>
      <c r="E559" s="1" t="str">
        <f>"015777174"</f>
        <v>015777174</v>
      </c>
      <c r="F559" s="1" t="s">
        <v>1366</v>
      </c>
      <c r="G559" s="1" t="s">
        <v>16</v>
      </c>
      <c r="H559" s="1" t="str">
        <f>"1"</f>
        <v>1</v>
      </c>
      <c r="I559" s="2" t="str">
        <f>"1791"</f>
        <v>1791</v>
      </c>
      <c r="J559" s="3">
        <v>46146</v>
      </c>
      <c r="K559" s="1" t="s">
        <v>1367</v>
      </c>
    </row>
    <row r="560" spans="1:11" x14ac:dyDescent="0.35">
      <c r="A560" s="1" t="s">
        <v>1306</v>
      </c>
      <c r="B560" s="1" t="s">
        <v>1364</v>
      </c>
      <c r="C560" s="1" t="s">
        <v>1374</v>
      </c>
      <c r="D560" s="1" t="str">
        <f>"5855"</f>
        <v>5855</v>
      </c>
      <c r="E560" s="1" t="str">
        <f>"015777174"</f>
        <v>015777174</v>
      </c>
      <c r="F560" s="1" t="s">
        <v>1366</v>
      </c>
      <c r="G560" s="1" t="s">
        <v>16</v>
      </c>
      <c r="H560" s="1" t="str">
        <f>"1"</f>
        <v>1</v>
      </c>
      <c r="I560" s="2" t="str">
        <f>"1791"</f>
        <v>1791</v>
      </c>
      <c r="J560" s="3">
        <v>46146</v>
      </c>
      <c r="K560" s="1" t="s">
        <v>1367</v>
      </c>
    </row>
    <row r="561" spans="1:11" x14ac:dyDescent="0.35">
      <c r="A561" s="1" t="s">
        <v>1306</v>
      </c>
      <c r="B561" s="1" t="s">
        <v>1364</v>
      </c>
      <c r="C561" s="1" t="s">
        <v>1375</v>
      </c>
      <c r="D561" s="1" t="str">
        <f>"5855"</f>
        <v>5855</v>
      </c>
      <c r="E561" s="1" t="str">
        <f>"015777174"</f>
        <v>015777174</v>
      </c>
      <c r="F561" s="1" t="s">
        <v>1366</v>
      </c>
      <c r="G561" s="1" t="s">
        <v>16</v>
      </c>
      <c r="H561" s="1" t="str">
        <f>"1"</f>
        <v>1</v>
      </c>
      <c r="I561" s="2" t="str">
        <f>"1791"</f>
        <v>1791</v>
      </c>
      <c r="J561" s="3">
        <v>46146</v>
      </c>
      <c r="K561" s="1" t="s">
        <v>1367</v>
      </c>
    </row>
    <row r="562" spans="1:11" x14ac:dyDescent="0.35">
      <c r="A562" s="1" t="s">
        <v>1306</v>
      </c>
      <c r="B562" s="1" t="s">
        <v>1364</v>
      </c>
      <c r="C562" s="1" t="s">
        <v>1376</v>
      </c>
      <c r="D562" s="1" t="str">
        <f>"5855"</f>
        <v>5855</v>
      </c>
      <c r="E562" s="1" t="str">
        <f>"015777174"</f>
        <v>015777174</v>
      </c>
      <c r="F562" s="1" t="s">
        <v>1366</v>
      </c>
      <c r="G562" s="1" t="s">
        <v>16</v>
      </c>
      <c r="H562" s="1" t="str">
        <f>"1"</f>
        <v>1</v>
      </c>
      <c r="I562" s="2" t="str">
        <f>"1791"</f>
        <v>1791</v>
      </c>
      <c r="J562" s="3">
        <v>46146</v>
      </c>
      <c r="K562" s="1" t="s">
        <v>1367</v>
      </c>
    </row>
    <row r="563" spans="1:11" x14ac:dyDescent="0.35">
      <c r="A563" s="1" t="s">
        <v>1306</v>
      </c>
      <c r="B563" s="1" t="s">
        <v>1364</v>
      </c>
      <c r="C563" s="1" t="s">
        <v>1377</v>
      </c>
      <c r="D563" s="1" t="str">
        <f>"5855"</f>
        <v>5855</v>
      </c>
      <c r="E563" s="1" t="str">
        <f>"015777174"</f>
        <v>015777174</v>
      </c>
      <c r="F563" s="1" t="s">
        <v>1366</v>
      </c>
      <c r="G563" s="1" t="s">
        <v>16</v>
      </c>
      <c r="H563" s="1" t="str">
        <f>"1"</f>
        <v>1</v>
      </c>
      <c r="I563" s="2" t="str">
        <f>"1791"</f>
        <v>1791</v>
      </c>
      <c r="J563" s="3">
        <v>46146</v>
      </c>
      <c r="K563" s="1" t="s">
        <v>1367</v>
      </c>
    </row>
    <row r="564" spans="1:11" x14ac:dyDescent="0.35">
      <c r="A564" s="1" t="s">
        <v>1306</v>
      </c>
      <c r="B564" s="1" t="s">
        <v>1364</v>
      </c>
      <c r="C564" s="1" t="s">
        <v>1380</v>
      </c>
      <c r="D564" s="1" t="str">
        <f>"5855"</f>
        <v>5855</v>
      </c>
      <c r="E564" s="1" t="str">
        <f>"015777174"</f>
        <v>015777174</v>
      </c>
      <c r="F564" s="1" t="s">
        <v>1366</v>
      </c>
      <c r="G564" s="1" t="s">
        <v>16</v>
      </c>
      <c r="H564" s="1" t="str">
        <f>"1"</f>
        <v>1</v>
      </c>
      <c r="I564" s="2" t="str">
        <f>"1791"</f>
        <v>1791</v>
      </c>
      <c r="J564" s="3">
        <v>46146</v>
      </c>
      <c r="K564" s="1" t="s">
        <v>1367</v>
      </c>
    </row>
    <row r="565" spans="1:11" x14ac:dyDescent="0.35">
      <c r="A565" s="1" t="s">
        <v>1306</v>
      </c>
      <c r="B565" s="1" t="s">
        <v>1364</v>
      </c>
      <c r="C565" s="1" t="s">
        <v>1381</v>
      </c>
      <c r="D565" s="1" t="str">
        <f>"5855"</f>
        <v>5855</v>
      </c>
      <c r="E565" s="1" t="str">
        <f>"015777174"</f>
        <v>015777174</v>
      </c>
      <c r="F565" s="1" t="s">
        <v>1366</v>
      </c>
      <c r="G565" s="1" t="s">
        <v>16</v>
      </c>
      <c r="H565" s="1" t="str">
        <f>"1"</f>
        <v>1</v>
      </c>
      <c r="I565" s="2" t="str">
        <f>"1791"</f>
        <v>1791</v>
      </c>
      <c r="J565" s="3">
        <v>46146</v>
      </c>
      <c r="K565" s="1" t="s">
        <v>1367</v>
      </c>
    </row>
    <row r="566" spans="1:11" x14ac:dyDescent="0.35">
      <c r="A566" s="1" t="s">
        <v>1306</v>
      </c>
      <c r="B566" s="1" t="s">
        <v>1364</v>
      </c>
      <c r="C566" s="1" t="s">
        <v>1382</v>
      </c>
      <c r="D566" s="1" t="str">
        <f>"5855"</f>
        <v>5855</v>
      </c>
      <c r="E566" s="1" t="str">
        <f>"015777174"</f>
        <v>015777174</v>
      </c>
      <c r="F566" s="1" t="s">
        <v>1366</v>
      </c>
      <c r="G566" s="1" t="s">
        <v>16</v>
      </c>
      <c r="H566" s="1" t="str">
        <f>"1"</f>
        <v>1</v>
      </c>
      <c r="I566" s="2" t="str">
        <f>"1791"</f>
        <v>1791</v>
      </c>
      <c r="J566" s="3">
        <v>46146</v>
      </c>
      <c r="K566" s="1" t="s">
        <v>1367</v>
      </c>
    </row>
    <row r="567" spans="1:11" x14ac:dyDescent="0.35">
      <c r="A567" s="1" t="s">
        <v>1306</v>
      </c>
      <c r="B567" s="1" t="s">
        <v>1364</v>
      </c>
      <c r="C567" s="1" t="s">
        <v>1378</v>
      </c>
      <c r="D567" s="1" t="str">
        <f>"5855"</f>
        <v>5855</v>
      </c>
      <c r="E567" s="1" t="str">
        <f>"015345931"</f>
        <v>015345931</v>
      </c>
      <c r="F567" s="1" t="s">
        <v>1379</v>
      </c>
      <c r="G567" s="1" t="s">
        <v>16</v>
      </c>
      <c r="H567" s="1" t="str">
        <f>"1"</f>
        <v>1</v>
      </c>
      <c r="I567" s="2" t="str">
        <f>"970"</f>
        <v>970</v>
      </c>
      <c r="J567" s="3">
        <v>46147</v>
      </c>
      <c r="K567" s="1" t="s">
        <v>1367</v>
      </c>
    </row>
    <row r="568" spans="1:11" x14ac:dyDescent="0.35">
      <c r="A568" s="1" t="s">
        <v>1306</v>
      </c>
      <c r="B568" s="1" t="s">
        <v>1322</v>
      </c>
      <c r="C568" s="1" t="s">
        <v>1333</v>
      </c>
      <c r="D568" s="1" t="str">
        <f>"4220"</f>
        <v>4220</v>
      </c>
      <c r="E568" s="1" t="str">
        <f>"016574027"</f>
        <v>016574027</v>
      </c>
      <c r="F568" s="1" t="s">
        <v>716</v>
      </c>
      <c r="G568" s="1" t="s">
        <v>16</v>
      </c>
      <c r="H568" s="1" t="str">
        <f>"3"</f>
        <v>3</v>
      </c>
      <c r="I568" s="2">
        <v>359.25</v>
      </c>
      <c r="J568" s="3">
        <v>46148</v>
      </c>
      <c r="K568" s="1" t="s">
        <v>1334</v>
      </c>
    </row>
    <row r="569" spans="1:11" x14ac:dyDescent="0.35">
      <c r="A569" s="1" t="s">
        <v>1306</v>
      </c>
      <c r="B569" s="1" t="s">
        <v>1322</v>
      </c>
      <c r="C569" s="1" t="s">
        <v>1342</v>
      </c>
      <c r="D569" s="1" t="str">
        <f>"8145"</f>
        <v>8145</v>
      </c>
      <c r="E569" s="1" t="str">
        <f>"012313747"</f>
        <v>012313747</v>
      </c>
      <c r="F569" s="1" t="s">
        <v>1343</v>
      </c>
      <c r="G569" s="1" t="s">
        <v>16</v>
      </c>
      <c r="H569" s="1" t="str">
        <f>"1"</f>
        <v>1</v>
      </c>
      <c r="I569" s="2" t="str">
        <f>"1688"</f>
        <v>1688</v>
      </c>
      <c r="J569" s="3">
        <v>46148</v>
      </c>
      <c r="K569" s="1" t="s">
        <v>1341</v>
      </c>
    </row>
    <row r="570" spans="1:11" x14ac:dyDescent="0.35">
      <c r="A570" s="1" t="s">
        <v>1306</v>
      </c>
      <c r="B570" s="1" t="s">
        <v>1310</v>
      </c>
      <c r="C570" s="1" t="s">
        <v>1311</v>
      </c>
      <c r="D570" s="1" t="str">
        <f>"4940"</f>
        <v>4940</v>
      </c>
      <c r="E570" s="1" t="str">
        <f>"015998421"</f>
        <v>015998421</v>
      </c>
      <c r="F570" s="1" t="s">
        <v>1312</v>
      </c>
      <c r="G570" s="1" t="s">
        <v>16</v>
      </c>
      <c r="H570" s="1" t="str">
        <f>"1"</f>
        <v>1</v>
      </c>
      <c r="I570" s="2" t="str">
        <f>"16000"</f>
        <v>16000</v>
      </c>
      <c r="J570" s="3">
        <v>46163</v>
      </c>
      <c r="K570" s="1" t="s">
        <v>1313</v>
      </c>
    </row>
    <row r="571" spans="1:11" x14ac:dyDescent="0.35">
      <c r="A571" s="1" t="s">
        <v>1306</v>
      </c>
      <c r="B571" s="1" t="s">
        <v>1310</v>
      </c>
      <c r="C571" s="1" t="s">
        <v>1314</v>
      </c>
      <c r="D571" s="1" t="str">
        <f>"4940"</f>
        <v>4940</v>
      </c>
      <c r="E571" s="1" t="str">
        <f>"015998421"</f>
        <v>015998421</v>
      </c>
      <c r="F571" s="1" t="s">
        <v>1312</v>
      </c>
      <c r="G571" s="1" t="s">
        <v>16</v>
      </c>
      <c r="H571" s="1" t="str">
        <f>"1"</f>
        <v>1</v>
      </c>
      <c r="I571" s="2" t="str">
        <f>"16000"</f>
        <v>16000</v>
      </c>
      <c r="J571" s="3">
        <v>46163</v>
      </c>
      <c r="K571" s="1" t="s">
        <v>1315</v>
      </c>
    </row>
    <row r="572" spans="1:11" x14ac:dyDescent="0.35">
      <c r="A572" s="1" t="s">
        <v>1306</v>
      </c>
      <c r="B572" s="1" t="s">
        <v>1307</v>
      </c>
      <c r="C572" s="1" t="s">
        <v>1308</v>
      </c>
      <c r="D572" s="1" t="str">
        <f>"3930"</f>
        <v>3930</v>
      </c>
      <c r="E572" s="1" t="str">
        <f>"011580849"</f>
        <v>011580849</v>
      </c>
      <c r="F572" s="1" t="s">
        <v>1304</v>
      </c>
      <c r="G572" s="1" t="s">
        <v>16</v>
      </c>
      <c r="H572" s="1" t="str">
        <f>"1"</f>
        <v>1</v>
      </c>
      <c r="I572" s="2" t="str">
        <f>"72370"</f>
        <v>72370</v>
      </c>
      <c r="J572" s="3">
        <v>46182</v>
      </c>
      <c r="K572" s="1" t="s">
        <v>1309</v>
      </c>
    </row>
    <row r="573" spans="1:11" x14ac:dyDescent="0.35">
      <c r="A573" s="1" t="s">
        <v>1306</v>
      </c>
      <c r="B573" s="1" t="s">
        <v>1316</v>
      </c>
      <c r="C573" s="1" t="s">
        <v>1317</v>
      </c>
      <c r="D573" s="1" t="str">
        <f>"7035"</f>
        <v>7035</v>
      </c>
      <c r="E573" s="1" t="s">
        <v>1318</v>
      </c>
      <c r="F573" s="1" t="s">
        <v>1319</v>
      </c>
      <c r="G573" s="1" t="s">
        <v>352</v>
      </c>
      <c r="H573" s="1" t="str">
        <f>"20"</f>
        <v>20</v>
      </c>
      <c r="I573" s="2">
        <v>259.99</v>
      </c>
      <c r="J573" s="3">
        <v>46190</v>
      </c>
      <c r="K573" s="1" t="s">
        <v>1320</v>
      </c>
    </row>
    <row r="574" spans="1:11" x14ac:dyDescent="0.35">
      <c r="A574" s="1" t="s">
        <v>1306</v>
      </c>
      <c r="B574" s="1" t="s">
        <v>1316</v>
      </c>
      <c r="C574" s="1" t="s">
        <v>1321</v>
      </c>
      <c r="D574" s="1" t="str">
        <f>"7035"</f>
        <v>7035</v>
      </c>
      <c r="E574" s="1" t="s">
        <v>1318</v>
      </c>
      <c r="F574" s="1" t="s">
        <v>1319</v>
      </c>
      <c r="G574" s="1" t="s">
        <v>352</v>
      </c>
      <c r="H574" s="1" t="str">
        <f>"18"</f>
        <v>18</v>
      </c>
      <c r="I574" s="2">
        <v>259.99</v>
      </c>
      <c r="J574" s="3">
        <v>46190</v>
      </c>
      <c r="K574" s="1" t="s">
        <v>1320</v>
      </c>
    </row>
    <row r="575" spans="1:11" x14ac:dyDescent="0.35">
      <c r="A575" s="1" t="s">
        <v>1387</v>
      </c>
      <c r="B575" s="1" t="s">
        <v>1394</v>
      </c>
      <c r="C575" s="1" t="s">
        <v>1399</v>
      </c>
      <c r="D575" s="1" t="str">
        <f>"2420"</f>
        <v>2420</v>
      </c>
      <c r="E575" s="1" t="str">
        <f>"001138984"</f>
        <v>001138984</v>
      </c>
      <c r="F575" s="1" t="s">
        <v>98</v>
      </c>
      <c r="G575" s="1" t="s">
        <v>16</v>
      </c>
      <c r="H575" s="1" t="str">
        <f>"1"</f>
        <v>1</v>
      </c>
      <c r="I575" s="2" t="str">
        <f>"36007"</f>
        <v>36007</v>
      </c>
      <c r="J575" s="3">
        <v>46113</v>
      </c>
      <c r="K575" s="1" t="s">
        <v>1400</v>
      </c>
    </row>
    <row r="576" spans="1:11" x14ac:dyDescent="0.35">
      <c r="A576" s="1" t="s">
        <v>1387</v>
      </c>
      <c r="B576" s="1" t="s">
        <v>1394</v>
      </c>
      <c r="C576" s="1" t="s">
        <v>1406</v>
      </c>
      <c r="D576" s="1" t="str">
        <f>"4240"</f>
        <v>4240</v>
      </c>
      <c r="E576" s="1" t="str">
        <f>"015395134"</f>
        <v>015395134</v>
      </c>
      <c r="F576" s="1" t="s">
        <v>1407</v>
      </c>
      <c r="G576" s="1" t="s">
        <v>16</v>
      </c>
      <c r="H576" s="1" t="str">
        <f>"1"</f>
        <v>1</v>
      </c>
      <c r="I576" s="2" t="str">
        <f>"31040"</f>
        <v>31040</v>
      </c>
      <c r="J576" s="3">
        <v>46113</v>
      </c>
      <c r="K576" s="1" t="s">
        <v>1408</v>
      </c>
    </row>
    <row r="577" spans="1:11" x14ac:dyDescent="0.35">
      <c r="A577" s="1" t="s">
        <v>1387</v>
      </c>
      <c r="B577" s="1" t="s">
        <v>1394</v>
      </c>
      <c r="C577" s="1" t="s">
        <v>1411</v>
      </c>
      <c r="D577" s="1" t="str">
        <f>"8145"</f>
        <v>8145</v>
      </c>
      <c r="E577" s="1" t="str">
        <f>"014423336"</f>
        <v>014423336</v>
      </c>
      <c r="F577" s="1" t="s">
        <v>423</v>
      </c>
      <c r="G577" s="1" t="s">
        <v>16</v>
      </c>
      <c r="H577" s="1" t="str">
        <f>"1"</f>
        <v>1</v>
      </c>
      <c r="I577" s="2" t="str">
        <f>"4975"</f>
        <v>4975</v>
      </c>
      <c r="J577" s="3">
        <v>46113</v>
      </c>
      <c r="K577" s="1" t="s">
        <v>1412</v>
      </c>
    </row>
    <row r="578" spans="1:11" x14ac:dyDescent="0.35">
      <c r="A578" s="1" t="s">
        <v>1387</v>
      </c>
      <c r="B578" s="1" t="s">
        <v>1394</v>
      </c>
      <c r="C578" s="1" t="s">
        <v>1413</v>
      </c>
      <c r="D578" s="1" t="str">
        <f>"8145"</f>
        <v>8145</v>
      </c>
      <c r="E578" s="1" t="str">
        <f>"014423336"</f>
        <v>014423336</v>
      </c>
      <c r="F578" s="1" t="s">
        <v>423</v>
      </c>
      <c r="G578" s="1" t="s">
        <v>16</v>
      </c>
      <c r="H578" s="1" t="str">
        <f>"1"</f>
        <v>1</v>
      </c>
      <c r="I578" s="2" t="str">
        <f>"4975"</f>
        <v>4975</v>
      </c>
      <c r="J578" s="3">
        <v>46113</v>
      </c>
      <c r="K578" s="1" t="s">
        <v>1414</v>
      </c>
    </row>
    <row r="579" spans="1:11" x14ac:dyDescent="0.35">
      <c r="A579" s="1" t="s">
        <v>1387</v>
      </c>
      <c r="B579" s="1" t="s">
        <v>1427</v>
      </c>
      <c r="C579" s="1" t="s">
        <v>1428</v>
      </c>
      <c r="D579" s="1" t="str">
        <f>"6910"</f>
        <v>6910</v>
      </c>
      <c r="E579" s="1" t="str">
        <f>"016825211"</f>
        <v>016825211</v>
      </c>
      <c r="F579" s="1" t="s">
        <v>1429</v>
      </c>
      <c r="G579" s="1" t="s">
        <v>215</v>
      </c>
      <c r="H579" s="1" t="str">
        <f>"4"</f>
        <v>4</v>
      </c>
      <c r="I579" s="2">
        <v>589.24</v>
      </c>
      <c r="J579" s="3">
        <v>46120</v>
      </c>
      <c r="K579" s="1" t="s">
        <v>1430</v>
      </c>
    </row>
    <row r="580" spans="1:11" x14ac:dyDescent="0.35">
      <c r="A580" s="1" t="s">
        <v>1387</v>
      </c>
      <c r="B580" s="1" t="s">
        <v>1487</v>
      </c>
      <c r="C580" s="1" t="s">
        <v>1488</v>
      </c>
      <c r="D580" s="1" t="str">
        <f>"2310"</f>
        <v>2310</v>
      </c>
      <c r="E580" s="1" t="str">
        <f>"010907739"</f>
        <v>010907739</v>
      </c>
      <c r="F580" s="1" t="s">
        <v>1489</v>
      </c>
      <c r="G580" s="1" t="s">
        <v>16</v>
      </c>
      <c r="H580" s="1" t="str">
        <f>"1"</f>
        <v>1</v>
      </c>
      <c r="I580" s="2" t="str">
        <f>"9176"</f>
        <v>9176</v>
      </c>
      <c r="J580" s="3">
        <v>46120</v>
      </c>
      <c r="K580" s="1" t="s">
        <v>1490</v>
      </c>
    </row>
    <row r="581" spans="1:11" x14ac:dyDescent="0.35">
      <c r="A581" s="1" t="s">
        <v>1387</v>
      </c>
      <c r="B581" s="1" t="s">
        <v>1548</v>
      </c>
      <c r="C581" s="1" t="s">
        <v>1551</v>
      </c>
      <c r="D581" s="1" t="str">
        <f>"5180"</f>
        <v>5180</v>
      </c>
      <c r="E581" s="1" t="str">
        <f>"015487634"</f>
        <v>015487634</v>
      </c>
      <c r="F581" s="1" t="s">
        <v>214</v>
      </c>
      <c r="G581" s="1" t="s">
        <v>458</v>
      </c>
      <c r="H581" s="1" t="str">
        <f>"5"</f>
        <v>5</v>
      </c>
      <c r="I581" s="2" t="str">
        <f>"2048"</f>
        <v>2048</v>
      </c>
      <c r="J581" s="3">
        <v>46120</v>
      </c>
      <c r="K581" s="1" t="s">
        <v>1552</v>
      </c>
    </row>
    <row r="582" spans="1:11" x14ac:dyDescent="0.35">
      <c r="A582" s="1" t="s">
        <v>1387</v>
      </c>
      <c r="B582" s="1" t="s">
        <v>1501</v>
      </c>
      <c r="C582" s="1" t="s">
        <v>1502</v>
      </c>
      <c r="D582" s="1" t="str">
        <f>"1940"</f>
        <v>1940</v>
      </c>
      <c r="E582" s="1" t="s">
        <v>1503</v>
      </c>
      <c r="F582" s="1" t="s">
        <v>1504</v>
      </c>
      <c r="G582" s="1" t="s">
        <v>16</v>
      </c>
      <c r="H582" s="1" t="str">
        <f>"1"</f>
        <v>1</v>
      </c>
      <c r="I582" s="2" t="str">
        <f>"14981"</f>
        <v>14981</v>
      </c>
      <c r="J582" s="3">
        <v>46122</v>
      </c>
      <c r="K582" s="1" t="s">
        <v>1505</v>
      </c>
    </row>
    <row r="583" spans="1:11" x14ac:dyDescent="0.35">
      <c r="A583" s="1" t="s">
        <v>1387</v>
      </c>
      <c r="B583" s="1" t="s">
        <v>1501</v>
      </c>
      <c r="C583" s="1" t="s">
        <v>1528</v>
      </c>
      <c r="D583" s="1" t="str">
        <f>"8415"</f>
        <v>8415</v>
      </c>
      <c r="E583" s="1" t="str">
        <f>"015488225"</f>
        <v>015488225</v>
      </c>
      <c r="F583" s="1" t="s">
        <v>1529</v>
      </c>
      <c r="G583" s="1" t="s">
        <v>16</v>
      </c>
      <c r="H583" s="1" t="str">
        <f>"25"</f>
        <v>25</v>
      </c>
      <c r="I583" s="2">
        <v>144.72</v>
      </c>
      <c r="J583" s="3">
        <v>46122</v>
      </c>
      <c r="K583" s="1" t="s">
        <v>1530</v>
      </c>
    </row>
    <row r="584" spans="1:11" x14ac:dyDescent="0.35">
      <c r="A584" s="1" t="s">
        <v>1387</v>
      </c>
      <c r="B584" s="1" t="s">
        <v>1501</v>
      </c>
      <c r="C584" s="1" t="s">
        <v>1531</v>
      </c>
      <c r="D584" s="1" t="str">
        <f>"8465"</f>
        <v>8465</v>
      </c>
      <c r="E584" s="1" t="str">
        <f>"016007830"</f>
        <v>016007830</v>
      </c>
      <c r="F584" s="1" t="s">
        <v>259</v>
      </c>
      <c r="G584" s="1" t="s">
        <v>16</v>
      </c>
      <c r="H584" s="1" t="str">
        <f>"25"</f>
        <v>25</v>
      </c>
      <c r="I584" s="2">
        <v>123.43</v>
      </c>
      <c r="J584" s="3">
        <v>46122</v>
      </c>
      <c r="K584" s="1" t="s">
        <v>1532</v>
      </c>
    </row>
    <row r="585" spans="1:11" x14ac:dyDescent="0.35">
      <c r="A585" s="1" t="s">
        <v>1387</v>
      </c>
      <c r="B585" s="1" t="s">
        <v>1501</v>
      </c>
      <c r="C585" s="1" t="s">
        <v>1533</v>
      </c>
      <c r="D585" s="1" t="str">
        <f>"8465"</f>
        <v>8465</v>
      </c>
      <c r="E585" s="1" t="str">
        <f>"009734807"</f>
        <v>009734807</v>
      </c>
      <c r="F585" s="1" t="s">
        <v>1534</v>
      </c>
      <c r="G585" s="1" t="s">
        <v>16</v>
      </c>
      <c r="H585" s="1" t="str">
        <f>"25"</f>
        <v>25</v>
      </c>
      <c r="I585" s="2">
        <v>91.05</v>
      </c>
      <c r="J585" s="3">
        <v>46122</v>
      </c>
      <c r="K585" s="1" t="s">
        <v>1535</v>
      </c>
    </row>
    <row r="586" spans="1:11" x14ac:dyDescent="0.35">
      <c r="A586" s="1" t="s">
        <v>1387</v>
      </c>
      <c r="B586" s="1" t="s">
        <v>1481</v>
      </c>
      <c r="C586" s="1" t="s">
        <v>1482</v>
      </c>
      <c r="D586" s="1" t="str">
        <f>"3920"</f>
        <v>3920</v>
      </c>
      <c r="E586" s="1" t="str">
        <f>"005259216"</f>
        <v>005259216</v>
      </c>
      <c r="F586" s="1" t="s">
        <v>1483</v>
      </c>
      <c r="G586" s="1" t="s">
        <v>16</v>
      </c>
      <c r="H586" s="1" t="str">
        <f>"1"</f>
        <v>1</v>
      </c>
      <c r="I586" s="2">
        <v>1708.26</v>
      </c>
      <c r="J586" s="3">
        <v>46126</v>
      </c>
      <c r="K586" s="1" t="s">
        <v>1484</v>
      </c>
    </row>
    <row r="587" spans="1:11" x14ac:dyDescent="0.35">
      <c r="A587" s="1" t="s">
        <v>1387</v>
      </c>
      <c r="B587" s="1" t="s">
        <v>1481</v>
      </c>
      <c r="C587" s="1" t="s">
        <v>1485</v>
      </c>
      <c r="D587" s="1" t="str">
        <f>"6545"</f>
        <v>6545</v>
      </c>
      <c r="E587" s="1" t="str">
        <f>"015300929"</f>
        <v>015300929</v>
      </c>
      <c r="F587" s="1" t="s">
        <v>236</v>
      </c>
      <c r="G587" s="1" t="s">
        <v>215</v>
      </c>
      <c r="H587" s="1" t="str">
        <f>"1"</f>
        <v>1</v>
      </c>
      <c r="I587" s="2">
        <v>48.71</v>
      </c>
      <c r="J587" s="3">
        <v>46126</v>
      </c>
      <c r="K587" s="1" t="s">
        <v>1486</v>
      </c>
    </row>
    <row r="588" spans="1:11" x14ac:dyDescent="0.35">
      <c r="A588" s="1" t="s">
        <v>1387</v>
      </c>
      <c r="B588" s="1" t="s">
        <v>1548</v>
      </c>
      <c r="C588" s="1" t="s">
        <v>1549</v>
      </c>
      <c r="D588" s="1" t="str">
        <f>"3930"</f>
        <v>3930</v>
      </c>
      <c r="E588" s="1" t="str">
        <f>"015085458"</f>
        <v>015085458</v>
      </c>
      <c r="F588" s="1" t="s">
        <v>1304</v>
      </c>
      <c r="G588" s="1" t="s">
        <v>16</v>
      </c>
      <c r="H588" s="1" t="str">
        <f>"1"</f>
        <v>1</v>
      </c>
      <c r="I588" s="2">
        <v>121987.35</v>
      </c>
      <c r="J588" s="3">
        <v>46126</v>
      </c>
      <c r="K588" s="1" t="s">
        <v>1550</v>
      </c>
    </row>
    <row r="589" spans="1:11" x14ac:dyDescent="0.35">
      <c r="A589" s="1" t="s">
        <v>1387</v>
      </c>
      <c r="B589" s="1" t="s">
        <v>1394</v>
      </c>
      <c r="C589" s="1" t="s">
        <v>1397</v>
      </c>
      <c r="D589" s="1" t="str">
        <f>"2320"</f>
        <v>2320</v>
      </c>
      <c r="E589" s="1" t="s">
        <v>975</v>
      </c>
      <c r="F589" s="1" t="s">
        <v>976</v>
      </c>
      <c r="G589" s="1" t="s">
        <v>16</v>
      </c>
      <c r="H589" s="1" t="str">
        <f>"1"</f>
        <v>1</v>
      </c>
      <c r="I589" s="2" t="str">
        <f>"2000"</f>
        <v>2000</v>
      </c>
      <c r="J589" s="3">
        <v>46128</v>
      </c>
      <c r="K589" s="1" t="s">
        <v>1398</v>
      </c>
    </row>
    <row r="590" spans="1:11" x14ac:dyDescent="0.35">
      <c r="A590" s="1" t="s">
        <v>1387</v>
      </c>
      <c r="B590" s="1" t="s">
        <v>1394</v>
      </c>
      <c r="C590" s="1" t="s">
        <v>1401</v>
      </c>
      <c r="D590" s="1" t="str">
        <f>"3930"</f>
        <v>3930</v>
      </c>
      <c r="E590" s="1" t="str">
        <f>"013832942"</f>
        <v>013832942</v>
      </c>
      <c r="F590" s="1" t="s">
        <v>1304</v>
      </c>
      <c r="G590" s="1" t="s">
        <v>16</v>
      </c>
      <c r="H590" s="1" t="str">
        <f>"1"</f>
        <v>1</v>
      </c>
      <c r="I590" s="2" t="str">
        <f>"15008"</f>
        <v>15008</v>
      </c>
      <c r="J590" s="3">
        <v>46128</v>
      </c>
      <c r="K590" s="1" t="s">
        <v>1402</v>
      </c>
    </row>
    <row r="591" spans="1:11" x14ac:dyDescent="0.35">
      <c r="A591" s="1" t="s">
        <v>1387</v>
      </c>
      <c r="B591" s="1" t="s">
        <v>1394</v>
      </c>
      <c r="C591" s="1" t="s">
        <v>1403</v>
      </c>
      <c r="D591" s="1" t="str">
        <f>"3950"</f>
        <v>3950</v>
      </c>
      <c r="E591" s="1" t="str">
        <f>"012820167"</f>
        <v>012820167</v>
      </c>
      <c r="F591" s="1" t="s">
        <v>1404</v>
      </c>
      <c r="G591" s="1" t="s">
        <v>16</v>
      </c>
      <c r="H591" s="1" t="str">
        <f>"1"</f>
        <v>1</v>
      </c>
      <c r="I591" s="2">
        <v>946.38</v>
      </c>
      <c r="J591" s="3">
        <v>46128</v>
      </c>
      <c r="K591" s="1" t="s">
        <v>1405</v>
      </c>
    </row>
    <row r="592" spans="1:11" x14ac:dyDescent="0.35">
      <c r="A592" s="1" t="s">
        <v>1387</v>
      </c>
      <c r="B592" s="1" t="s">
        <v>1394</v>
      </c>
      <c r="C592" s="1" t="s">
        <v>1409</v>
      </c>
      <c r="D592" s="1" t="str">
        <f>"8145"</f>
        <v>8145</v>
      </c>
      <c r="E592" s="1" t="s">
        <v>489</v>
      </c>
      <c r="F592" s="1" t="s">
        <v>490</v>
      </c>
      <c r="G592" s="1" t="s">
        <v>16</v>
      </c>
      <c r="H592" s="1" t="str">
        <f>"2"</f>
        <v>2</v>
      </c>
      <c r="I592" s="2" t="str">
        <f>"50"</f>
        <v>50</v>
      </c>
      <c r="J592" s="3">
        <v>46128</v>
      </c>
      <c r="K592" s="1" t="s">
        <v>1410</v>
      </c>
    </row>
    <row r="593" spans="1:11" x14ac:dyDescent="0.35">
      <c r="A593" s="1" t="s">
        <v>1387</v>
      </c>
      <c r="B593" s="1" t="s">
        <v>1501</v>
      </c>
      <c r="C593" s="1" t="s">
        <v>1506</v>
      </c>
      <c r="D593" s="1" t="str">
        <f>"2310"</f>
        <v>2310</v>
      </c>
      <c r="E593" s="1" t="s">
        <v>178</v>
      </c>
      <c r="F593" s="1" t="s">
        <v>179</v>
      </c>
      <c r="G593" s="1" t="s">
        <v>16</v>
      </c>
      <c r="H593" s="1" t="str">
        <f>"1"</f>
        <v>1</v>
      </c>
      <c r="I593" s="2" t="str">
        <f>"20000"</f>
        <v>20000</v>
      </c>
      <c r="J593" s="3">
        <v>46128</v>
      </c>
      <c r="K593" s="1" t="s">
        <v>1507</v>
      </c>
    </row>
    <row r="594" spans="1:11" x14ac:dyDescent="0.35">
      <c r="A594" s="1" t="s">
        <v>1387</v>
      </c>
      <c r="B594" s="1" t="s">
        <v>1501</v>
      </c>
      <c r="C594" s="1" t="s">
        <v>1512</v>
      </c>
      <c r="D594" s="1" t="str">
        <f>"2320"</f>
        <v>2320</v>
      </c>
      <c r="E594" s="1" t="str">
        <f>"014476343"</f>
        <v>014476343</v>
      </c>
      <c r="F594" s="1" t="s">
        <v>271</v>
      </c>
      <c r="G594" s="1" t="s">
        <v>16</v>
      </c>
      <c r="H594" s="1" t="str">
        <f>"1"</f>
        <v>1</v>
      </c>
      <c r="I594" s="2" t="str">
        <f>"176428"</f>
        <v>176428</v>
      </c>
      <c r="J594" s="3">
        <v>46128</v>
      </c>
      <c r="K594" s="1" t="s">
        <v>1513</v>
      </c>
    </row>
    <row r="595" spans="1:11" x14ac:dyDescent="0.35">
      <c r="A595" s="1" t="s">
        <v>1387</v>
      </c>
      <c r="B595" s="1" t="s">
        <v>1501</v>
      </c>
      <c r="C595" s="1" t="s">
        <v>1520</v>
      </c>
      <c r="D595" s="1" t="str">
        <f>"5180"</f>
        <v>5180</v>
      </c>
      <c r="E595" s="1" t="str">
        <f>"015487634"</f>
        <v>015487634</v>
      </c>
      <c r="F595" s="1" t="s">
        <v>214</v>
      </c>
      <c r="G595" s="1" t="s">
        <v>458</v>
      </c>
      <c r="H595" s="1" t="str">
        <f>"3"</f>
        <v>3</v>
      </c>
      <c r="I595" s="2" t="str">
        <f>"2048"</f>
        <v>2048</v>
      </c>
      <c r="J595" s="3">
        <v>46128</v>
      </c>
      <c r="K595" s="1" t="s">
        <v>1521</v>
      </c>
    </row>
    <row r="596" spans="1:11" x14ac:dyDescent="0.35">
      <c r="A596" s="1" t="s">
        <v>1387</v>
      </c>
      <c r="B596" s="1" t="s">
        <v>1455</v>
      </c>
      <c r="C596" s="1" t="s">
        <v>1464</v>
      </c>
      <c r="D596" s="1" t="str">
        <f>"2340"</f>
        <v>2340</v>
      </c>
      <c r="E596" s="1" t="s">
        <v>1446</v>
      </c>
      <c r="F596" s="1" t="s">
        <v>1447</v>
      </c>
      <c r="G596" s="1" t="s">
        <v>16</v>
      </c>
      <c r="H596" s="1" t="str">
        <f>"2"</f>
        <v>2</v>
      </c>
      <c r="I596" s="2" t="str">
        <f>"1000"</f>
        <v>1000</v>
      </c>
      <c r="J596" s="3">
        <v>46129</v>
      </c>
      <c r="K596" s="1" t="s">
        <v>1465</v>
      </c>
    </row>
    <row r="597" spans="1:11" x14ac:dyDescent="0.35">
      <c r="A597" s="1" t="s">
        <v>1387</v>
      </c>
      <c r="B597" s="1" t="s">
        <v>1455</v>
      </c>
      <c r="C597" s="1" t="s">
        <v>1467</v>
      </c>
      <c r="D597" s="1" t="str">
        <f>"2340"</f>
        <v>2340</v>
      </c>
      <c r="E597" s="1" t="s">
        <v>1446</v>
      </c>
      <c r="F597" s="1" t="s">
        <v>1447</v>
      </c>
      <c r="G597" s="1" t="s">
        <v>16</v>
      </c>
      <c r="H597" s="1" t="str">
        <f>"2"</f>
        <v>2</v>
      </c>
      <c r="I597" s="2" t="str">
        <f>"1000"</f>
        <v>1000</v>
      </c>
      <c r="J597" s="3">
        <v>46129</v>
      </c>
      <c r="K597" s="1" t="s">
        <v>1465</v>
      </c>
    </row>
    <row r="598" spans="1:11" x14ac:dyDescent="0.35">
      <c r="A598" s="1" t="s">
        <v>1387</v>
      </c>
      <c r="B598" s="1" t="s">
        <v>1415</v>
      </c>
      <c r="C598" s="1" t="s">
        <v>1416</v>
      </c>
      <c r="D598" s="1" t="str">
        <f>"1550"</f>
        <v>1550</v>
      </c>
      <c r="E598" s="1" t="str">
        <f>"016215533"</f>
        <v>016215533</v>
      </c>
      <c r="F598" s="1" t="s">
        <v>1417</v>
      </c>
      <c r="G598" s="1" t="s">
        <v>16</v>
      </c>
      <c r="H598" s="1" t="str">
        <f>"1"</f>
        <v>1</v>
      </c>
      <c r="I598" s="2" t="str">
        <f>"168000"</f>
        <v>168000</v>
      </c>
      <c r="J598" s="3">
        <v>46134</v>
      </c>
      <c r="K598" s="1" t="s">
        <v>1418</v>
      </c>
    </row>
    <row r="599" spans="1:11" x14ac:dyDescent="0.35">
      <c r="A599" s="1" t="s">
        <v>1387</v>
      </c>
      <c r="B599" s="1" t="s">
        <v>1415</v>
      </c>
      <c r="C599" s="1" t="s">
        <v>1419</v>
      </c>
      <c r="D599" s="1" t="str">
        <f>"2340"</f>
        <v>2340</v>
      </c>
      <c r="E599" s="1" t="s">
        <v>61</v>
      </c>
      <c r="F599" s="1" t="s">
        <v>62</v>
      </c>
      <c r="G599" s="1" t="s">
        <v>16</v>
      </c>
      <c r="H599" s="1" t="str">
        <f>"1"</f>
        <v>1</v>
      </c>
      <c r="I599" s="2" t="str">
        <f>"14251"</f>
        <v>14251</v>
      </c>
      <c r="J599" s="3">
        <v>46134</v>
      </c>
      <c r="K599" s="1" t="s">
        <v>1420</v>
      </c>
    </row>
    <row r="600" spans="1:11" x14ac:dyDescent="0.35">
      <c r="A600" s="1" t="s">
        <v>1387</v>
      </c>
      <c r="B600" s="1" t="s">
        <v>1415</v>
      </c>
      <c r="C600" s="1" t="s">
        <v>1421</v>
      </c>
      <c r="D600" s="1" t="str">
        <f>"7010"</f>
        <v>7010</v>
      </c>
      <c r="E600" s="1" t="str">
        <f>"015308814"</f>
        <v>015308814</v>
      </c>
      <c r="F600" s="1" t="s">
        <v>1422</v>
      </c>
      <c r="G600" s="1" t="s">
        <v>16</v>
      </c>
      <c r="H600" s="1" t="str">
        <f>"1"</f>
        <v>1</v>
      </c>
      <c r="I600" s="2" t="str">
        <f>"16968"</f>
        <v>16968</v>
      </c>
      <c r="J600" s="3">
        <v>46134</v>
      </c>
      <c r="K600" s="1" t="s">
        <v>1423</v>
      </c>
    </row>
    <row r="601" spans="1:11" x14ac:dyDescent="0.35">
      <c r="A601" s="1" t="s">
        <v>1387</v>
      </c>
      <c r="B601" s="1" t="s">
        <v>1431</v>
      </c>
      <c r="C601" s="1" t="s">
        <v>1434</v>
      </c>
      <c r="D601" s="1" t="str">
        <f>"2340"</f>
        <v>2340</v>
      </c>
      <c r="E601" s="1" t="str">
        <f>"016572586"</f>
        <v>016572586</v>
      </c>
      <c r="F601" s="1" t="s">
        <v>1435</v>
      </c>
      <c r="G601" s="1" t="s">
        <v>16</v>
      </c>
      <c r="H601" s="1" t="str">
        <f>"1"</f>
        <v>1</v>
      </c>
      <c r="I601" s="2" t="str">
        <f>"11500"</f>
        <v>11500</v>
      </c>
      <c r="J601" s="3">
        <v>46134</v>
      </c>
      <c r="K601" s="1" t="s">
        <v>1436</v>
      </c>
    </row>
    <row r="602" spans="1:11" x14ac:dyDescent="0.35">
      <c r="A602" s="1" t="s">
        <v>1387</v>
      </c>
      <c r="B602" s="1" t="s">
        <v>1501</v>
      </c>
      <c r="C602" s="1" t="s">
        <v>1526</v>
      </c>
      <c r="D602" s="1" t="str">
        <f>"8115"</f>
        <v>8115</v>
      </c>
      <c r="E602" s="1" t="s">
        <v>483</v>
      </c>
      <c r="F602" s="1" t="s">
        <v>484</v>
      </c>
      <c r="G602" s="1" t="s">
        <v>16</v>
      </c>
      <c r="H602" s="1" t="str">
        <f>"25"</f>
        <v>25</v>
      </c>
      <c r="I602" s="2">
        <v>375.52</v>
      </c>
      <c r="J602" s="3">
        <v>46135</v>
      </c>
      <c r="K602" s="1" t="s">
        <v>1527</v>
      </c>
    </row>
    <row r="603" spans="1:11" x14ac:dyDescent="0.35">
      <c r="A603" s="1" t="s">
        <v>1387</v>
      </c>
      <c r="B603" s="1" t="s">
        <v>1455</v>
      </c>
      <c r="C603" s="1" t="s">
        <v>1466</v>
      </c>
      <c r="D603" s="1" t="str">
        <f>"2340"</f>
        <v>2340</v>
      </c>
      <c r="E603" s="1" t="str">
        <f>"016572586"</f>
        <v>016572586</v>
      </c>
      <c r="F603" s="1" t="s">
        <v>1435</v>
      </c>
      <c r="G603" s="1" t="s">
        <v>16</v>
      </c>
      <c r="H603" s="1" t="str">
        <f>"1"</f>
        <v>1</v>
      </c>
      <c r="I603" s="2" t="str">
        <f>"11500"</f>
        <v>11500</v>
      </c>
      <c r="J603" s="3">
        <v>46136</v>
      </c>
      <c r="K603" s="1" t="s">
        <v>1465</v>
      </c>
    </row>
    <row r="604" spans="1:11" x14ac:dyDescent="0.35">
      <c r="A604" s="1" t="s">
        <v>1387</v>
      </c>
      <c r="B604" s="1" t="s">
        <v>1545</v>
      </c>
      <c r="C604" s="1" t="s">
        <v>1546</v>
      </c>
      <c r="D604" s="1" t="str">
        <f>"6230"</f>
        <v>6230</v>
      </c>
      <c r="E604" s="1" t="str">
        <f>"015389928"</f>
        <v>015389928</v>
      </c>
      <c r="F604" s="1" t="s">
        <v>230</v>
      </c>
      <c r="G604" s="1" t="s">
        <v>16</v>
      </c>
      <c r="H604" s="1" t="str">
        <f>"5"</f>
        <v>5</v>
      </c>
      <c r="I604" s="2">
        <v>5290.07</v>
      </c>
      <c r="J604" s="3">
        <v>46140</v>
      </c>
      <c r="K604" s="1" t="s">
        <v>1547</v>
      </c>
    </row>
    <row r="605" spans="1:11" x14ac:dyDescent="0.35">
      <c r="A605" s="1" t="s">
        <v>1387</v>
      </c>
      <c r="B605" s="1" t="s">
        <v>1431</v>
      </c>
      <c r="C605" s="1" t="s">
        <v>1432</v>
      </c>
      <c r="D605" s="1" t="str">
        <f>"2320"</f>
        <v>2320</v>
      </c>
      <c r="E605" s="1" t="str">
        <f>"008925938"</f>
        <v>008925938</v>
      </c>
      <c r="F605" s="1" t="s">
        <v>271</v>
      </c>
      <c r="G605" s="1" t="s">
        <v>16</v>
      </c>
      <c r="H605" s="1" t="str">
        <f>"1"</f>
        <v>1</v>
      </c>
      <c r="I605" s="2" t="str">
        <f>"27290"</f>
        <v>27290</v>
      </c>
      <c r="J605" s="3">
        <v>46143</v>
      </c>
      <c r="K605" s="1" t="s">
        <v>1433</v>
      </c>
    </row>
    <row r="606" spans="1:11" x14ac:dyDescent="0.35">
      <c r="A606" s="1" t="s">
        <v>1387</v>
      </c>
      <c r="B606" s="1" t="s">
        <v>1501</v>
      </c>
      <c r="C606" s="1" t="s">
        <v>1514</v>
      </c>
      <c r="D606" s="1" t="str">
        <f>"2340"</f>
        <v>2340</v>
      </c>
      <c r="E606" s="1" t="s">
        <v>1446</v>
      </c>
      <c r="F606" s="1" t="s">
        <v>1447</v>
      </c>
      <c r="G606" s="1" t="s">
        <v>16</v>
      </c>
      <c r="H606" s="1" t="str">
        <f>"2"</f>
        <v>2</v>
      </c>
      <c r="I606" s="2" t="str">
        <f>"1000"</f>
        <v>1000</v>
      </c>
      <c r="J606" s="3">
        <v>46147</v>
      </c>
      <c r="K606" s="1" t="s">
        <v>1515</v>
      </c>
    </row>
    <row r="607" spans="1:11" x14ac:dyDescent="0.35">
      <c r="A607" s="1" t="s">
        <v>1387</v>
      </c>
      <c r="B607" s="1" t="s">
        <v>1501</v>
      </c>
      <c r="C607" s="1" t="s">
        <v>1516</v>
      </c>
      <c r="D607" s="1" t="str">
        <f>"2340"</f>
        <v>2340</v>
      </c>
      <c r="E607" s="1" t="s">
        <v>1446</v>
      </c>
      <c r="F607" s="1" t="s">
        <v>1447</v>
      </c>
      <c r="G607" s="1" t="s">
        <v>16</v>
      </c>
      <c r="H607" s="1" t="str">
        <f>"2"</f>
        <v>2</v>
      </c>
      <c r="I607" s="2" t="str">
        <f>"1000"</f>
        <v>1000</v>
      </c>
      <c r="J607" s="3">
        <v>46147</v>
      </c>
      <c r="K607" s="1" t="s">
        <v>1517</v>
      </c>
    </row>
    <row r="608" spans="1:11" x14ac:dyDescent="0.35">
      <c r="A608" s="1" t="s">
        <v>1387</v>
      </c>
      <c r="B608" s="1" t="s">
        <v>1474</v>
      </c>
      <c r="C608" s="1" t="s">
        <v>1479</v>
      </c>
      <c r="D608" s="1" t="str">
        <f>"8150"</f>
        <v>8150</v>
      </c>
      <c r="E608" s="1" t="str">
        <f>"015188859"</f>
        <v>015188859</v>
      </c>
      <c r="F608" s="1" t="s">
        <v>117</v>
      </c>
      <c r="G608" s="1" t="s">
        <v>16</v>
      </c>
      <c r="H608" s="1" t="str">
        <f>"1"</f>
        <v>1</v>
      </c>
      <c r="I608" s="2">
        <v>34784.76</v>
      </c>
      <c r="J608" s="3">
        <v>46150</v>
      </c>
      <c r="K608" s="1" t="s">
        <v>1480</v>
      </c>
    </row>
    <row r="609" spans="1:11" x14ac:dyDescent="0.35">
      <c r="A609" s="1" t="s">
        <v>1387</v>
      </c>
      <c r="B609" s="1" t="s">
        <v>1501</v>
      </c>
      <c r="C609" s="1" t="s">
        <v>1508</v>
      </c>
      <c r="D609" s="1" t="str">
        <f>"2320"</f>
        <v>2320</v>
      </c>
      <c r="E609" s="1" t="str">
        <f>"009651039"</f>
        <v>009651039</v>
      </c>
      <c r="F609" s="1" t="s">
        <v>271</v>
      </c>
      <c r="G609" s="1" t="s">
        <v>16</v>
      </c>
      <c r="H609" s="1" t="str">
        <f>"1"</f>
        <v>1</v>
      </c>
      <c r="I609" s="2" t="str">
        <f>"3123"</f>
        <v>3123</v>
      </c>
      <c r="J609" s="3">
        <v>46154</v>
      </c>
      <c r="K609" s="1" t="s">
        <v>1509</v>
      </c>
    </row>
    <row r="610" spans="1:11" x14ac:dyDescent="0.35">
      <c r="A610" s="1" t="s">
        <v>1387</v>
      </c>
      <c r="B610" s="1" t="s">
        <v>1536</v>
      </c>
      <c r="C610" s="1" t="s">
        <v>1539</v>
      </c>
      <c r="D610" s="1" t="str">
        <f>"6115"</f>
        <v>6115</v>
      </c>
      <c r="E610" s="1" t="str">
        <f>"015310571"</f>
        <v>015310571</v>
      </c>
      <c r="F610" s="1" t="s">
        <v>1390</v>
      </c>
      <c r="G610" s="1" t="s">
        <v>16</v>
      </c>
      <c r="H610" s="1" t="str">
        <f>"1"</f>
        <v>1</v>
      </c>
      <c r="I610" s="2" t="str">
        <f>"16380"</f>
        <v>16380</v>
      </c>
      <c r="J610" s="3">
        <v>46154</v>
      </c>
      <c r="K610" s="1" t="s">
        <v>1540</v>
      </c>
    </row>
    <row r="611" spans="1:11" x14ac:dyDescent="0.35">
      <c r="A611" s="1" t="s">
        <v>1387</v>
      </c>
      <c r="B611" s="1" t="s">
        <v>1455</v>
      </c>
      <c r="C611" s="1" t="s">
        <v>1458</v>
      </c>
      <c r="D611" s="1" t="str">
        <f>"2320"</f>
        <v>2320</v>
      </c>
      <c r="E611" s="1" t="str">
        <f>"013543386"</f>
        <v>013543386</v>
      </c>
      <c r="F611" s="1" t="s">
        <v>271</v>
      </c>
      <c r="G611" s="1" t="s">
        <v>16</v>
      </c>
      <c r="H611" s="1" t="str">
        <f>"1"</f>
        <v>1</v>
      </c>
      <c r="I611" s="2" t="str">
        <f>"128076"</f>
        <v>128076</v>
      </c>
      <c r="J611" s="3">
        <v>46155</v>
      </c>
      <c r="K611" s="1" t="s">
        <v>1459</v>
      </c>
    </row>
    <row r="612" spans="1:11" x14ac:dyDescent="0.35">
      <c r="A612" s="1" t="s">
        <v>1387</v>
      </c>
      <c r="B612" s="1" t="s">
        <v>1424</v>
      </c>
      <c r="C612" s="1" t="s">
        <v>1425</v>
      </c>
      <c r="D612" s="1" t="str">
        <f>"2320"</f>
        <v>2320</v>
      </c>
      <c r="E612" s="1" t="str">
        <f>"014476343"</f>
        <v>014476343</v>
      </c>
      <c r="F612" s="1" t="s">
        <v>271</v>
      </c>
      <c r="G612" s="1" t="s">
        <v>16</v>
      </c>
      <c r="H612" s="1" t="str">
        <f>"1"</f>
        <v>1</v>
      </c>
      <c r="I612" s="2" t="str">
        <f>"176428"</f>
        <v>176428</v>
      </c>
      <c r="J612" s="3">
        <v>46156</v>
      </c>
      <c r="K612" s="1" t="s">
        <v>1426</v>
      </c>
    </row>
    <row r="613" spans="1:11" x14ac:dyDescent="0.35">
      <c r="A613" s="1" t="s">
        <v>1387</v>
      </c>
      <c r="B613" s="1" t="s">
        <v>1444</v>
      </c>
      <c r="C613" s="1" t="s">
        <v>1445</v>
      </c>
      <c r="D613" s="1" t="str">
        <f>"2340"</f>
        <v>2340</v>
      </c>
      <c r="E613" s="1" t="s">
        <v>1446</v>
      </c>
      <c r="F613" s="1" t="s">
        <v>1447</v>
      </c>
      <c r="G613" s="1" t="s">
        <v>16</v>
      </c>
      <c r="H613" s="1" t="str">
        <f>"1"</f>
        <v>1</v>
      </c>
      <c r="I613" s="2" t="str">
        <f>"1000"</f>
        <v>1000</v>
      </c>
      <c r="J613" s="3">
        <v>46156</v>
      </c>
      <c r="K613" s="1" t="s">
        <v>1448</v>
      </c>
    </row>
    <row r="614" spans="1:11" x14ac:dyDescent="0.35">
      <c r="A614" s="1" t="s">
        <v>1387</v>
      </c>
      <c r="B614" s="1" t="s">
        <v>1444</v>
      </c>
      <c r="C614" s="1" t="s">
        <v>1449</v>
      </c>
      <c r="D614" s="1" t="str">
        <f>"2340"</f>
        <v>2340</v>
      </c>
      <c r="E614" s="1" t="s">
        <v>1446</v>
      </c>
      <c r="F614" s="1" t="s">
        <v>1447</v>
      </c>
      <c r="G614" s="1" t="s">
        <v>16</v>
      </c>
      <c r="H614" s="1" t="str">
        <f>"2"</f>
        <v>2</v>
      </c>
      <c r="I614" s="2" t="str">
        <f>"1000"</f>
        <v>1000</v>
      </c>
      <c r="J614" s="3">
        <v>46156</v>
      </c>
      <c r="K614" s="1" t="s">
        <v>1448</v>
      </c>
    </row>
    <row r="615" spans="1:11" x14ac:dyDescent="0.35">
      <c r="A615" s="1" t="s">
        <v>1387</v>
      </c>
      <c r="B615" s="1" t="s">
        <v>1444</v>
      </c>
      <c r="C615" s="1" t="s">
        <v>1450</v>
      </c>
      <c r="D615" s="1" t="str">
        <f>"2530"</f>
        <v>2530</v>
      </c>
      <c r="E615" s="1" t="str">
        <f>"015004991"</f>
        <v>015004991</v>
      </c>
      <c r="F615" s="1" t="s">
        <v>1451</v>
      </c>
      <c r="G615" s="1" t="s">
        <v>1168</v>
      </c>
      <c r="H615" s="1" t="str">
        <f>"1"</f>
        <v>1</v>
      </c>
      <c r="I615" s="2" t="str">
        <f>"3561"</f>
        <v>3561</v>
      </c>
      <c r="J615" s="3">
        <v>46156</v>
      </c>
      <c r="K615" s="1" t="s">
        <v>1452</v>
      </c>
    </row>
    <row r="616" spans="1:11" x14ac:dyDescent="0.35">
      <c r="A616" s="1" t="s">
        <v>1387</v>
      </c>
      <c r="B616" s="1" t="s">
        <v>1444</v>
      </c>
      <c r="C616" s="1" t="s">
        <v>1453</v>
      </c>
      <c r="D616" s="1" t="str">
        <f>"2530"</f>
        <v>2530</v>
      </c>
      <c r="E616" s="1" t="str">
        <f>"015847914"</f>
        <v>015847914</v>
      </c>
      <c r="F616" s="1" t="s">
        <v>1454</v>
      </c>
      <c r="G616" s="1" t="s">
        <v>1168</v>
      </c>
      <c r="H616" s="1" t="str">
        <f>"1"</f>
        <v>1</v>
      </c>
      <c r="I616" s="2" t="str">
        <f>"1645"</f>
        <v>1645</v>
      </c>
      <c r="J616" s="3">
        <v>46156</v>
      </c>
      <c r="K616" s="1" t="s">
        <v>1452</v>
      </c>
    </row>
    <row r="617" spans="1:11" x14ac:dyDescent="0.35">
      <c r="A617" s="1" t="s">
        <v>1387</v>
      </c>
      <c r="B617" s="1" t="s">
        <v>1541</v>
      </c>
      <c r="C617" s="1" t="s">
        <v>1542</v>
      </c>
      <c r="D617" s="1" t="str">
        <f>"8465"</f>
        <v>8465</v>
      </c>
      <c r="E617" s="1" t="str">
        <f>"015248847"</f>
        <v>015248847</v>
      </c>
      <c r="F617" s="1" t="s">
        <v>1543</v>
      </c>
      <c r="G617" s="1" t="s">
        <v>16</v>
      </c>
      <c r="H617" s="1" t="str">
        <f>"40"</f>
        <v>40</v>
      </c>
      <c r="I617" s="2">
        <v>15.53</v>
      </c>
      <c r="J617" s="3">
        <v>46157</v>
      </c>
      <c r="K617" s="1" t="s">
        <v>1544</v>
      </c>
    </row>
    <row r="618" spans="1:11" x14ac:dyDescent="0.35">
      <c r="A618" s="1" t="s">
        <v>1387</v>
      </c>
      <c r="B618" s="1" t="s">
        <v>1394</v>
      </c>
      <c r="C618" s="1" t="s">
        <v>1395</v>
      </c>
      <c r="D618" s="1" t="str">
        <f>"2320"</f>
        <v>2320</v>
      </c>
      <c r="E618" s="1" t="s">
        <v>975</v>
      </c>
      <c r="F618" s="1" t="s">
        <v>976</v>
      </c>
      <c r="G618" s="1" t="s">
        <v>16</v>
      </c>
      <c r="H618" s="1" t="str">
        <f>"1"</f>
        <v>1</v>
      </c>
      <c r="I618" s="2" t="str">
        <f>"192265"</f>
        <v>192265</v>
      </c>
      <c r="J618" s="3">
        <v>46162</v>
      </c>
      <c r="K618" s="1" t="s">
        <v>1396</v>
      </c>
    </row>
    <row r="619" spans="1:11" x14ac:dyDescent="0.35">
      <c r="A619" s="1" t="s">
        <v>1387</v>
      </c>
      <c r="B619" s="1" t="s">
        <v>1474</v>
      </c>
      <c r="C619" s="1" t="s">
        <v>1475</v>
      </c>
      <c r="D619" s="1" t="str">
        <f>"3930"</f>
        <v>3930</v>
      </c>
      <c r="E619" s="1" t="s">
        <v>1476</v>
      </c>
      <c r="F619" s="1" t="s">
        <v>1477</v>
      </c>
      <c r="G619" s="1" t="s">
        <v>16</v>
      </c>
      <c r="H619" s="1" t="str">
        <f>"1"</f>
        <v>1</v>
      </c>
      <c r="I619" s="2" t="str">
        <f>"1500"</f>
        <v>1500</v>
      </c>
      <c r="J619" s="3">
        <v>46163</v>
      </c>
      <c r="K619" s="1" t="s">
        <v>1478</v>
      </c>
    </row>
    <row r="620" spans="1:11" x14ac:dyDescent="0.35">
      <c r="A620" s="1" t="s">
        <v>1387</v>
      </c>
      <c r="B620" s="1" t="s">
        <v>1501</v>
      </c>
      <c r="C620" s="1" t="s">
        <v>1518</v>
      </c>
      <c r="D620" s="1" t="str">
        <f>"2340"</f>
        <v>2340</v>
      </c>
      <c r="E620" s="1" t="s">
        <v>1446</v>
      </c>
      <c r="F620" s="1" t="s">
        <v>1447</v>
      </c>
      <c r="G620" s="1" t="s">
        <v>16</v>
      </c>
      <c r="H620" s="1" t="str">
        <f>"2"</f>
        <v>2</v>
      </c>
      <c r="I620" s="2" t="str">
        <f>"1000"</f>
        <v>1000</v>
      </c>
      <c r="J620" s="3">
        <v>46169</v>
      </c>
      <c r="K620" s="1" t="s">
        <v>1519</v>
      </c>
    </row>
    <row r="621" spans="1:11" x14ac:dyDescent="0.35">
      <c r="A621" s="1" t="s">
        <v>1387</v>
      </c>
      <c r="B621" s="1" t="s">
        <v>1437</v>
      </c>
      <c r="C621" s="1" t="s">
        <v>1438</v>
      </c>
      <c r="D621" s="1" t="str">
        <f>"5340"</f>
        <v>5340</v>
      </c>
      <c r="E621" s="1" t="str">
        <f>"015752279"</f>
        <v>015752279</v>
      </c>
      <c r="F621" s="1" t="s">
        <v>1439</v>
      </c>
      <c r="G621" s="1" t="s">
        <v>16</v>
      </c>
      <c r="H621" s="1" t="str">
        <f>"15"</f>
        <v>15</v>
      </c>
      <c r="I621" s="2">
        <v>503.5</v>
      </c>
      <c r="J621" s="3">
        <v>46171</v>
      </c>
      <c r="K621" s="1" t="s">
        <v>1440</v>
      </c>
    </row>
    <row r="622" spans="1:11" x14ac:dyDescent="0.35">
      <c r="A622" s="1" t="s">
        <v>1387</v>
      </c>
      <c r="B622" s="1" t="s">
        <v>1498</v>
      </c>
      <c r="C622" s="1" t="s">
        <v>1499</v>
      </c>
      <c r="D622" s="1" t="str">
        <f>"2320"</f>
        <v>2320</v>
      </c>
      <c r="E622" s="1" t="str">
        <f>"015303843"</f>
        <v>015303843</v>
      </c>
      <c r="F622" s="1" t="s">
        <v>271</v>
      </c>
      <c r="G622" s="1" t="s">
        <v>16</v>
      </c>
      <c r="H622" s="1" t="str">
        <f>"1"</f>
        <v>1</v>
      </c>
      <c r="I622" s="2" t="str">
        <f>"218378"</f>
        <v>218378</v>
      </c>
      <c r="J622" s="3">
        <v>46177</v>
      </c>
      <c r="K622" s="1" t="s">
        <v>1500</v>
      </c>
    </row>
    <row r="623" spans="1:11" x14ac:dyDescent="0.35">
      <c r="A623" s="1" t="s">
        <v>1387</v>
      </c>
      <c r="B623" s="1" t="s">
        <v>1501</v>
      </c>
      <c r="C623" s="1" t="s">
        <v>1522</v>
      </c>
      <c r="D623" s="1" t="str">
        <f>"6115"</f>
        <v>6115</v>
      </c>
      <c r="E623" s="1" t="str">
        <f>"013320741"</f>
        <v>013320741</v>
      </c>
      <c r="F623" s="1" t="s">
        <v>224</v>
      </c>
      <c r="G623" s="1" t="s">
        <v>16</v>
      </c>
      <c r="H623" s="1" t="str">
        <f>"1"</f>
        <v>1</v>
      </c>
      <c r="I623" s="2" t="str">
        <f>"16256"</f>
        <v>16256</v>
      </c>
      <c r="J623" s="3">
        <v>46182</v>
      </c>
      <c r="K623" s="1" t="s">
        <v>1523</v>
      </c>
    </row>
    <row r="624" spans="1:11" x14ac:dyDescent="0.35">
      <c r="A624" s="1" t="s">
        <v>1387</v>
      </c>
      <c r="B624" s="1" t="s">
        <v>1501</v>
      </c>
      <c r="C624" s="1" t="s">
        <v>1525</v>
      </c>
      <c r="D624" s="1" t="str">
        <f>"6115"</f>
        <v>6115</v>
      </c>
      <c r="E624" s="1" t="str">
        <f>"013320741"</f>
        <v>013320741</v>
      </c>
      <c r="F624" s="1" t="s">
        <v>224</v>
      </c>
      <c r="G624" s="1" t="s">
        <v>16</v>
      </c>
      <c r="H624" s="1" t="str">
        <f>"1"</f>
        <v>1</v>
      </c>
      <c r="I624" s="2" t="str">
        <f>"16256"</f>
        <v>16256</v>
      </c>
      <c r="J624" s="3">
        <v>46182</v>
      </c>
      <c r="K624" s="1" t="s">
        <v>1523</v>
      </c>
    </row>
    <row r="625" spans="1:11" x14ac:dyDescent="0.35">
      <c r="A625" s="1" t="s">
        <v>1387</v>
      </c>
      <c r="B625" s="1" t="s">
        <v>1501</v>
      </c>
      <c r="C625" s="1" t="s">
        <v>1510</v>
      </c>
      <c r="D625" s="1" t="str">
        <f>"2320"</f>
        <v>2320</v>
      </c>
      <c r="E625" s="1" t="str">
        <f>"015303843"</f>
        <v>015303843</v>
      </c>
      <c r="F625" s="1" t="s">
        <v>271</v>
      </c>
      <c r="G625" s="1" t="s">
        <v>16</v>
      </c>
      <c r="H625" s="1" t="str">
        <f>"1"</f>
        <v>1</v>
      </c>
      <c r="I625" s="2" t="str">
        <f>"218378"</f>
        <v>218378</v>
      </c>
      <c r="J625" s="3">
        <v>46184</v>
      </c>
      <c r="K625" s="1" t="s">
        <v>1511</v>
      </c>
    </row>
    <row r="626" spans="1:11" x14ac:dyDescent="0.35">
      <c r="A626" s="1" t="s">
        <v>1387</v>
      </c>
      <c r="B626" s="1" t="s">
        <v>1501</v>
      </c>
      <c r="C626" s="1" t="s">
        <v>1524</v>
      </c>
      <c r="D626" s="1" t="str">
        <f>"6115"</f>
        <v>6115</v>
      </c>
      <c r="E626" s="1" t="str">
        <f>"013172136"</f>
        <v>013172136</v>
      </c>
      <c r="F626" s="1" t="s">
        <v>224</v>
      </c>
      <c r="G626" s="1" t="s">
        <v>16</v>
      </c>
      <c r="H626" s="1" t="str">
        <f>"1"</f>
        <v>1</v>
      </c>
      <c r="I626" s="2" t="str">
        <f>"28521"</f>
        <v>28521</v>
      </c>
      <c r="J626" s="3">
        <v>46188</v>
      </c>
      <c r="K626" s="1" t="s">
        <v>1523</v>
      </c>
    </row>
    <row r="627" spans="1:11" x14ac:dyDescent="0.35">
      <c r="A627" s="1" t="s">
        <v>1387</v>
      </c>
      <c r="B627" s="1" t="s">
        <v>1437</v>
      </c>
      <c r="C627" s="1" t="s">
        <v>1441</v>
      </c>
      <c r="D627" s="1" t="str">
        <f>"8415"</f>
        <v>8415</v>
      </c>
      <c r="E627" s="1" t="str">
        <f>"015197783"</f>
        <v>015197783</v>
      </c>
      <c r="F627" s="1" t="s">
        <v>1442</v>
      </c>
      <c r="G627" s="1" t="s">
        <v>16</v>
      </c>
      <c r="H627" s="1" t="str">
        <f>"7"</f>
        <v>7</v>
      </c>
      <c r="I627" s="2">
        <v>38.200000000000003</v>
      </c>
      <c r="J627" s="3">
        <v>46190</v>
      </c>
      <c r="K627" s="1" t="s">
        <v>1443</v>
      </c>
    </row>
    <row r="628" spans="1:11" x14ac:dyDescent="0.35">
      <c r="A628" s="1" t="s">
        <v>1387</v>
      </c>
      <c r="B628" s="1" t="s">
        <v>1455</v>
      </c>
      <c r="C628" s="1" t="s">
        <v>1460</v>
      </c>
      <c r="D628" s="1" t="str">
        <f>"2320"</f>
        <v>2320</v>
      </c>
      <c r="E628" s="1" t="s">
        <v>975</v>
      </c>
      <c r="F628" s="1" t="s">
        <v>976</v>
      </c>
      <c r="G628" s="1" t="s">
        <v>16</v>
      </c>
      <c r="H628" s="1" t="str">
        <f>"1"</f>
        <v>1</v>
      </c>
      <c r="I628" s="2" t="str">
        <f>"2300"</f>
        <v>2300</v>
      </c>
      <c r="J628" s="3">
        <v>46191</v>
      </c>
      <c r="K628" s="1" t="s">
        <v>1461</v>
      </c>
    </row>
    <row r="629" spans="1:11" x14ac:dyDescent="0.35">
      <c r="A629" s="1" t="s">
        <v>1387</v>
      </c>
      <c r="B629" s="1" t="s">
        <v>1455</v>
      </c>
      <c r="C629" s="1" t="s">
        <v>1468</v>
      </c>
      <c r="D629" s="1" t="str">
        <f>"2530"</f>
        <v>2530</v>
      </c>
      <c r="E629" s="1" t="str">
        <f>"015715857"</f>
        <v>015715857</v>
      </c>
      <c r="F629" s="1" t="s">
        <v>1469</v>
      </c>
      <c r="G629" s="1" t="s">
        <v>16</v>
      </c>
      <c r="H629" s="1" t="str">
        <f>"4"</f>
        <v>4</v>
      </c>
      <c r="I629" s="2" t="str">
        <f>"2790"</f>
        <v>2790</v>
      </c>
      <c r="J629" s="3">
        <v>46191</v>
      </c>
      <c r="K629" s="1" t="s">
        <v>1470</v>
      </c>
    </row>
    <row r="630" spans="1:11" x14ac:dyDescent="0.35">
      <c r="A630" s="1" t="s">
        <v>1387</v>
      </c>
      <c r="B630" s="1" t="s">
        <v>1536</v>
      </c>
      <c r="C630" s="1" t="s">
        <v>1537</v>
      </c>
      <c r="D630" s="1" t="str">
        <f>"3930"</f>
        <v>3930</v>
      </c>
      <c r="E630" s="1" t="str">
        <f>"011580849"</f>
        <v>011580849</v>
      </c>
      <c r="F630" s="1" t="s">
        <v>1304</v>
      </c>
      <c r="G630" s="1" t="s">
        <v>16</v>
      </c>
      <c r="H630" s="1" t="str">
        <f>"1"</f>
        <v>1</v>
      </c>
      <c r="I630" s="2" t="str">
        <f>"72370"</f>
        <v>72370</v>
      </c>
      <c r="J630" s="3">
        <v>46195</v>
      </c>
      <c r="K630" s="1" t="s">
        <v>1538</v>
      </c>
    </row>
    <row r="631" spans="1:11" x14ac:dyDescent="0.35">
      <c r="A631" s="1" t="s">
        <v>1387</v>
      </c>
      <c r="B631" s="1" t="s">
        <v>1388</v>
      </c>
      <c r="C631" s="1" t="s">
        <v>1389</v>
      </c>
      <c r="D631" s="1" t="str">
        <f>"6115"</f>
        <v>6115</v>
      </c>
      <c r="E631" s="1" t="str">
        <f>"014619335"</f>
        <v>014619335</v>
      </c>
      <c r="F631" s="1" t="s">
        <v>1390</v>
      </c>
      <c r="G631" s="1" t="s">
        <v>16</v>
      </c>
      <c r="H631" s="1" t="str">
        <f>"2"</f>
        <v>2</v>
      </c>
      <c r="I631" s="2">
        <v>26705.200000000001</v>
      </c>
      <c r="J631" s="3">
        <v>46198</v>
      </c>
      <c r="K631" s="1" t="s">
        <v>1391</v>
      </c>
    </row>
    <row r="632" spans="1:11" x14ac:dyDescent="0.35">
      <c r="A632" s="1" t="s">
        <v>1387</v>
      </c>
      <c r="B632" s="1" t="s">
        <v>1388</v>
      </c>
      <c r="C632" s="1" t="s">
        <v>1392</v>
      </c>
      <c r="D632" s="1" t="str">
        <f>"6115"</f>
        <v>6115</v>
      </c>
      <c r="E632" s="1" t="str">
        <f>"015301458"</f>
        <v>015301458</v>
      </c>
      <c r="F632" s="1" t="s">
        <v>1390</v>
      </c>
      <c r="G632" s="1" t="s">
        <v>16</v>
      </c>
      <c r="H632" s="1" t="str">
        <f>"1"</f>
        <v>1</v>
      </c>
      <c r="I632" s="2" t="str">
        <f>"26334"</f>
        <v>26334</v>
      </c>
      <c r="J632" s="3">
        <v>46198</v>
      </c>
      <c r="K632" s="1" t="s">
        <v>1393</v>
      </c>
    </row>
    <row r="633" spans="1:11" x14ac:dyDescent="0.35">
      <c r="A633" s="1" t="s">
        <v>1387</v>
      </c>
      <c r="B633" s="1" t="s">
        <v>1455</v>
      </c>
      <c r="C633" s="1" t="s">
        <v>1471</v>
      </c>
      <c r="D633" s="1" t="str">
        <f>"3830"</f>
        <v>3830</v>
      </c>
      <c r="E633" s="1" t="str">
        <f>"015042618"</f>
        <v>015042618</v>
      </c>
      <c r="F633" s="1" t="s">
        <v>1472</v>
      </c>
      <c r="G633" s="1" t="s">
        <v>16</v>
      </c>
      <c r="H633" s="1" t="str">
        <f>"1"</f>
        <v>1</v>
      </c>
      <c r="I633" s="2" t="str">
        <f>"130000"</f>
        <v>130000</v>
      </c>
      <c r="J633" s="3">
        <v>46199</v>
      </c>
      <c r="K633" s="1" t="s">
        <v>1473</v>
      </c>
    </row>
    <row r="634" spans="1:11" x14ac:dyDescent="0.35">
      <c r="A634" s="1" t="s">
        <v>1387</v>
      </c>
      <c r="B634" s="1" t="s">
        <v>1491</v>
      </c>
      <c r="C634" s="1" t="s">
        <v>1494</v>
      </c>
      <c r="D634" s="1" t="str">
        <f>"7125"</f>
        <v>7125</v>
      </c>
      <c r="E634" s="1" t="s">
        <v>1495</v>
      </c>
      <c r="F634" s="1" t="s">
        <v>1496</v>
      </c>
      <c r="G634" s="1" t="s">
        <v>16</v>
      </c>
      <c r="H634" s="1" t="str">
        <f>"2"</f>
        <v>2</v>
      </c>
      <c r="I634" s="2" t="str">
        <f>"200"</f>
        <v>200</v>
      </c>
      <c r="J634" s="3">
        <v>46199</v>
      </c>
      <c r="K634" s="1" t="s">
        <v>1497</v>
      </c>
    </row>
    <row r="635" spans="1:11" x14ac:dyDescent="0.35">
      <c r="A635" s="1" t="s">
        <v>1387</v>
      </c>
      <c r="B635" s="1" t="s">
        <v>1491</v>
      </c>
      <c r="C635" s="1" t="s">
        <v>1492</v>
      </c>
      <c r="D635" s="1" t="str">
        <f>"3930"</f>
        <v>3930</v>
      </c>
      <c r="E635" s="1" t="s">
        <v>1476</v>
      </c>
      <c r="F635" s="1" t="s">
        <v>1477</v>
      </c>
      <c r="G635" s="1" t="s">
        <v>16</v>
      </c>
      <c r="H635" s="1" t="str">
        <f>"1"</f>
        <v>1</v>
      </c>
      <c r="I635" s="2" t="str">
        <f>"7000"</f>
        <v>7000</v>
      </c>
      <c r="J635" s="3">
        <v>46202</v>
      </c>
      <c r="K635" s="1" t="s">
        <v>1493</v>
      </c>
    </row>
    <row r="636" spans="1:11" x14ac:dyDescent="0.35">
      <c r="A636" s="1" t="s">
        <v>1387</v>
      </c>
      <c r="B636" s="1" t="s">
        <v>1455</v>
      </c>
      <c r="C636" s="1" t="s">
        <v>1456</v>
      </c>
      <c r="D636" s="1" t="str">
        <f>"2310"</f>
        <v>2310</v>
      </c>
      <c r="E636" s="1" t="s">
        <v>178</v>
      </c>
      <c r="F636" s="1" t="s">
        <v>179</v>
      </c>
      <c r="G636" s="1" t="s">
        <v>16</v>
      </c>
      <c r="H636" s="1" t="str">
        <f>"1"</f>
        <v>1</v>
      </c>
      <c r="I636" s="2" t="str">
        <f>"10000"</f>
        <v>10000</v>
      </c>
      <c r="J636" s="3">
        <v>46203</v>
      </c>
      <c r="K636" s="1" t="s">
        <v>1457</v>
      </c>
    </row>
    <row r="637" spans="1:11" x14ac:dyDescent="0.35">
      <c r="A637" s="1" t="s">
        <v>1387</v>
      </c>
      <c r="B637" s="1" t="s">
        <v>1455</v>
      </c>
      <c r="C637" s="1" t="s">
        <v>1462</v>
      </c>
      <c r="D637" s="1" t="str">
        <f>"2330"</f>
        <v>2330</v>
      </c>
      <c r="E637" s="1" t="s">
        <v>70</v>
      </c>
      <c r="F637" s="1" t="s">
        <v>71</v>
      </c>
      <c r="G637" s="1" t="s">
        <v>16</v>
      </c>
      <c r="H637" s="1" t="str">
        <f>"1"</f>
        <v>1</v>
      </c>
      <c r="I637" s="2" t="str">
        <f>"5000"</f>
        <v>5000</v>
      </c>
      <c r="J637" s="3">
        <v>46203</v>
      </c>
      <c r="K637" s="1" t="s">
        <v>1463</v>
      </c>
    </row>
    <row r="638" spans="1:11" x14ac:dyDescent="0.35">
      <c r="A638" s="1" t="s">
        <v>1553</v>
      </c>
      <c r="B638" s="1" t="s">
        <v>1554</v>
      </c>
      <c r="C638" s="1" t="s">
        <v>1555</v>
      </c>
      <c r="D638" s="1" t="str">
        <f>"5855"</f>
        <v>5855</v>
      </c>
      <c r="E638" s="1" t="str">
        <f>"015790062"</f>
        <v>015790062</v>
      </c>
      <c r="F638" s="1" t="s">
        <v>1379</v>
      </c>
      <c r="G638" s="1" t="s">
        <v>16</v>
      </c>
      <c r="H638" s="1" t="str">
        <f>"6"</f>
        <v>6</v>
      </c>
      <c r="I638" s="2" t="str">
        <f>"900"</f>
        <v>900</v>
      </c>
      <c r="J638" s="3">
        <v>46140</v>
      </c>
      <c r="K638" s="1" t="s">
        <v>5165</v>
      </c>
    </row>
    <row r="639" spans="1:11" x14ac:dyDescent="0.35">
      <c r="A639" s="1" t="s">
        <v>1553</v>
      </c>
      <c r="B639" s="1" t="s">
        <v>1556</v>
      </c>
      <c r="C639" s="1" t="s">
        <v>1557</v>
      </c>
      <c r="D639" s="1" t="str">
        <f>"5855"</f>
        <v>5855</v>
      </c>
      <c r="E639" s="1" t="str">
        <f>"015330555"</f>
        <v>015330555</v>
      </c>
      <c r="F639" s="1" t="s">
        <v>462</v>
      </c>
      <c r="G639" s="1" t="s">
        <v>16</v>
      </c>
      <c r="H639" s="1" t="str">
        <f>"9"</f>
        <v>9</v>
      </c>
      <c r="I639" s="2" t="str">
        <f>"1800"</f>
        <v>1800</v>
      </c>
      <c r="J639" s="3">
        <v>46157</v>
      </c>
      <c r="K639" s="1" t="s">
        <v>1558</v>
      </c>
    </row>
    <row r="640" spans="1:11" x14ac:dyDescent="0.35">
      <c r="A640" s="1" t="s">
        <v>1553</v>
      </c>
      <c r="B640" s="1" t="s">
        <v>1559</v>
      </c>
      <c r="C640" s="1" t="s">
        <v>1560</v>
      </c>
      <c r="D640" s="1" t="str">
        <f>"5965"</f>
        <v>5965</v>
      </c>
      <c r="E640" s="1" t="str">
        <f>"016690250"</f>
        <v>016690250</v>
      </c>
      <c r="F640" s="1" t="s">
        <v>1561</v>
      </c>
      <c r="G640" s="1" t="s">
        <v>16</v>
      </c>
      <c r="H640" s="1" t="str">
        <f>"10"</f>
        <v>10</v>
      </c>
      <c r="I640" s="2" t="str">
        <f>"1326"</f>
        <v>1326</v>
      </c>
      <c r="J640" s="3">
        <v>46175</v>
      </c>
      <c r="K640" s="1" t="s">
        <v>1562</v>
      </c>
    </row>
    <row r="641" spans="1:11" x14ac:dyDescent="0.35">
      <c r="A641" s="1" t="s">
        <v>1563</v>
      </c>
      <c r="B641" s="1" t="s">
        <v>1578</v>
      </c>
      <c r="C641" s="1" t="s">
        <v>1579</v>
      </c>
      <c r="D641" s="1" t="str">
        <f>"1385"</f>
        <v>1385</v>
      </c>
      <c r="E641" s="1" t="str">
        <f>"015936219"</f>
        <v>015936219</v>
      </c>
      <c r="F641" s="1" t="s">
        <v>1580</v>
      </c>
      <c r="G641" s="1" t="s">
        <v>16</v>
      </c>
      <c r="H641" s="1" t="str">
        <f>"1"</f>
        <v>1</v>
      </c>
      <c r="I641" s="2" t="str">
        <f>"77000"</f>
        <v>77000</v>
      </c>
      <c r="J641" s="3">
        <v>46113</v>
      </c>
      <c r="K641" s="1" t="s">
        <v>1581</v>
      </c>
    </row>
    <row r="642" spans="1:11" x14ac:dyDescent="0.35">
      <c r="A642" s="1" t="s">
        <v>1563</v>
      </c>
      <c r="B642" s="1" t="s">
        <v>1578</v>
      </c>
      <c r="C642" s="1" t="s">
        <v>1582</v>
      </c>
      <c r="D642" s="1" t="str">
        <f>"2010"</f>
        <v>2010</v>
      </c>
      <c r="E642" s="1" t="str">
        <f>"016583103"</f>
        <v>016583103</v>
      </c>
      <c r="F642" s="1" t="s">
        <v>1583</v>
      </c>
      <c r="G642" s="1" t="s">
        <v>16</v>
      </c>
      <c r="H642" s="1" t="str">
        <f>"2"</f>
        <v>2</v>
      </c>
      <c r="I642" s="2">
        <v>679.48</v>
      </c>
      <c r="J642" s="3">
        <v>46113</v>
      </c>
      <c r="K642" s="1" t="s">
        <v>1584</v>
      </c>
    </row>
    <row r="643" spans="1:11" x14ac:dyDescent="0.35">
      <c r="A643" s="1" t="s">
        <v>1563</v>
      </c>
      <c r="B643" s="1" t="s">
        <v>1578</v>
      </c>
      <c r="C643" s="1" t="s">
        <v>1589</v>
      </c>
      <c r="D643" s="1" t="str">
        <f>"2940"</f>
        <v>2940</v>
      </c>
      <c r="E643" s="1" t="str">
        <f>"016273977"</f>
        <v>016273977</v>
      </c>
      <c r="F643" s="1" t="s">
        <v>1590</v>
      </c>
      <c r="G643" s="1" t="s">
        <v>16</v>
      </c>
      <c r="H643" s="1" t="str">
        <f>"1"</f>
        <v>1</v>
      </c>
      <c r="I643" s="2">
        <v>1220.1400000000001</v>
      </c>
      <c r="J643" s="3">
        <v>46113</v>
      </c>
      <c r="K643" s="1" t="s">
        <v>1591</v>
      </c>
    </row>
    <row r="644" spans="1:11" x14ac:dyDescent="0.35">
      <c r="A644" s="1" t="s">
        <v>1563</v>
      </c>
      <c r="B644" s="1" t="s">
        <v>1578</v>
      </c>
      <c r="C644" s="1" t="s">
        <v>1592</v>
      </c>
      <c r="D644" s="1" t="str">
        <f>"3433"</f>
        <v>3433</v>
      </c>
      <c r="E644" s="1" t="s">
        <v>1593</v>
      </c>
      <c r="F644" s="1" t="s">
        <v>1594</v>
      </c>
      <c r="G644" s="1" t="s">
        <v>16</v>
      </c>
      <c r="H644" s="1" t="str">
        <f>"1"</f>
        <v>1</v>
      </c>
      <c r="I644" s="2">
        <v>2132.9899999999998</v>
      </c>
      <c r="J644" s="3">
        <v>46113</v>
      </c>
      <c r="K644" s="1" t="s">
        <v>1595</v>
      </c>
    </row>
    <row r="645" spans="1:11" x14ac:dyDescent="0.35">
      <c r="A645" s="1" t="s">
        <v>1563</v>
      </c>
      <c r="B645" s="1" t="s">
        <v>1578</v>
      </c>
      <c r="C645" s="1" t="s">
        <v>1596</v>
      </c>
      <c r="D645" s="1" t="str">
        <f>"3470"</f>
        <v>3470</v>
      </c>
      <c r="E645" s="1" t="str">
        <f>"014549877"</f>
        <v>014549877</v>
      </c>
      <c r="F645" s="1" t="s">
        <v>1597</v>
      </c>
      <c r="G645" s="1" t="s">
        <v>16</v>
      </c>
      <c r="H645" s="1" t="str">
        <f>"1"</f>
        <v>1</v>
      </c>
      <c r="I645" s="2" t="str">
        <f>"35000"</f>
        <v>35000</v>
      </c>
      <c r="J645" s="3">
        <v>46113</v>
      </c>
      <c r="K645" s="1" t="s">
        <v>1598</v>
      </c>
    </row>
    <row r="646" spans="1:11" x14ac:dyDescent="0.35">
      <c r="A646" s="1" t="s">
        <v>1563</v>
      </c>
      <c r="B646" s="1" t="s">
        <v>1578</v>
      </c>
      <c r="C646" s="1" t="s">
        <v>1599</v>
      </c>
      <c r="D646" s="1" t="str">
        <f>"3930"</f>
        <v>3930</v>
      </c>
      <c r="E646" s="1" t="s">
        <v>1476</v>
      </c>
      <c r="F646" s="1" t="s">
        <v>1477</v>
      </c>
      <c r="G646" s="1" t="s">
        <v>16</v>
      </c>
      <c r="H646" s="1" t="str">
        <f>"1"</f>
        <v>1</v>
      </c>
      <c r="I646" s="2" t="str">
        <f>"21200"</f>
        <v>21200</v>
      </c>
      <c r="J646" s="3">
        <v>46113</v>
      </c>
      <c r="K646" s="1" t="s">
        <v>1600</v>
      </c>
    </row>
    <row r="647" spans="1:11" x14ac:dyDescent="0.35">
      <c r="A647" s="1" t="s">
        <v>1563</v>
      </c>
      <c r="B647" s="1" t="s">
        <v>1578</v>
      </c>
      <c r="C647" s="1" t="s">
        <v>1601</v>
      </c>
      <c r="D647" s="1" t="str">
        <f>"5855"</f>
        <v>5855</v>
      </c>
      <c r="E647" s="1" t="str">
        <f>"013025493"</f>
        <v>013025493</v>
      </c>
      <c r="F647" s="1" t="s">
        <v>1602</v>
      </c>
      <c r="G647" s="1" t="s">
        <v>16</v>
      </c>
      <c r="H647" s="1" t="str">
        <f>"1"</f>
        <v>1</v>
      </c>
      <c r="I647" s="2" t="str">
        <f>"4107"</f>
        <v>4107</v>
      </c>
      <c r="J647" s="3">
        <v>46113</v>
      </c>
      <c r="K647" s="1" t="s">
        <v>1603</v>
      </c>
    </row>
    <row r="648" spans="1:11" x14ac:dyDescent="0.35">
      <c r="A648" s="1" t="s">
        <v>1563</v>
      </c>
      <c r="B648" s="1" t="s">
        <v>1578</v>
      </c>
      <c r="C648" s="1" t="s">
        <v>1604</v>
      </c>
      <c r="D648" s="1" t="str">
        <f>"5855"</f>
        <v>5855</v>
      </c>
      <c r="E648" s="1" t="str">
        <f>"013025493"</f>
        <v>013025493</v>
      </c>
      <c r="F648" s="1" t="s">
        <v>1602</v>
      </c>
      <c r="G648" s="1" t="s">
        <v>16</v>
      </c>
      <c r="H648" s="1" t="str">
        <f>"1"</f>
        <v>1</v>
      </c>
      <c r="I648" s="2" t="str">
        <f>"4107"</f>
        <v>4107</v>
      </c>
      <c r="J648" s="3">
        <v>46113</v>
      </c>
      <c r="K648" s="1" t="s">
        <v>1603</v>
      </c>
    </row>
    <row r="649" spans="1:11" x14ac:dyDescent="0.35">
      <c r="A649" s="1" t="s">
        <v>1563</v>
      </c>
      <c r="B649" s="1" t="s">
        <v>1578</v>
      </c>
      <c r="C649" s="1" t="s">
        <v>1605</v>
      </c>
      <c r="D649" s="1" t="str">
        <f>"5855"</f>
        <v>5855</v>
      </c>
      <c r="E649" s="1" t="str">
        <f>"013025493"</f>
        <v>013025493</v>
      </c>
      <c r="F649" s="1" t="s">
        <v>1602</v>
      </c>
      <c r="G649" s="1" t="s">
        <v>16</v>
      </c>
      <c r="H649" s="1" t="str">
        <f>"1"</f>
        <v>1</v>
      </c>
      <c r="I649" s="2" t="str">
        <f>"4107"</f>
        <v>4107</v>
      </c>
      <c r="J649" s="3">
        <v>46113</v>
      </c>
      <c r="K649" s="1" t="s">
        <v>1603</v>
      </c>
    </row>
    <row r="650" spans="1:11" x14ac:dyDescent="0.35">
      <c r="A650" s="1" t="s">
        <v>1563</v>
      </c>
      <c r="B650" s="1" t="s">
        <v>1578</v>
      </c>
      <c r="C650" s="1" t="s">
        <v>1606</v>
      </c>
      <c r="D650" s="1" t="str">
        <f>"5855"</f>
        <v>5855</v>
      </c>
      <c r="E650" s="1" t="str">
        <f>"013025493"</f>
        <v>013025493</v>
      </c>
      <c r="F650" s="1" t="s">
        <v>1602</v>
      </c>
      <c r="G650" s="1" t="s">
        <v>16</v>
      </c>
      <c r="H650" s="1" t="str">
        <f>"1"</f>
        <v>1</v>
      </c>
      <c r="I650" s="2" t="str">
        <f>"4107"</f>
        <v>4107</v>
      </c>
      <c r="J650" s="3">
        <v>46113</v>
      </c>
      <c r="K650" s="1" t="s">
        <v>1603</v>
      </c>
    </row>
    <row r="651" spans="1:11" x14ac:dyDescent="0.35">
      <c r="A651" s="1" t="s">
        <v>1563</v>
      </c>
      <c r="B651" s="1" t="s">
        <v>1578</v>
      </c>
      <c r="C651" s="1" t="s">
        <v>1607</v>
      </c>
      <c r="D651" s="1" t="str">
        <f>"5855"</f>
        <v>5855</v>
      </c>
      <c r="E651" s="1" t="str">
        <f>"013025493"</f>
        <v>013025493</v>
      </c>
      <c r="F651" s="1" t="s">
        <v>1602</v>
      </c>
      <c r="G651" s="1" t="s">
        <v>16</v>
      </c>
      <c r="H651" s="1" t="str">
        <f>"1"</f>
        <v>1</v>
      </c>
      <c r="I651" s="2" t="str">
        <f>"4107"</f>
        <v>4107</v>
      </c>
      <c r="J651" s="3">
        <v>46113</v>
      </c>
      <c r="K651" s="1" t="s">
        <v>1603</v>
      </c>
    </row>
    <row r="652" spans="1:11" x14ac:dyDescent="0.35">
      <c r="A652" s="1" t="s">
        <v>1563</v>
      </c>
      <c r="B652" s="1" t="s">
        <v>1578</v>
      </c>
      <c r="C652" s="1" t="s">
        <v>1608</v>
      </c>
      <c r="D652" s="1" t="str">
        <f>"6625"</f>
        <v>6625</v>
      </c>
      <c r="E652" s="1" t="str">
        <f>"015089529"</f>
        <v>015089529</v>
      </c>
      <c r="F652" s="1" t="s">
        <v>1609</v>
      </c>
      <c r="G652" s="1" t="s">
        <v>16</v>
      </c>
      <c r="H652" s="1" t="str">
        <f>"1"</f>
        <v>1</v>
      </c>
      <c r="I652" s="2" t="str">
        <f>"2572"</f>
        <v>2572</v>
      </c>
      <c r="J652" s="3">
        <v>46113</v>
      </c>
      <c r="K652" s="1" t="s">
        <v>1610</v>
      </c>
    </row>
    <row r="653" spans="1:11" x14ac:dyDescent="0.35">
      <c r="A653" s="1" t="s">
        <v>1563</v>
      </c>
      <c r="B653" s="1" t="s">
        <v>1578</v>
      </c>
      <c r="C653" s="1" t="s">
        <v>1611</v>
      </c>
      <c r="D653" s="1" t="str">
        <f>"6625"</f>
        <v>6625</v>
      </c>
      <c r="E653" s="1" t="str">
        <f>"010835979"</f>
        <v>010835979</v>
      </c>
      <c r="F653" s="1" t="s">
        <v>1609</v>
      </c>
      <c r="G653" s="1" t="s">
        <v>16</v>
      </c>
      <c r="H653" s="1" t="str">
        <f>"1"</f>
        <v>1</v>
      </c>
      <c r="I653" s="2">
        <v>1124.03</v>
      </c>
      <c r="J653" s="3">
        <v>46113</v>
      </c>
      <c r="K653" s="1" t="s">
        <v>1610</v>
      </c>
    </row>
    <row r="654" spans="1:11" x14ac:dyDescent="0.35">
      <c r="A654" s="1" t="s">
        <v>1563</v>
      </c>
      <c r="B654" s="1" t="s">
        <v>1578</v>
      </c>
      <c r="C654" s="1" t="s">
        <v>1615</v>
      </c>
      <c r="D654" s="1" t="str">
        <f>"7820"</f>
        <v>7820</v>
      </c>
      <c r="E654" s="1" t="s">
        <v>1616</v>
      </c>
      <c r="F654" s="1" t="s">
        <v>1617</v>
      </c>
      <c r="G654" s="1" t="s">
        <v>16</v>
      </c>
      <c r="H654" s="1" t="str">
        <f>"1"</f>
        <v>1</v>
      </c>
      <c r="I654" s="2" t="str">
        <f>"27439"</f>
        <v>27439</v>
      </c>
      <c r="J654" s="3">
        <v>46113</v>
      </c>
      <c r="K654" s="1" t="s">
        <v>1618</v>
      </c>
    </row>
    <row r="655" spans="1:11" x14ac:dyDescent="0.35">
      <c r="A655" s="1" t="s">
        <v>1563</v>
      </c>
      <c r="B655" s="1" t="s">
        <v>1575</v>
      </c>
      <c r="C655" s="1" t="s">
        <v>1576</v>
      </c>
      <c r="D655" s="1" t="str">
        <f>"2310"</f>
        <v>2310</v>
      </c>
      <c r="E655" s="1" t="s">
        <v>178</v>
      </c>
      <c r="F655" s="1" t="s">
        <v>179</v>
      </c>
      <c r="G655" s="1" t="s">
        <v>16</v>
      </c>
      <c r="H655" s="1" t="str">
        <f>"1"</f>
        <v>1</v>
      </c>
      <c r="I655" s="2" t="str">
        <f>"15000"</f>
        <v>15000</v>
      </c>
      <c r="J655" s="3">
        <v>46134</v>
      </c>
      <c r="K655" s="1" t="s">
        <v>1577</v>
      </c>
    </row>
    <row r="656" spans="1:11" x14ac:dyDescent="0.35">
      <c r="A656" s="1" t="s">
        <v>1563</v>
      </c>
      <c r="B656" s="1" t="s">
        <v>1578</v>
      </c>
      <c r="C656" s="1" t="s">
        <v>1587</v>
      </c>
      <c r="D656" s="1" t="str">
        <f>"2320"</f>
        <v>2320</v>
      </c>
      <c r="E656" s="1" t="s">
        <v>971</v>
      </c>
      <c r="F656" s="1" t="s">
        <v>972</v>
      </c>
      <c r="G656" s="1" t="s">
        <v>16</v>
      </c>
      <c r="H656" s="1" t="str">
        <f>"1"</f>
        <v>1</v>
      </c>
      <c r="I656" s="2" t="str">
        <f>"55000"</f>
        <v>55000</v>
      </c>
      <c r="J656" s="3">
        <v>46140</v>
      </c>
      <c r="K656" s="1" t="s">
        <v>1588</v>
      </c>
    </row>
    <row r="657" spans="1:11" x14ac:dyDescent="0.35">
      <c r="A657" s="1" t="s">
        <v>1563</v>
      </c>
      <c r="B657" s="1" t="s">
        <v>1578</v>
      </c>
      <c r="C657" s="1" t="s">
        <v>1585</v>
      </c>
      <c r="D657" s="1" t="str">
        <f>"2320"</f>
        <v>2320</v>
      </c>
      <c r="E657" s="1" t="str">
        <f>"010907896"</f>
        <v>010907896</v>
      </c>
      <c r="F657" s="1" t="s">
        <v>271</v>
      </c>
      <c r="G657" s="1" t="s">
        <v>16</v>
      </c>
      <c r="H657" s="1" t="str">
        <f>"1"</f>
        <v>1</v>
      </c>
      <c r="I657" s="2" t="str">
        <f>"24211"</f>
        <v>24211</v>
      </c>
      <c r="J657" s="3">
        <v>46141</v>
      </c>
      <c r="K657" s="1" t="s">
        <v>1586</v>
      </c>
    </row>
    <row r="658" spans="1:11" x14ac:dyDescent="0.35">
      <c r="A658" s="1" t="s">
        <v>1563</v>
      </c>
      <c r="B658" s="1" t="s">
        <v>1564</v>
      </c>
      <c r="C658" s="1" t="s">
        <v>1565</v>
      </c>
      <c r="D658" s="1" t="str">
        <f>"2310"</f>
        <v>2310</v>
      </c>
      <c r="E658" s="1" t="str">
        <f>"011112274"</f>
        <v>011112274</v>
      </c>
      <c r="F658" s="1" t="s">
        <v>1566</v>
      </c>
      <c r="G658" s="1" t="s">
        <v>16</v>
      </c>
      <c r="H658" s="1" t="str">
        <f>"1"</f>
        <v>1</v>
      </c>
      <c r="I658" s="2" t="str">
        <f>"96466"</f>
        <v>96466</v>
      </c>
      <c r="J658" s="3">
        <v>46142</v>
      </c>
      <c r="K658" s="1" t="s">
        <v>1567</v>
      </c>
    </row>
    <row r="659" spans="1:11" x14ac:dyDescent="0.35">
      <c r="A659" s="1" t="s">
        <v>1563</v>
      </c>
      <c r="B659" s="1" t="s">
        <v>1564</v>
      </c>
      <c r="C659" s="1" t="s">
        <v>1568</v>
      </c>
      <c r="D659" s="1" t="str">
        <f>"5140"</f>
        <v>5140</v>
      </c>
      <c r="E659" s="1" t="s">
        <v>761</v>
      </c>
      <c r="F659" s="1" t="s">
        <v>762</v>
      </c>
      <c r="G659" s="1" t="s">
        <v>16</v>
      </c>
      <c r="H659" s="1" t="str">
        <f>"1"</f>
        <v>1</v>
      </c>
      <c r="I659" s="2" t="str">
        <f>"4500"</f>
        <v>4500</v>
      </c>
      <c r="J659" s="3">
        <v>46142</v>
      </c>
      <c r="K659" s="1" t="s">
        <v>1569</v>
      </c>
    </row>
    <row r="660" spans="1:11" x14ac:dyDescent="0.35">
      <c r="A660" s="1" t="s">
        <v>1563</v>
      </c>
      <c r="B660" s="1" t="s">
        <v>1578</v>
      </c>
      <c r="C660" s="1" t="s">
        <v>1612</v>
      </c>
      <c r="D660" s="1" t="str">
        <f>"7320"</f>
        <v>7320</v>
      </c>
      <c r="E660" s="1" t="str">
        <f>"013833930"</f>
        <v>013833930</v>
      </c>
      <c r="F660" s="1" t="s">
        <v>1613</v>
      </c>
      <c r="G660" s="1" t="s">
        <v>16</v>
      </c>
      <c r="H660" s="1" t="str">
        <f>"1"</f>
        <v>1</v>
      </c>
      <c r="I660" s="2">
        <v>2644.97</v>
      </c>
      <c r="J660" s="3">
        <v>46161</v>
      </c>
      <c r="K660" s="1" t="s">
        <v>1614</v>
      </c>
    </row>
    <row r="661" spans="1:11" x14ac:dyDescent="0.35">
      <c r="A661" s="1" t="s">
        <v>1563</v>
      </c>
      <c r="B661" s="1" t="s">
        <v>1619</v>
      </c>
      <c r="C661" s="1" t="s">
        <v>1620</v>
      </c>
      <c r="D661" s="1" t="str">
        <f>"3930"</f>
        <v>3930</v>
      </c>
      <c r="E661" s="1" t="str">
        <f>"000539175"</f>
        <v>000539175</v>
      </c>
      <c r="F661" s="1" t="s">
        <v>1304</v>
      </c>
      <c r="G661" s="1" t="s">
        <v>16</v>
      </c>
      <c r="H661" s="1" t="str">
        <f>"1"</f>
        <v>1</v>
      </c>
      <c r="I661" s="2" t="str">
        <f>"23896"</f>
        <v>23896</v>
      </c>
      <c r="J661" s="3">
        <v>46178</v>
      </c>
      <c r="K661" s="1" t="s">
        <v>1621</v>
      </c>
    </row>
    <row r="662" spans="1:11" x14ac:dyDescent="0.35">
      <c r="A662" s="1" t="s">
        <v>1563</v>
      </c>
      <c r="B662" s="1" t="s">
        <v>1570</v>
      </c>
      <c r="C662" s="1" t="s">
        <v>1571</v>
      </c>
      <c r="D662" s="1" t="str">
        <f>"4910"</f>
        <v>4910</v>
      </c>
      <c r="E662" s="1" t="s">
        <v>289</v>
      </c>
      <c r="F662" s="1" t="s">
        <v>290</v>
      </c>
      <c r="G662" s="1" t="s">
        <v>16</v>
      </c>
      <c r="H662" s="1" t="str">
        <f>"1"</f>
        <v>1</v>
      </c>
      <c r="I662" s="2" t="str">
        <f>"44250"</f>
        <v>44250</v>
      </c>
      <c r="J662" s="3">
        <v>46184</v>
      </c>
      <c r="K662" s="1" t="s">
        <v>1572</v>
      </c>
    </row>
    <row r="663" spans="1:11" x14ac:dyDescent="0.35">
      <c r="A663" s="1" t="s">
        <v>1563</v>
      </c>
      <c r="B663" s="1" t="s">
        <v>1570</v>
      </c>
      <c r="C663" s="1" t="s">
        <v>1573</v>
      </c>
      <c r="D663" s="1" t="str">
        <f>"5180"</f>
        <v>5180</v>
      </c>
      <c r="E663" s="1" t="s">
        <v>88</v>
      </c>
      <c r="F663" s="1" t="s">
        <v>89</v>
      </c>
      <c r="G663" s="1" t="s">
        <v>16</v>
      </c>
      <c r="H663" s="1" t="str">
        <f>"1"</f>
        <v>1</v>
      </c>
      <c r="I663" s="2">
        <v>3746.16</v>
      </c>
      <c r="J663" s="3">
        <v>46184</v>
      </c>
      <c r="K663" s="1" t="s">
        <v>1574</v>
      </c>
    </row>
    <row r="664" spans="1:11" x14ac:dyDescent="0.35">
      <c r="A664" s="1" t="s">
        <v>1622</v>
      </c>
      <c r="B664" s="1" t="s">
        <v>1626</v>
      </c>
      <c r="C664" s="1" t="s">
        <v>1647</v>
      </c>
      <c r="D664" s="1" t="str">
        <f>"8115"</f>
        <v>8115</v>
      </c>
      <c r="E664" s="1" t="s">
        <v>483</v>
      </c>
      <c r="F664" s="1" t="s">
        <v>484</v>
      </c>
      <c r="G664" s="1" t="s">
        <v>16</v>
      </c>
      <c r="H664" s="1" t="str">
        <f>"14"</f>
        <v>14</v>
      </c>
      <c r="I664" s="2" t="str">
        <f>"80"</f>
        <v>80</v>
      </c>
      <c r="J664" s="3">
        <v>46121</v>
      </c>
      <c r="K664" s="1" t="s">
        <v>1648</v>
      </c>
    </row>
    <row r="665" spans="1:11" x14ac:dyDescent="0.35">
      <c r="A665" s="1" t="s">
        <v>1622</v>
      </c>
      <c r="B665" s="1" t="s">
        <v>1678</v>
      </c>
      <c r="C665" s="1" t="s">
        <v>1679</v>
      </c>
      <c r="D665" s="1" t="str">
        <f>"1240"</f>
        <v>1240</v>
      </c>
      <c r="E665" s="1" t="str">
        <f>"014123128"</f>
        <v>014123128</v>
      </c>
      <c r="F665" s="1" t="s">
        <v>1680</v>
      </c>
      <c r="G665" s="1" t="s">
        <v>16</v>
      </c>
      <c r="H665" s="1" t="str">
        <f>"1"</f>
        <v>1</v>
      </c>
      <c r="I665" s="2" t="str">
        <f>"313"</f>
        <v>313</v>
      </c>
      <c r="J665" s="3">
        <v>46121</v>
      </c>
      <c r="K665" s="1" t="s">
        <v>1681</v>
      </c>
    </row>
    <row r="666" spans="1:11" x14ac:dyDescent="0.35">
      <c r="A666" s="1" t="s">
        <v>1622</v>
      </c>
      <c r="B666" s="1" t="s">
        <v>1674</v>
      </c>
      <c r="C666" s="1" t="s">
        <v>1675</v>
      </c>
      <c r="D666" s="1" t="str">
        <f>"5850"</f>
        <v>5850</v>
      </c>
      <c r="E666" s="1" t="str">
        <f>"015902647"</f>
        <v>015902647</v>
      </c>
      <c r="F666" s="1" t="s">
        <v>1676</v>
      </c>
      <c r="G666" s="1" t="s">
        <v>16</v>
      </c>
      <c r="H666" s="1" t="str">
        <f>"1"</f>
        <v>1</v>
      </c>
      <c r="I666" s="2">
        <v>8567.01</v>
      </c>
      <c r="J666" s="3">
        <v>46125</v>
      </c>
      <c r="K666" s="1" t="s">
        <v>1677</v>
      </c>
    </row>
    <row r="667" spans="1:11" x14ac:dyDescent="0.35">
      <c r="A667" s="1" t="s">
        <v>1622</v>
      </c>
      <c r="B667" s="1" t="s">
        <v>1626</v>
      </c>
      <c r="C667" s="1" t="s">
        <v>1627</v>
      </c>
      <c r="D667" s="1" t="str">
        <f>"2330"</f>
        <v>2330</v>
      </c>
      <c r="E667" s="1" t="s">
        <v>70</v>
      </c>
      <c r="F667" s="1" t="s">
        <v>71</v>
      </c>
      <c r="G667" s="1" t="s">
        <v>16</v>
      </c>
      <c r="H667" s="1" t="str">
        <f>"1"</f>
        <v>1</v>
      </c>
      <c r="I667" s="2" t="str">
        <f>"14555"</f>
        <v>14555</v>
      </c>
      <c r="J667" s="3">
        <v>46135</v>
      </c>
      <c r="K667" s="1" t="s">
        <v>1628</v>
      </c>
    </row>
    <row r="668" spans="1:11" x14ac:dyDescent="0.35">
      <c r="A668" s="1" t="s">
        <v>1622</v>
      </c>
      <c r="B668" s="1" t="s">
        <v>1626</v>
      </c>
      <c r="C668" s="1" t="s">
        <v>1629</v>
      </c>
      <c r="D668" s="1" t="str">
        <f>"2330"</f>
        <v>2330</v>
      </c>
      <c r="E668" s="1" t="s">
        <v>70</v>
      </c>
      <c r="F668" s="1" t="s">
        <v>71</v>
      </c>
      <c r="G668" s="1" t="s">
        <v>16</v>
      </c>
      <c r="H668" s="1" t="str">
        <f>"1"</f>
        <v>1</v>
      </c>
      <c r="I668" s="2" t="str">
        <f>"14555"</f>
        <v>14555</v>
      </c>
      <c r="J668" s="3">
        <v>46135</v>
      </c>
      <c r="K668" s="1" t="s">
        <v>1628</v>
      </c>
    </row>
    <row r="669" spans="1:11" x14ac:dyDescent="0.35">
      <c r="A669" s="1" t="s">
        <v>1622</v>
      </c>
      <c r="B669" s="1" t="s">
        <v>1626</v>
      </c>
      <c r="C669" s="1" t="s">
        <v>1639</v>
      </c>
      <c r="D669" s="1" t="str">
        <f>"7010"</f>
        <v>7010</v>
      </c>
      <c r="E669" s="1" t="s">
        <v>1640</v>
      </c>
      <c r="F669" s="1" t="s">
        <v>1641</v>
      </c>
      <c r="G669" s="1" t="s">
        <v>16</v>
      </c>
      <c r="H669" s="1" t="str">
        <f>"10"</f>
        <v>10</v>
      </c>
      <c r="I669" s="2" t="str">
        <f>"1182"</f>
        <v>1182</v>
      </c>
      <c r="J669" s="3">
        <v>46136</v>
      </c>
      <c r="K669" s="1" t="s">
        <v>1642</v>
      </c>
    </row>
    <row r="670" spans="1:11" x14ac:dyDescent="0.35">
      <c r="A670" s="1" t="s">
        <v>1622</v>
      </c>
      <c r="B670" s="1" t="s">
        <v>1626</v>
      </c>
      <c r="C670" s="1" t="s">
        <v>1635</v>
      </c>
      <c r="D670" s="1" t="str">
        <f>"6710"</f>
        <v>6710</v>
      </c>
      <c r="E670" s="1" t="s">
        <v>1636</v>
      </c>
      <c r="F670" s="1" t="s">
        <v>1637</v>
      </c>
      <c r="G670" s="1" t="s">
        <v>16</v>
      </c>
      <c r="H670" s="1" t="str">
        <f>"1"</f>
        <v>1</v>
      </c>
      <c r="I670" s="2" t="str">
        <f>"3000"</f>
        <v>3000</v>
      </c>
      <c r="J670" s="3">
        <v>46142</v>
      </c>
      <c r="K670" s="1" t="s">
        <v>1638</v>
      </c>
    </row>
    <row r="671" spans="1:11" x14ac:dyDescent="0.35">
      <c r="A671" s="1" t="s">
        <v>1622</v>
      </c>
      <c r="B671" s="1" t="s">
        <v>1626</v>
      </c>
      <c r="C671" s="1" t="s">
        <v>1643</v>
      </c>
      <c r="D671" s="1" t="str">
        <f>"7021"</f>
        <v>7021</v>
      </c>
      <c r="E671" s="1" t="s">
        <v>1644</v>
      </c>
      <c r="F671" s="1" t="s">
        <v>1645</v>
      </c>
      <c r="G671" s="1" t="s">
        <v>16</v>
      </c>
      <c r="H671" s="1" t="str">
        <f>"10"</f>
        <v>10</v>
      </c>
      <c r="I671" s="2">
        <v>1699.73</v>
      </c>
      <c r="J671" s="3">
        <v>46142</v>
      </c>
      <c r="K671" s="1" t="s">
        <v>1646</v>
      </c>
    </row>
    <row r="672" spans="1:11" x14ac:dyDescent="0.35">
      <c r="A672" s="1" t="s">
        <v>1622</v>
      </c>
      <c r="B672" s="1" t="s">
        <v>1623</v>
      </c>
      <c r="C672" s="1" t="s">
        <v>1624</v>
      </c>
      <c r="D672" s="1" t="str">
        <f>"1005"</f>
        <v>1005</v>
      </c>
      <c r="E672" s="1" t="s">
        <v>94</v>
      </c>
      <c r="F672" s="1" t="s">
        <v>95</v>
      </c>
      <c r="G672" s="1" t="s">
        <v>16</v>
      </c>
      <c r="H672" s="1" t="str">
        <f>"10"</f>
        <v>10</v>
      </c>
      <c r="I672" s="2">
        <v>199.95</v>
      </c>
      <c r="J672" s="3">
        <v>46148</v>
      </c>
      <c r="K672" s="1" t="s">
        <v>1625</v>
      </c>
    </row>
    <row r="673" spans="1:11" x14ac:dyDescent="0.35">
      <c r="A673" s="1" t="s">
        <v>1622</v>
      </c>
      <c r="B673" s="1" t="s">
        <v>1649</v>
      </c>
      <c r="C673" s="1" t="s">
        <v>1664</v>
      </c>
      <c r="D673" s="1" t="str">
        <f>"6640"</f>
        <v>6640</v>
      </c>
      <c r="E673" s="1" t="str">
        <f>"016746506"</f>
        <v>016746506</v>
      </c>
      <c r="F673" s="1" t="s">
        <v>1665</v>
      </c>
      <c r="G673" s="1" t="s">
        <v>16</v>
      </c>
      <c r="H673" s="1" t="str">
        <f>"2"</f>
        <v>2</v>
      </c>
      <c r="I673" s="2">
        <v>911.86</v>
      </c>
      <c r="J673" s="3">
        <v>46150</v>
      </c>
      <c r="K673" s="1" t="s">
        <v>1666</v>
      </c>
    </row>
    <row r="674" spans="1:11" x14ac:dyDescent="0.35">
      <c r="A674" s="1" t="s">
        <v>1622</v>
      </c>
      <c r="B674" s="1" t="s">
        <v>1649</v>
      </c>
      <c r="C674" s="1" t="s">
        <v>1652</v>
      </c>
      <c r="D674" s="1" t="str">
        <f>"4110"</f>
        <v>4110</v>
      </c>
      <c r="E674" s="1" t="s">
        <v>388</v>
      </c>
      <c r="F674" s="1" t="s">
        <v>389</v>
      </c>
      <c r="G674" s="1" t="s">
        <v>16</v>
      </c>
      <c r="H674" s="1" t="str">
        <f>"1"</f>
        <v>1</v>
      </c>
      <c r="I674" s="2" t="str">
        <f>"475"</f>
        <v>475</v>
      </c>
      <c r="J674" s="3">
        <v>46160</v>
      </c>
      <c r="K674" s="1" t="s">
        <v>1653</v>
      </c>
    </row>
    <row r="675" spans="1:11" x14ac:dyDescent="0.35">
      <c r="A675" s="1" t="s">
        <v>1622</v>
      </c>
      <c r="B675" s="1" t="s">
        <v>1626</v>
      </c>
      <c r="C675" s="1" t="s">
        <v>1630</v>
      </c>
      <c r="D675" s="1" t="str">
        <f>"3895"</f>
        <v>3895</v>
      </c>
      <c r="E675" s="1" t="s">
        <v>107</v>
      </c>
      <c r="F675" s="1" t="s">
        <v>108</v>
      </c>
      <c r="G675" s="1" t="s">
        <v>16</v>
      </c>
      <c r="H675" s="1" t="str">
        <f>"1"</f>
        <v>1</v>
      </c>
      <c r="I675" s="2" t="str">
        <f>"38500"</f>
        <v>38500</v>
      </c>
      <c r="J675" s="3">
        <v>46163</v>
      </c>
      <c r="K675" s="1" t="s">
        <v>1631</v>
      </c>
    </row>
    <row r="676" spans="1:11" x14ac:dyDescent="0.35">
      <c r="A676" s="1" t="s">
        <v>1622</v>
      </c>
      <c r="B676" s="1" t="s">
        <v>1649</v>
      </c>
      <c r="C676" s="1" t="s">
        <v>1654</v>
      </c>
      <c r="D676" s="1" t="str">
        <f>"4910"</f>
        <v>4910</v>
      </c>
      <c r="E676" s="1" t="s">
        <v>1655</v>
      </c>
      <c r="F676" s="1" t="s">
        <v>1656</v>
      </c>
      <c r="G676" s="1" t="s">
        <v>16</v>
      </c>
      <c r="H676" s="1" t="str">
        <f>"1"</f>
        <v>1</v>
      </c>
      <c r="I676" s="2">
        <v>4778.6899999999996</v>
      </c>
      <c r="J676" s="3">
        <v>46168</v>
      </c>
      <c r="K676" s="1" t="s">
        <v>1657</v>
      </c>
    </row>
    <row r="677" spans="1:11" x14ac:dyDescent="0.35">
      <c r="A677" s="1" t="s">
        <v>1622</v>
      </c>
      <c r="B677" s="1" t="s">
        <v>1626</v>
      </c>
      <c r="C677" s="1" t="s">
        <v>1632</v>
      </c>
      <c r="D677" s="1" t="str">
        <f>"5895"</f>
        <v>5895</v>
      </c>
      <c r="E677" s="1" t="str">
        <f>"016325427"</f>
        <v>016325427</v>
      </c>
      <c r="F677" s="1" t="s">
        <v>1633</v>
      </c>
      <c r="G677" s="1" t="s">
        <v>16</v>
      </c>
      <c r="H677" s="1" t="str">
        <f>"2"</f>
        <v>2</v>
      </c>
      <c r="I677" s="2" t="str">
        <f>"123000"</f>
        <v>123000</v>
      </c>
      <c r="J677" s="3">
        <v>46175</v>
      </c>
      <c r="K677" s="1" t="s">
        <v>1634</v>
      </c>
    </row>
    <row r="678" spans="1:11" x14ac:dyDescent="0.35">
      <c r="A678" s="1" t="s">
        <v>1622</v>
      </c>
      <c r="B678" s="1" t="s">
        <v>1649</v>
      </c>
      <c r="C678" s="1" t="s">
        <v>1650</v>
      </c>
      <c r="D678" s="1" t="str">
        <f>"2340"</f>
        <v>2340</v>
      </c>
      <c r="E678" s="1" t="s">
        <v>61</v>
      </c>
      <c r="F678" s="1" t="s">
        <v>62</v>
      </c>
      <c r="G678" s="1" t="s">
        <v>16</v>
      </c>
      <c r="H678" s="1" t="str">
        <f>"1"</f>
        <v>1</v>
      </c>
      <c r="I678" s="2" t="str">
        <f>"9000"</f>
        <v>9000</v>
      </c>
      <c r="J678" s="3">
        <v>46184</v>
      </c>
      <c r="K678" s="1" t="s">
        <v>1651</v>
      </c>
    </row>
    <row r="679" spans="1:11" x14ac:dyDescent="0.35">
      <c r="A679" s="1" t="s">
        <v>1622</v>
      </c>
      <c r="B679" s="1" t="s">
        <v>1649</v>
      </c>
      <c r="C679" s="1" t="s">
        <v>1661</v>
      </c>
      <c r="D679" s="1" t="str">
        <f>"6525"</f>
        <v>6525</v>
      </c>
      <c r="E679" s="1" t="str">
        <f>"016761805"</f>
        <v>016761805</v>
      </c>
      <c r="F679" s="1" t="s">
        <v>1662</v>
      </c>
      <c r="G679" s="1" t="s">
        <v>16</v>
      </c>
      <c r="H679" s="1" t="str">
        <f>"1"</f>
        <v>1</v>
      </c>
      <c r="I679" s="2" t="str">
        <f>"14997"</f>
        <v>14997</v>
      </c>
      <c r="J679" s="3">
        <v>46184</v>
      </c>
      <c r="K679" s="1" t="s">
        <v>1663</v>
      </c>
    </row>
    <row r="680" spans="1:11" x14ac:dyDescent="0.35">
      <c r="A680" s="1" t="s">
        <v>1622</v>
      </c>
      <c r="B680" s="1" t="s">
        <v>1649</v>
      </c>
      <c r="C680" s="1" t="s">
        <v>1667</v>
      </c>
      <c r="D680" s="1" t="str">
        <f>"8145"</f>
        <v>8145</v>
      </c>
      <c r="E680" s="1" t="str">
        <f>"013849260"</f>
        <v>013849260</v>
      </c>
      <c r="F680" s="1" t="s">
        <v>1668</v>
      </c>
      <c r="G680" s="1" t="s">
        <v>458</v>
      </c>
      <c r="H680" s="1" t="str">
        <f>"2"</f>
        <v>2</v>
      </c>
      <c r="I680" s="2">
        <v>4091.21</v>
      </c>
      <c r="J680" s="3">
        <v>46184</v>
      </c>
      <c r="K680" s="1" t="s">
        <v>1669</v>
      </c>
    </row>
    <row r="681" spans="1:11" x14ac:dyDescent="0.35">
      <c r="A681" s="1" t="s">
        <v>1622</v>
      </c>
      <c r="B681" s="1" t="s">
        <v>1649</v>
      </c>
      <c r="C681" s="1" t="s">
        <v>1658</v>
      </c>
      <c r="D681" s="1" t="str">
        <f>"5140"</f>
        <v>5140</v>
      </c>
      <c r="E681" s="1" t="str">
        <f>"013673683"</f>
        <v>013673683</v>
      </c>
      <c r="F681" s="1" t="s">
        <v>1659</v>
      </c>
      <c r="G681" s="1" t="s">
        <v>16</v>
      </c>
      <c r="H681" s="1" t="str">
        <f>"4"</f>
        <v>4</v>
      </c>
      <c r="I681" s="2">
        <v>780.82</v>
      </c>
      <c r="J681" s="3">
        <v>46185</v>
      </c>
      <c r="K681" s="1" t="s">
        <v>1660</v>
      </c>
    </row>
    <row r="682" spans="1:11" x14ac:dyDescent="0.35">
      <c r="A682" s="1" t="s">
        <v>1622</v>
      </c>
      <c r="B682" s="1" t="s">
        <v>1649</v>
      </c>
      <c r="C682" s="1" t="s">
        <v>1670</v>
      </c>
      <c r="D682" s="1" t="str">
        <f>"8145"</f>
        <v>8145</v>
      </c>
      <c r="E682" s="1" t="s">
        <v>1671</v>
      </c>
      <c r="F682" s="1" t="s">
        <v>1672</v>
      </c>
      <c r="G682" s="1" t="s">
        <v>16</v>
      </c>
      <c r="H682" s="1" t="str">
        <f>"1"</f>
        <v>1</v>
      </c>
      <c r="I682" s="2" t="str">
        <f>"45000"</f>
        <v>45000</v>
      </c>
      <c r="J682" s="3">
        <v>46195</v>
      </c>
      <c r="K682" s="1" t="s">
        <v>1673</v>
      </c>
    </row>
    <row r="683" spans="1:11" x14ac:dyDescent="0.35">
      <c r="A683" s="1" t="s">
        <v>1622</v>
      </c>
      <c r="B683" s="1" t="s">
        <v>1678</v>
      </c>
      <c r="C683" s="1" t="s">
        <v>1682</v>
      </c>
      <c r="D683" s="1" t="str">
        <f>"8405"</f>
        <v>8405</v>
      </c>
      <c r="E683" s="1" t="str">
        <f>"015472559"</f>
        <v>015472559</v>
      </c>
      <c r="F683" s="1" t="s">
        <v>1200</v>
      </c>
      <c r="G683" s="1" t="s">
        <v>16</v>
      </c>
      <c r="H683" s="1" t="str">
        <f>"20"</f>
        <v>20</v>
      </c>
      <c r="I683" s="2">
        <v>38.4</v>
      </c>
      <c r="J683" s="3">
        <v>46197</v>
      </c>
      <c r="K683" s="1" t="s">
        <v>1683</v>
      </c>
    </row>
    <row r="684" spans="1:11" x14ac:dyDescent="0.35">
      <c r="A684" s="1" t="s">
        <v>1684</v>
      </c>
      <c r="B684" s="1" t="s">
        <v>1798</v>
      </c>
      <c r="C684" s="1" t="s">
        <v>1866</v>
      </c>
      <c r="D684" s="1" t="str">
        <f>"7830"</f>
        <v>7830</v>
      </c>
      <c r="E684" s="1" t="s">
        <v>1867</v>
      </c>
      <c r="F684" s="1" t="s">
        <v>1868</v>
      </c>
      <c r="G684" s="1" t="s">
        <v>16</v>
      </c>
      <c r="H684" s="1" t="str">
        <f>"1"</f>
        <v>1</v>
      </c>
      <c r="I684" s="2" t="str">
        <f>"750"</f>
        <v>750</v>
      </c>
      <c r="J684" s="3">
        <v>46115</v>
      </c>
      <c r="K684" s="1" t="s">
        <v>1869</v>
      </c>
    </row>
    <row r="685" spans="1:11" x14ac:dyDescent="0.35">
      <c r="A685" s="1" t="s">
        <v>1684</v>
      </c>
      <c r="B685" s="1" t="s">
        <v>1798</v>
      </c>
      <c r="C685" s="1" t="s">
        <v>1882</v>
      </c>
      <c r="D685" s="1" t="str">
        <f>"8415"</f>
        <v>8415</v>
      </c>
      <c r="E685" s="1" t="str">
        <f>"016288707"</f>
        <v>016288707</v>
      </c>
      <c r="F685" s="1" t="s">
        <v>1883</v>
      </c>
      <c r="G685" s="1" t="s">
        <v>16</v>
      </c>
      <c r="H685" s="1" t="str">
        <f>"14"</f>
        <v>14</v>
      </c>
      <c r="I685" s="2">
        <v>51.4</v>
      </c>
      <c r="J685" s="3">
        <v>46115</v>
      </c>
      <c r="K685" s="1" t="s">
        <v>1884</v>
      </c>
    </row>
    <row r="686" spans="1:11" x14ac:dyDescent="0.35">
      <c r="A686" s="1" t="s">
        <v>1684</v>
      </c>
      <c r="B686" s="1" t="s">
        <v>1685</v>
      </c>
      <c r="C686" s="1" t="s">
        <v>1700</v>
      </c>
      <c r="D686" s="1" t="str">
        <f>"5965"</f>
        <v>5965</v>
      </c>
      <c r="E686" s="1" t="s">
        <v>599</v>
      </c>
      <c r="F686" s="1" t="s">
        <v>600</v>
      </c>
      <c r="G686" s="1" t="s">
        <v>16</v>
      </c>
      <c r="H686" s="1" t="str">
        <f>"20"</f>
        <v>20</v>
      </c>
      <c r="I686" s="2">
        <v>460.15</v>
      </c>
      <c r="J686" s="3">
        <v>46121</v>
      </c>
      <c r="K686" s="1" t="s">
        <v>1701</v>
      </c>
    </row>
    <row r="687" spans="1:11" x14ac:dyDescent="0.35">
      <c r="A687" s="1" t="s">
        <v>1684</v>
      </c>
      <c r="B687" s="1" t="s">
        <v>1685</v>
      </c>
      <c r="C687" s="1" t="s">
        <v>1705</v>
      </c>
      <c r="D687" s="1" t="str">
        <f>"6515"</f>
        <v>6515</v>
      </c>
      <c r="E687" s="1" t="s">
        <v>297</v>
      </c>
      <c r="F687" s="1" t="s">
        <v>298</v>
      </c>
      <c r="G687" s="1" t="s">
        <v>16</v>
      </c>
      <c r="H687" s="1" t="str">
        <f>"1"</f>
        <v>1</v>
      </c>
      <c r="I687" s="2" t="str">
        <f>"250"</f>
        <v>250</v>
      </c>
      <c r="J687" s="3">
        <v>46121</v>
      </c>
      <c r="K687" s="1" t="s">
        <v>1706</v>
      </c>
    </row>
    <row r="688" spans="1:11" x14ac:dyDescent="0.35">
      <c r="A688" s="1" t="s">
        <v>1684</v>
      </c>
      <c r="B688" s="1" t="s">
        <v>1685</v>
      </c>
      <c r="C688" s="1" t="s">
        <v>1707</v>
      </c>
      <c r="D688" s="1" t="str">
        <f>"6545"</f>
        <v>6545</v>
      </c>
      <c r="E688" s="1" t="str">
        <f>"015841582"</f>
        <v>015841582</v>
      </c>
      <c r="F688" s="1" t="s">
        <v>305</v>
      </c>
      <c r="G688" s="1" t="s">
        <v>215</v>
      </c>
      <c r="H688" s="1" t="str">
        <f>"4"</f>
        <v>4</v>
      </c>
      <c r="I688" s="2">
        <v>103.24</v>
      </c>
      <c r="J688" s="3">
        <v>46121</v>
      </c>
      <c r="K688" s="1" t="s">
        <v>1708</v>
      </c>
    </row>
    <row r="689" spans="1:11" x14ac:dyDescent="0.35">
      <c r="A689" s="1" t="s">
        <v>1684</v>
      </c>
      <c r="B689" s="1" t="s">
        <v>1685</v>
      </c>
      <c r="C689" s="1" t="s">
        <v>1709</v>
      </c>
      <c r="D689" s="1" t="str">
        <f>"7240"</f>
        <v>7240</v>
      </c>
      <c r="E689" s="1" t="str">
        <f>"000893827"</f>
        <v>000893827</v>
      </c>
      <c r="F689" s="1" t="s">
        <v>868</v>
      </c>
      <c r="G689" s="1" t="s">
        <v>16</v>
      </c>
      <c r="H689" s="1" t="str">
        <f>"8"</f>
        <v>8</v>
      </c>
      <c r="I689" s="2">
        <v>44.15</v>
      </c>
      <c r="J689" s="3">
        <v>46121</v>
      </c>
      <c r="K689" s="1" t="s">
        <v>1710</v>
      </c>
    </row>
    <row r="690" spans="1:11" x14ac:dyDescent="0.35">
      <c r="A690" s="1" t="s">
        <v>1684</v>
      </c>
      <c r="B690" s="1" t="s">
        <v>1685</v>
      </c>
      <c r="C690" s="1" t="s">
        <v>1723</v>
      </c>
      <c r="D690" s="1" t="str">
        <f>"8415"</f>
        <v>8415</v>
      </c>
      <c r="E690" s="1" t="str">
        <f>"015841719"</f>
        <v>015841719</v>
      </c>
      <c r="F690" s="1" t="s">
        <v>1724</v>
      </c>
      <c r="G690" s="1" t="s">
        <v>16</v>
      </c>
      <c r="H690" s="1" t="str">
        <f>"1"</f>
        <v>1</v>
      </c>
      <c r="I690" s="2">
        <v>136.19999999999999</v>
      </c>
      <c r="J690" s="3">
        <v>46121</v>
      </c>
      <c r="K690" s="1" t="s">
        <v>1725</v>
      </c>
    </row>
    <row r="691" spans="1:11" x14ac:dyDescent="0.35">
      <c r="A691" s="1" t="s">
        <v>1684</v>
      </c>
      <c r="B691" s="1" t="s">
        <v>1685</v>
      </c>
      <c r="C691" s="1" t="s">
        <v>1726</v>
      </c>
      <c r="D691" s="1" t="str">
        <f>"8415"</f>
        <v>8415</v>
      </c>
      <c r="E691" s="1" t="str">
        <f>"015841729"</f>
        <v>015841729</v>
      </c>
      <c r="F691" s="1" t="s">
        <v>1724</v>
      </c>
      <c r="G691" s="1" t="s">
        <v>16</v>
      </c>
      <c r="H691" s="1" t="str">
        <f>"1"</f>
        <v>1</v>
      </c>
      <c r="I691" s="2">
        <v>136.19999999999999</v>
      </c>
      <c r="J691" s="3">
        <v>46121</v>
      </c>
      <c r="K691" s="1" t="s">
        <v>1725</v>
      </c>
    </row>
    <row r="692" spans="1:11" x14ac:dyDescent="0.35">
      <c r="A692" s="1" t="s">
        <v>1684</v>
      </c>
      <c r="B692" s="1" t="s">
        <v>1685</v>
      </c>
      <c r="C692" s="1" t="s">
        <v>1727</v>
      </c>
      <c r="D692" s="1" t="str">
        <f>"8415"</f>
        <v>8415</v>
      </c>
      <c r="E692" s="1" t="str">
        <f>"015841719"</f>
        <v>015841719</v>
      </c>
      <c r="F692" s="1" t="s">
        <v>1724</v>
      </c>
      <c r="G692" s="1" t="s">
        <v>16</v>
      </c>
      <c r="H692" s="1" t="str">
        <f>"1"</f>
        <v>1</v>
      </c>
      <c r="I692" s="2">
        <v>136.19999999999999</v>
      </c>
      <c r="J692" s="3">
        <v>46121</v>
      </c>
      <c r="K692" s="1" t="s">
        <v>1725</v>
      </c>
    </row>
    <row r="693" spans="1:11" x14ac:dyDescent="0.35">
      <c r="A693" s="1" t="s">
        <v>1684</v>
      </c>
      <c r="B693" s="1" t="s">
        <v>1685</v>
      </c>
      <c r="C693" s="1" t="s">
        <v>1728</v>
      </c>
      <c r="D693" s="1" t="str">
        <f>"8415"</f>
        <v>8415</v>
      </c>
      <c r="E693" s="1" t="str">
        <f>"015388730"</f>
        <v>015388730</v>
      </c>
      <c r="F693" s="1" t="s">
        <v>1729</v>
      </c>
      <c r="G693" s="1" t="s">
        <v>16</v>
      </c>
      <c r="H693" s="1" t="str">
        <f>"1"</f>
        <v>1</v>
      </c>
      <c r="I693" s="2">
        <v>27.16</v>
      </c>
      <c r="J693" s="3">
        <v>46121</v>
      </c>
      <c r="K693" s="1" t="s">
        <v>1730</v>
      </c>
    </row>
    <row r="694" spans="1:11" x14ac:dyDescent="0.35">
      <c r="A694" s="1" t="s">
        <v>1684</v>
      </c>
      <c r="B694" s="1" t="s">
        <v>1685</v>
      </c>
      <c r="C694" s="1" t="s">
        <v>1731</v>
      </c>
      <c r="D694" s="1" t="str">
        <f>"8415"</f>
        <v>8415</v>
      </c>
      <c r="E694" s="1" t="str">
        <f>"007822889"</f>
        <v>007822889</v>
      </c>
      <c r="F694" s="1" t="s">
        <v>1732</v>
      </c>
      <c r="G694" s="1" t="s">
        <v>16</v>
      </c>
      <c r="H694" s="1" t="str">
        <f>"2"</f>
        <v>2</v>
      </c>
      <c r="I694" s="2">
        <v>20.87</v>
      </c>
      <c r="J694" s="3">
        <v>46121</v>
      </c>
      <c r="K694" s="1" t="s">
        <v>1725</v>
      </c>
    </row>
    <row r="695" spans="1:11" x14ac:dyDescent="0.35">
      <c r="A695" s="1" t="s">
        <v>1684</v>
      </c>
      <c r="B695" s="1" t="s">
        <v>1685</v>
      </c>
      <c r="C695" s="1" t="s">
        <v>1743</v>
      </c>
      <c r="D695" s="1" t="str">
        <f>"8465"</f>
        <v>8465</v>
      </c>
      <c r="E695" s="1" t="str">
        <f>"015248362"</f>
        <v>015248362</v>
      </c>
      <c r="F695" s="1" t="s">
        <v>1744</v>
      </c>
      <c r="G695" s="1" t="s">
        <v>16</v>
      </c>
      <c r="H695" s="1" t="str">
        <f>"30"</f>
        <v>30</v>
      </c>
      <c r="I695" s="2">
        <v>33.159999999999997</v>
      </c>
      <c r="J695" s="3">
        <v>46121</v>
      </c>
      <c r="K695" s="1" t="s">
        <v>1745</v>
      </c>
    </row>
    <row r="696" spans="1:11" x14ac:dyDescent="0.35">
      <c r="A696" s="1" t="s">
        <v>1684</v>
      </c>
      <c r="B696" s="1" t="s">
        <v>1798</v>
      </c>
      <c r="C696" s="1" t="s">
        <v>1870</v>
      </c>
      <c r="D696" s="1" t="str">
        <f>"7830"</f>
        <v>7830</v>
      </c>
      <c r="E696" s="1" t="s">
        <v>1871</v>
      </c>
      <c r="F696" s="1" t="s">
        <v>1872</v>
      </c>
      <c r="G696" s="1" t="s">
        <v>16</v>
      </c>
      <c r="H696" s="1" t="str">
        <f>"1"</f>
        <v>1</v>
      </c>
      <c r="I696" s="2">
        <v>109.47</v>
      </c>
      <c r="J696" s="3">
        <v>46129</v>
      </c>
      <c r="K696" s="1" t="s">
        <v>1873</v>
      </c>
    </row>
    <row r="697" spans="1:11" x14ac:dyDescent="0.35">
      <c r="A697" s="1" t="s">
        <v>1684</v>
      </c>
      <c r="B697" s="1" t="s">
        <v>1798</v>
      </c>
      <c r="C697" s="1" t="s">
        <v>1874</v>
      </c>
      <c r="D697" s="1" t="str">
        <f>"7830"</f>
        <v>7830</v>
      </c>
      <c r="E697" s="1" t="s">
        <v>453</v>
      </c>
      <c r="F697" s="1" t="s">
        <v>454</v>
      </c>
      <c r="G697" s="1" t="s">
        <v>16</v>
      </c>
      <c r="H697" s="1" t="str">
        <f>"1"</f>
        <v>1</v>
      </c>
      <c r="I697" s="2" t="str">
        <f>"1000"</f>
        <v>1000</v>
      </c>
      <c r="J697" s="3">
        <v>46129</v>
      </c>
      <c r="K697" s="1" t="s">
        <v>1875</v>
      </c>
    </row>
    <row r="698" spans="1:11" x14ac:dyDescent="0.35">
      <c r="A698" s="1" t="s">
        <v>1684</v>
      </c>
      <c r="B698" s="1" t="s">
        <v>1798</v>
      </c>
      <c r="C698" s="1" t="s">
        <v>1876</v>
      </c>
      <c r="D698" s="1" t="str">
        <f>"8115"</f>
        <v>8115</v>
      </c>
      <c r="E698" s="1" t="s">
        <v>483</v>
      </c>
      <c r="F698" s="1" t="s">
        <v>484</v>
      </c>
      <c r="G698" s="1" t="s">
        <v>16</v>
      </c>
      <c r="H698" s="1" t="str">
        <f>"38"</f>
        <v>38</v>
      </c>
      <c r="I698" s="2" t="str">
        <f>"72"</f>
        <v>72</v>
      </c>
      <c r="J698" s="3">
        <v>46129</v>
      </c>
      <c r="K698" s="1" t="s">
        <v>1877</v>
      </c>
    </row>
    <row r="699" spans="1:11" x14ac:dyDescent="0.35">
      <c r="A699" s="1" t="s">
        <v>1684</v>
      </c>
      <c r="B699" s="1" t="s">
        <v>1798</v>
      </c>
      <c r="C699" s="1" t="s">
        <v>1878</v>
      </c>
      <c r="D699" s="1" t="str">
        <f>"8145"</f>
        <v>8145</v>
      </c>
      <c r="E699" s="1" t="s">
        <v>1879</v>
      </c>
      <c r="F699" s="1" t="s">
        <v>1880</v>
      </c>
      <c r="G699" s="1" t="s">
        <v>16</v>
      </c>
      <c r="H699" s="1" t="str">
        <f>"3"</f>
        <v>3</v>
      </c>
      <c r="I699" s="2">
        <v>22.62</v>
      </c>
      <c r="J699" s="3">
        <v>46129</v>
      </c>
      <c r="K699" s="1" t="s">
        <v>1881</v>
      </c>
    </row>
    <row r="700" spans="1:11" x14ac:dyDescent="0.35">
      <c r="A700" s="1" t="s">
        <v>1684</v>
      </c>
      <c r="B700" s="1" t="s">
        <v>1798</v>
      </c>
      <c r="C700" s="1" t="s">
        <v>1835</v>
      </c>
      <c r="D700" s="1" t="str">
        <f>"5855"</f>
        <v>5855</v>
      </c>
      <c r="E700" s="1" t="str">
        <f>"013637491"</f>
        <v>013637491</v>
      </c>
      <c r="F700" s="1" t="s">
        <v>1770</v>
      </c>
      <c r="G700" s="1" t="s">
        <v>16</v>
      </c>
      <c r="H700" s="1" t="str">
        <f>"1"</f>
        <v>1</v>
      </c>
      <c r="I700" s="2" t="str">
        <f>"6124"</f>
        <v>6124</v>
      </c>
      <c r="J700" s="3">
        <v>46133</v>
      </c>
      <c r="K700" s="1" t="s">
        <v>1836</v>
      </c>
    </row>
    <row r="701" spans="1:11" x14ac:dyDescent="0.35">
      <c r="A701" s="1" t="s">
        <v>1684</v>
      </c>
      <c r="B701" s="1" t="s">
        <v>1798</v>
      </c>
      <c r="C701" s="1" t="s">
        <v>1805</v>
      </c>
      <c r="D701" s="1" t="str">
        <f>"1240"</f>
        <v>1240</v>
      </c>
      <c r="E701" s="1" t="s">
        <v>1800</v>
      </c>
      <c r="F701" s="1" t="s">
        <v>1801</v>
      </c>
      <c r="G701" s="1" t="s">
        <v>16</v>
      </c>
      <c r="H701" s="1" t="str">
        <f>"1"</f>
        <v>1</v>
      </c>
      <c r="I701" s="2">
        <v>8969.5400000000009</v>
      </c>
      <c r="J701" s="3">
        <v>46134</v>
      </c>
      <c r="K701" s="1" t="s">
        <v>1806</v>
      </c>
    </row>
    <row r="702" spans="1:11" x14ac:dyDescent="0.35">
      <c r="A702" s="1" t="s">
        <v>1684</v>
      </c>
      <c r="B702" s="1" t="s">
        <v>1798</v>
      </c>
      <c r="C702" s="1" t="s">
        <v>1803</v>
      </c>
      <c r="D702" s="1" t="str">
        <f>"1240"</f>
        <v>1240</v>
      </c>
      <c r="E702" s="1" t="str">
        <f>"015846306"</f>
        <v>015846306</v>
      </c>
      <c r="F702" s="1" t="s">
        <v>1103</v>
      </c>
      <c r="G702" s="1" t="s">
        <v>16</v>
      </c>
      <c r="H702" s="1" t="str">
        <f>"20"</f>
        <v>20</v>
      </c>
      <c r="I702" s="2">
        <v>776.43</v>
      </c>
      <c r="J702" s="3">
        <v>46141</v>
      </c>
      <c r="K702" s="1" t="s">
        <v>1804</v>
      </c>
    </row>
    <row r="703" spans="1:11" x14ac:dyDescent="0.35">
      <c r="A703" s="1" t="s">
        <v>1684</v>
      </c>
      <c r="B703" s="1" t="s">
        <v>1685</v>
      </c>
      <c r="C703" s="1" t="s">
        <v>1686</v>
      </c>
      <c r="D703" s="1" t="str">
        <f>"1385"</f>
        <v>1385</v>
      </c>
      <c r="E703" s="1" t="str">
        <f>"015785490"</f>
        <v>015785490</v>
      </c>
      <c r="F703" s="1" t="s">
        <v>1687</v>
      </c>
      <c r="G703" s="1" t="s">
        <v>16</v>
      </c>
      <c r="H703" s="1" t="str">
        <f>"2"</f>
        <v>2</v>
      </c>
      <c r="I703" s="2" t="str">
        <f>"213686"</f>
        <v>213686</v>
      </c>
      <c r="J703" s="3">
        <v>46142</v>
      </c>
      <c r="K703" s="1" t="s">
        <v>1688</v>
      </c>
    </row>
    <row r="704" spans="1:11" x14ac:dyDescent="0.35">
      <c r="A704" s="1" t="s">
        <v>1684</v>
      </c>
      <c r="B704" s="1" t="s">
        <v>1685</v>
      </c>
      <c r="C704" s="1" t="s">
        <v>1689</v>
      </c>
      <c r="D704" s="1" t="str">
        <f>"1385"</f>
        <v>1385</v>
      </c>
      <c r="E704" s="1" t="str">
        <f>"015687000"</f>
        <v>015687000</v>
      </c>
      <c r="F704" s="1" t="s">
        <v>1690</v>
      </c>
      <c r="G704" s="1" t="s">
        <v>215</v>
      </c>
      <c r="H704" s="1" t="str">
        <f>"1"</f>
        <v>1</v>
      </c>
      <c r="I704" s="2" t="str">
        <f>"26063"</f>
        <v>26063</v>
      </c>
      <c r="J704" s="3">
        <v>46142</v>
      </c>
      <c r="K704" s="1" t="s">
        <v>1691</v>
      </c>
    </row>
    <row r="705" spans="1:11" x14ac:dyDescent="0.35">
      <c r="A705" s="1" t="s">
        <v>1684</v>
      </c>
      <c r="B705" s="1" t="s">
        <v>1685</v>
      </c>
      <c r="C705" s="1" t="s">
        <v>1692</v>
      </c>
      <c r="D705" s="1" t="str">
        <f>"1550"</f>
        <v>1550</v>
      </c>
      <c r="E705" s="1" t="str">
        <f>"016215533"</f>
        <v>016215533</v>
      </c>
      <c r="F705" s="1" t="s">
        <v>1417</v>
      </c>
      <c r="G705" s="1" t="s">
        <v>16</v>
      </c>
      <c r="H705" s="1" t="str">
        <f>"1"</f>
        <v>1</v>
      </c>
      <c r="I705" s="2" t="str">
        <f>"168000"</f>
        <v>168000</v>
      </c>
      <c r="J705" s="3">
        <v>46142</v>
      </c>
      <c r="K705" s="1" t="s">
        <v>1693</v>
      </c>
    </row>
    <row r="706" spans="1:11" x14ac:dyDescent="0.35">
      <c r="A706" s="1" t="s">
        <v>1684</v>
      </c>
      <c r="B706" s="1" t="s">
        <v>1685</v>
      </c>
      <c r="C706" s="1" t="s">
        <v>1694</v>
      </c>
      <c r="D706" s="1" t="str">
        <f>"2360"</f>
        <v>2360</v>
      </c>
      <c r="E706" s="1" t="str">
        <f>"015900772"</f>
        <v>015900772</v>
      </c>
      <c r="F706" s="1" t="s">
        <v>1695</v>
      </c>
      <c r="G706" s="1" t="s">
        <v>16</v>
      </c>
      <c r="H706" s="1" t="str">
        <f>"1"</f>
        <v>1</v>
      </c>
      <c r="I706" s="2" t="str">
        <f>"232404"</f>
        <v>232404</v>
      </c>
      <c r="J706" s="3">
        <v>46142</v>
      </c>
      <c r="K706" s="1" t="s">
        <v>1696</v>
      </c>
    </row>
    <row r="707" spans="1:11" x14ac:dyDescent="0.35">
      <c r="A707" s="1" t="s">
        <v>1684</v>
      </c>
      <c r="B707" s="1" t="s">
        <v>1685</v>
      </c>
      <c r="C707" s="1" t="s">
        <v>1697</v>
      </c>
      <c r="D707" s="1" t="str">
        <f>"5855"</f>
        <v>5855</v>
      </c>
      <c r="E707" s="1" t="str">
        <f>"015836496"</f>
        <v>015836496</v>
      </c>
      <c r="F707" s="1" t="s">
        <v>1698</v>
      </c>
      <c r="G707" s="1" t="s">
        <v>16</v>
      </c>
      <c r="H707" s="1" t="str">
        <f>"1"</f>
        <v>1</v>
      </c>
      <c r="I707" s="2" t="str">
        <f>"103000"</f>
        <v>103000</v>
      </c>
      <c r="J707" s="3">
        <v>46142</v>
      </c>
      <c r="K707" s="1" t="s">
        <v>1699</v>
      </c>
    </row>
    <row r="708" spans="1:11" x14ac:dyDescent="0.35">
      <c r="A708" s="1" t="s">
        <v>1684</v>
      </c>
      <c r="B708" s="1" t="s">
        <v>1685</v>
      </c>
      <c r="C708" s="1" t="s">
        <v>1702</v>
      </c>
      <c r="D708" s="1" t="str">
        <f>"6115"</f>
        <v>6115</v>
      </c>
      <c r="E708" s="1" t="str">
        <f>"012747387"</f>
        <v>012747387</v>
      </c>
      <c r="F708" s="1" t="s">
        <v>1390</v>
      </c>
      <c r="G708" s="1" t="s">
        <v>16</v>
      </c>
      <c r="H708" s="1" t="str">
        <f>"1"</f>
        <v>1</v>
      </c>
      <c r="I708" s="2">
        <v>12797.7</v>
      </c>
      <c r="J708" s="3">
        <v>46142</v>
      </c>
      <c r="K708" s="1" t="s">
        <v>1703</v>
      </c>
    </row>
    <row r="709" spans="1:11" x14ac:dyDescent="0.35">
      <c r="A709" s="1" t="s">
        <v>1684</v>
      </c>
      <c r="B709" s="1" t="s">
        <v>1685</v>
      </c>
      <c r="C709" s="1" t="s">
        <v>1704</v>
      </c>
      <c r="D709" s="1" t="str">
        <f>"6115"</f>
        <v>6115</v>
      </c>
      <c r="E709" s="1" t="str">
        <f>"012747387"</f>
        <v>012747387</v>
      </c>
      <c r="F709" s="1" t="s">
        <v>1390</v>
      </c>
      <c r="G709" s="1" t="s">
        <v>16</v>
      </c>
      <c r="H709" s="1" t="str">
        <f>"2"</f>
        <v>2</v>
      </c>
      <c r="I709" s="2">
        <v>12797.7</v>
      </c>
      <c r="J709" s="3">
        <v>46142</v>
      </c>
      <c r="K709" s="1" t="s">
        <v>1703</v>
      </c>
    </row>
    <row r="710" spans="1:11" x14ac:dyDescent="0.35">
      <c r="A710" s="1" t="s">
        <v>1684</v>
      </c>
      <c r="B710" s="1" t="s">
        <v>1685</v>
      </c>
      <c r="C710" s="1" t="s">
        <v>1711</v>
      </c>
      <c r="D710" s="1" t="str">
        <f>"8115"</f>
        <v>8115</v>
      </c>
      <c r="E710" s="1" t="s">
        <v>483</v>
      </c>
      <c r="F710" s="1" t="s">
        <v>484</v>
      </c>
      <c r="G710" s="1" t="s">
        <v>16</v>
      </c>
      <c r="H710" s="1" t="str">
        <f>"1"</f>
        <v>1</v>
      </c>
      <c r="I710" s="2" t="str">
        <f>"300"</f>
        <v>300</v>
      </c>
      <c r="J710" s="3">
        <v>46142</v>
      </c>
      <c r="K710" s="1" t="s">
        <v>1712</v>
      </c>
    </row>
    <row r="711" spans="1:11" x14ac:dyDescent="0.35">
      <c r="A711" s="1" t="s">
        <v>1684</v>
      </c>
      <c r="B711" s="1" t="s">
        <v>1685</v>
      </c>
      <c r="C711" s="1" t="s">
        <v>1713</v>
      </c>
      <c r="D711" s="1" t="str">
        <f>"8145"</f>
        <v>8145</v>
      </c>
      <c r="E711" s="1" t="s">
        <v>489</v>
      </c>
      <c r="F711" s="1" t="s">
        <v>490</v>
      </c>
      <c r="G711" s="1" t="s">
        <v>16</v>
      </c>
      <c r="H711" s="1" t="str">
        <f>"3"</f>
        <v>3</v>
      </c>
      <c r="I711" s="2" t="str">
        <f>"50"</f>
        <v>50</v>
      </c>
      <c r="J711" s="3">
        <v>46142</v>
      </c>
      <c r="K711" s="1" t="s">
        <v>1714</v>
      </c>
    </row>
    <row r="712" spans="1:11" x14ac:dyDescent="0.35">
      <c r="A712" s="1" t="s">
        <v>1684</v>
      </c>
      <c r="B712" s="1" t="s">
        <v>1685</v>
      </c>
      <c r="C712" s="1" t="s">
        <v>1715</v>
      </c>
      <c r="D712" s="1" t="str">
        <f>"8415"</f>
        <v>8415</v>
      </c>
      <c r="E712" s="1" t="str">
        <f>"015386747"</f>
        <v>015386747</v>
      </c>
      <c r="F712" s="1" t="s">
        <v>493</v>
      </c>
      <c r="G712" s="1" t="s">
        <v>16</v>
      </c>
      <c r="H712" s="1" t="str">
        <f>"1"</f>
        <v>1</v>
      </c>
      <c r="I712" s="2">
        <v>63.88</v>
      </c>
      <c r="J712" s="3">
        <v>46142</v>
      </c>
      <c r="K712" s="1" t="s">
        <v>1716</v>
      </c>
    </row>
    <row r="713" spans="1:11" x14ac:dyDescent="0.35">
      <c r="A713" s="1" t="s">
        <v>1684</v>
      </c>
      <c r="B713" s="1" t="s">
        <v>1685</v>
      </c>
      <c r="C713" s="1" t="s">
        <v>1717</v>
      </c>
      <c r="D713" s="1" t="str">
        <f>"8415"</f>
        <v>8415</v>
      </c>
      <c r="E713" s="1" t="str">
        <f>"015386289"</f>
        <v>015386289</v>
      </c>
      <c r="F713" s="1" t="s">
        <v>1718</v>
      </c>
      <c r="G713" s="1" t="s">
        <v>16</v>
      </c>
      <c r="H713" s="1" t="str">
        <f>"6"</f>
        <v>6</v>
      </c>
      <c r="I713" s="2">
        <v>137.97999999999999</v>
      </c>
      <c r="J713" s="3">
        <v>46142</v>
      </c>
      <c r="K713" s="1" t="s">
        <v>1716</v>
      </c>
    </row>
    <row r="714" spans="1:11" x14ac:dyDescent="0.35">
      <c r="A714" s="1" t="s">
        <v>1684</v>
      </c>
      <c r="B714" s="1" t="s">
        <v>1685</v>
      </c>
      <c r="C714" s="1" t="s">
        <v>1719</v>
      </c>
      <c r="D714" s="1" t="str">
        <f>"8415"</f>
        <v>8415</v>
      </c>
      <c r="E714" s="1" t="str">
        <f>"015386308"</f>
        <v>015386308</v>
      </c>
      <c r="F714" s="1" t="s">
        <v>1718</v>
      </c>
      <c r="G714" s="1" t="s">
        <v>16</v>
      </c>
      <c r="H714" s="1" t="str">
        <f>"2"</f>
        <v>2</v>
      </c>
      <c r="I714" s="2">
        <v>137.97999999999999</v>
      </c>
      <c r="J714" s="3">
        <v>46142</v>
      </c>
      <c r="K714" s="1" t="s">
        <v>1720</v>
      </c>
    </row>
    <row r="715" spans="1:11" x14ac:dyDescent="0.35">
      <c r="A715" s="1" t="s">
        <v>1684</v>
      </c>
      <c r="B715" s="1" t="s">
        <v>1685</v>
      </c>
      <c r="C715" s="1" t="s">
        <v>1721</v>
      </c>
      <c r="D715" s="1" t="str">
        <f>"8415"</f>
        <v>8415</v>
      </c>
      <c r="E715" s="1" t="str">
        <f>"015386315"</f>
        <v>015386315</v>
      </c>
      <c r="F715" s="1" t="s">
        <v>1718</v>
      </c>
      <c r="G715" s="1" t="s">
        <v>16</v>
      </c>
      <c r="H715" s="1" t="str">
        <f>"1"</f>
        <v>1</v>
      </c>
      <c r="I715" s="2">
        <v>137.97999999999999</v>
      </c>
      <c r="J715" s="3">
        <v>46142</v>
      </c>
      <c r="K715" s="1" t="s">
        <v>1722</v>
      </c>
    </row>
    <row r="716" spans="1:11" x14ac:dyDescent="0.35">
      <c r="A716" s="1" t="s">
        <v>1684</v>
      </c>
      <c r="B716" s="1" t="s">
        <v>1685</v>
      </c>
      <c r="C716" s="1" t="s">
        <v>1733</v>
      </c>
      <c r="D716" s="1" t="str">
        <f>"8415"</f>
        <v>8415</v>
      </c>
      <c r="E716" s="1" t="str">
        <f>"015386278"</f>
        <v>015386278</v>
      </c>
      <c r="F716" s="1" t="s">
        <v>1718</v>
      </c>
      <c r="G716" s="1" t="s">
        <v>16</v>
      </c>
      <c r="H716" s="1" t="str">
        <f>"1"</f>
        <v>1</v>
      </c>
      <c r="I716" s="2">
        <v>137.97999999999999</v>
      </c>
      <c r="J716" s="3">
        <v>46142</v>
      </c>
      <c r="K716" s="1" t="s">
        <v>1716</v>
      </c>
    </row>
    <row r="717" spans="1:11" x14ac:dyDescent="0.35">
      <c r="A717" s="1" t="s">
        <v>1684</v>
      </c>
      <c r="B717" s="1" t="s">
        <v>1685</v>
      </c>
      <c r="C717" s="1" t="s">
        <v>1734</v>
      </c>
      <c r="D717" s="1" t="str">
        <f>"8415"</f>
        <v>8415</v>
      </c>
      <c r="E717" s="1" t="str">
        <f>"015386742"</f>
        <v>015386742</v>
      </c>
      <c r="F717" s="1" t="s">
        <v>493</v>
      </c>
      <c r="G717" s="1" t="s">
        <v>16</v>
      </c>
      <c r="H717" s="1" t="str">
        <f>"1"</f>
        <v>1</v>
      </c>
      <c r="I717" s="2">
        <v>63.88</v>
      </c>
      <c r="J717" s="3">
        <v>46142</v>
      </c>
      <c r="K717" s="1" t="s">
        <v>1716</v>
      </c>
    </row>
    <row r="718" spans="1:11" x14ac:dyDescent="0.35">
      <c r="A718" s="1" t="s">
        <v>1684</v>
      </c>
      <c r="B718" s="1" t="s">
        <v>1685</v>
      </c>
      <c r="C718" s="1" t="s">
        <v>1735</v>
      </c>
      <c r="D718" s="1" t="str">
        <f>"8415"</f>
        <v>8415</v>
      </c>
      <c r="E718" s="1" t="str">
        <f>"015467444"</f>
        <v>015467444</v>
      </c>
      <c r="F718" s="1" t="s">
        <v>493</v>
      </c>
      <c r="G718" s="1" t="s">
        <v>16</v>
      </c>
      <c r="H718" s="1" t="str">
        <f>"1"</f>
        <v>1</v>
      </c>
      <c r="I718" s="2">
        <v>65.03</v>
      </c>
      <c r="J718" s="3">
        <v>46142</v>
      </c>
      <c r="K718" s="1" t="s">
        <v>1716</v>
      </c>
    </row>
    <row r="719" spans="1:11" x14ac:dyDescent="0.35">
      <c r="A719" s="1" t="s">
        <v>1684</v>
      </c>
      <c r="B719" s="1" t="s">
        <v>1685</v>
      </c>
      <c r="C719" s="1" t="s">
        <v>1736</v>
      </c>
      <c r="D719" s="1" t="str">
        <f>"8460"</f>
        <v>8460</v>
      </c>
      <c r="E719" s="1" t="str">
        <f>"014711035"</f>
        <v>014711035</v>
      </c>
      <c r="F719" s="1" t="s">
        <v>1737</v>
      </c>
      <c r="G719" s="1" t="s">
        <v>16</v>
      </c>
      <c r="H719" s="1" t="str">
        <f>"1"</f>
        <v>1</v>
      </c>
      <c r="I719" s="2">
        <v>117.21</v>
      </c>
      <c r="J719" s="3">
        <v>46142</v>
      </c>
      <c r="K719" s="1" t="s">
        <v>1738</v>
      </c>
    </row>
    <row r="720" spans="1:11" x14ac:dyDescent="0.35">
      <c r="A720" s="1" t="s">
        <v>1684</v>
      </c>
      <c r="B720" s="1" t="s">
        <v>1685</v>
      </c>
      <c r="C720" s="1" t="s">
        <v>1739</v>
      </c>
      <c r="D720" s="1" t="str">
        <f>"8460"</f>
        <v>8460</v>
      </c>
      <c r="E720" s="1" t="s">
        <v>1740</v>
      </c>
      <c r="F720" s="1" t="s">
        <v>1741</v>
      </c>
      <c r="G720" s="1" t="s">
        <v>16</v>
      </c>
      <c r="H720" s="1" t="str">
        <f>"1"</f>
        <v>1</v>
      </c>
      <c r="I720" s="2">
        <v>28.3</v>
      </c>
      <c r="J720" s="3">
        <v>46142</v>
      </c>
      <c r="K720" s="1" t="s">
        <v>1742</v>
      </c>
    </row>
    <row r="721" spans="1:11" x14ac:dyDescent="0.35">
      <c r="A721" s="1" t="s">
        <v>1684</v>
      </c>
      <c r="B721" s="1" t="s">
        <v>1685</v>
      </c>
      <c r="C721" s="1" t="s">
        <v>1746</v>
      </c>
      <c r="D721" s="1" t="str">
        <f>"8465"</f>
        <v>8465</v>
      </c>
      <c r="E721" s="1" t="str">
        <f>"015800481"</f>
        <v>015800481</v>
      </c>
      <c r="F721" s="1" t="s">
        <v>1747</v>
      </c>
      <c r="G721" s="1" t="s">
        <v>458</v>
      </c>
      <c r="H721" s="1" t="str">
        <f>"1"</f>
        <v>1</v>
      </c>
      <c r="I721" s="2">
        <v>295.23</v>
      </c>
      <c r="J721" s="3">
        <v>46142</v>
      </c>
      <c r="K721" s="1" t="s">
        <v>1748</v>
      </c>
    </row>
    <row r="722" spans="1:11" x14ac:dyDescent="0.35">
      <c r="A722" s="1" t="s">
        <v>1684</v>
      </c>
      <c r="B722" s="1" t="s">
        <v>1685</v>
      </c>
      <c r="C722" s="1" t="s">
        <v>1749</v>
      </c>
      <c r="D722" s="1" t="str">
        <f>"8465"</f>
        <v>8465</v>
      </c>
      <c r="E722" s="1" t="str">
        <f>"015851512"</f>
        <v>015851512</v>
      </c>
      <c r="F722" s="1" t="s">
        <v>1750</v>
      </c>
      <c r="G722" s="1" t="s">
        <v>458</v>
      </c>
      <c r="H722" s="1" t="str">
        <f>"24"</f>
        <v>24</v>
      </c>
      <c r="I722" s="2">
        <v>115.92</v>
      </c>
      <c r="J722" s="3">
        <v>46142</v>
      </c>
      <c r="K722" s="1" t="s">
        <v>1751</v>
      </c>
    </row>
    <row r="723" spans="1:11" x14ac:dyDescent="0.35">
      <c r="A723" s="1" t="s">
        <v>1684</v>
      </c>
      <c r="B723" s="1" t="s">
        <v>1685</v>
      </c>
      <c r="C723" s="1" t="s">
        <v>1752</v>
      </c>
      <c r="D723" s="1" t="str">
        <f>"8465"</f>
        <v>8465</v>
      </c>
      <c r="E723" s="1" t="str">
        <f>"016065624"</f>
        <v>016065624</v>
      </c>
      <c r="F723" s="1" t="s">
        <v>1753</v>
      </c>
      <c r="G723" s="1" t="s">
        <v>16</v>
      </c>
      <c r="H723" s="1" t="str">
        <f>"1"</f>
        <v>1</v>
      </c>
      <c r="I723" s="2">
        <v>86.1</v>
      </c>
      <c r="J723" s="3">
        <v>46142</v>
      </c>
      <c r="K723" s="1" t="s">
        <v>1754</v>
      </c>
    </row>
    <row r="724" spans="1:11" x14ac:dyDescent="0.35">
      <c r="A724" s="1" t="s">
        <v>1684</v>
      </c>
      <c r="B724" s="1" t="s">
        <v>1685</v>
      </c>
      <c r="C724" s="1" t="s">
        <v>1755</v>
      </c>
      <c r="D724" s="1" t="str">
        <f>"8465"</f>
        <v>8465</v>
      </c>
      <c r="E724" s="1" t="s">
        <v>1147</v>
      </c>
      <c r="F724" s="1" t="s">
        <v>1148</v>
      </c>
      <c r="G724" s="1" t="s">
        <v>16</v>
      </c>
      <c r="H724" s="1" t="str">
        <f>"1"</f>
        <v>1</v>
      </c>
      <c r="I724" s="2">
        <v>5.28</v>
      </c>
      <c r="J724" s="3">
        <v>46142</v>
      </c>
      <c r="K724" s="1" t="s">
        <v>1756</v>
      </c>
    </row>
    <row r="725" spans="1:11" x14ac:dyDescent="0.35">
      <c r="A725" s="1" t="s">
        <v>1684</v>
      </c>
      <c r="B725" s="1" t="s">
        <v>1685</v>
      </c>
      <c r="C725" s="1" t="s">
        <v>1757</v>
      </c>
      <c r="D725" s="1" t="str">
        <f>"8465"</f>
        <v>8465</v>
      </c>
      <c r="E725" s="1" t="s">
        <v>1758</v>
      </c>
      <c r="F725" s="1" t="s">
        <v>1759</v>
      </c>
      <c r="G725" s="1" t="s">
        <v>16</v>
      </c>
      <c r="H725" s="1" t="str">
        <f>"1"</f>
        <v>1</v>
      </c>
      <c r="I725" s="2" t="str">
        <f>"1"</f>
        <v>1</v>
      </c>
      <c r="J725" s="3">
        <v>46142</v>
      </c>
      <c r="K725" s="1" t="s">
        <v>1760</v>
      </c>
    </row>
    <row r="726" spans="1:11" x14ac:dyDescent="0.35">
      <c r="A726" s="1" t="s">
        <v>1684</v>
      </c>
      <c r="B726" s="1" t="s">
        <v>1685</v>
      </c>
      <c r="C726" s="1" t="s">
        <v>1761</v>
      </c>
      <c r="D726" s="1" t="str">
        <f>"8465"</f>
        <v>8465</v>
      </c>
      <c r="E726" s="1" t="s">
        <v>1758</v>
      </c>
      <c r="F726" s="1" t="s">
        <v>1759</v>
      </c>
      <c r="G726" s="1" t="s">
        <v>16</v>
      </c>
      <c r="H726" s="1" t="str">
        <f>"1"</f>
        <v>1</v>
      </c>
      <c r="I726" s="2">
        <v>22.62</v>
      </c>
      <c r="J726" s="3">
        <v>46142</v>
      </c>
      <c r="K726" s="1" t="s">
        <v>1760</v>
      </c>
    </row>
    <row r="727" spans="1:11" x14ac:dyDescent="0.35">
      <c r="A727" s="1" t="s">
        <v>1684</v>
      </c>
      <c r="B727" s="1" t="s">
        <v>1685</v>
      </c>
      <c r="C727" s="1" t="s">
        <v>1762</v>
      </c>
      <c r="D727" s="1" t="str">
        <f>"8465"</f>
        <v>8465</v>
      </c>
      <c r="E727" s="1" t="s">
        <v>1758</v>
      </c>
      <c r="F727" s="1" t="s">
        <v>1759</v>
      </c>
      <c r="G727" s="1" t="s">
        <v>16</v>
      </c>
      <c r="H727" s="1" t="str">
        <f>"1"</f>
        <v>1</v>
      </c>
      <c r="I727" s="2">
        <v>22.62</v>
      </c>
      <c r="J727" s="3">
        <v>46142</v>
      </c>
      <c r="K727" s="1" t="s">
        <v>1760</v>
      </c>
    </row>
    <row r="728" spans="1:11" x14ac:dyDescent="0.35">
      <c r="A728" s="1" t="s">
        <v>1684</v>
      </c>
      <c r="B728" s="1" t="s">
        <v>1685</v>
      </c>
      <c r="C728" s="1" t="s">
        <v>1763</v>
      </c>
      <c r="D728" s="1" t="str">
        <f>"8465"</f>
        <v>8465</v>
      </c>
      <c r="E728" s="1" t="s">
        <v>1758</v>
      </c>
      <c r="F728" s="1" t="s">
        <v>1759</v>
      </c>
      <c r="G728" s="1" t="s">
        <v>16</v>
      </c>
      <c r="H728" s="1" t="str">
        <f>"1"</f>
        <v>1</v>
      </c>
      <c r="I728" s="2">
        <v>22.62</v>
      </c>
      <c r="J728" s="3">
        <v>46142</v>
      </c>
      <c r="K728" s="1" t="s">
        <v>1760</v>
      </c>
    </row>
    <row r="729" spans="1:11" x14ac:dyDescent="0.35">
      <c r="A729" s="1" t="s">
        <v>1684</v>
      </c>
      <c r="B729" s="1" t="s">
        <v>1685</v>
      </c>
      <c r="C729" s="1" t="s">
        <v>1764</v>
      </c>
      <c r="D729" s="1" t="str">
        <f>"8465"</f>
        <v>8465</v>
      </c>
      <c r="E729" s="1" t="s">
        <v>1758</v>
      </c>
      <c r="F729" s="1" t="s">
        <v>1759</v>
      </c>
      <c r="G729" s="1" t="s">
        <v>16</v>
      </c>
      <c r="H729" s="1" t="str">
        <f>"1"</f>
        <v>1</v>
      </c>
      <c r="I729" s="2" t="str">
        <f>"1"</f>
        <v>1</v>
      </c>
      <c r="J729" s="3">
        <v>46142</v>
      </c>
      <c r="K729" s="1" t="s">
        <v>1760</v>
      </c>
    </row>
    <row r="730" spans="1:11" x14ac:dyDescent="0.35">
      <c r="A730" s="1" t="s">
        <v>1684</v>
      </c>
      <c r="B730" s="1" t="s">
        <v>1798</v>
      </c>
      <c r="C730" s="1" t="s">
        <v>1799</v>
      </c>
      <c r="D730" s="1" t="str">
        <f>"1240"</f>
        <v>1240</v>
      </c>
      <c r="E730" s="1" t="s">
        <v>1800</v>
      </c>
      <c r="F730" s="1" t="s">
        <v>1801</v>
      </c>
      <c r="G730" s="1" t="s">
        <v>16</v>
      </c>
      <c r="H730" s="1" t="str">
        <f>"1"</f>
        <v>1</v>
      </c>
      <c r="I730" s="2" t="str">
        <f>"2500"</f>
        <v>2500</v>
      </c>
      <c r="J730" s="3">
        <v>46142</v>
      </c>
      <c r="K730" s="1" t="s">
        <v>1802</v>
      </c>
    </row>
    <row r="731" spans="1:11" x14ac:dyDescent="0.35">
      <c r="A731" s="1" t="s">
        <v>1684</v>
      </c>
      <c r="B731" s="1" t="s">
        <v>1798</v>
      </c>
      <c r="C731" s="1" t="s">
        <v>1830</v>
      </c>
      <c r="D731" s="1" t="str">
        <f>"5855"</f>
        <v>5855</v>
      </c>
      <c r="E731" s="1" t="str">
        <f>"015330940"</f>
        <v>015330940</v>
      </c>
      <c r="F731" s="1" t="s">
        <v>175</v>
      </c>
      <c r="G731" s="1" t="s">
        <v>16</v>
      </c>
      <c r="H731" s="1" t="str">
        <f>"1"</f>
        <v>1</v>
      </c>
      <c r="I731" s="2" t="str">
        <f>"5000"</f>
        <v>5000</v>
      </c>
      <c r="J731" s="3">
        <v>46142</v>
      </c>
      <c r="K731" s="1" t="s">
        <v>1831</v>
      </c>
    </row>
    <row r="732" spans="1:11" x14ac:dyDescent="0.35">
      <c r="A732" s="1" t="s">
        <v>1684</v>
      </c>
      <c r="B732" s="1" t="s">
        <v>1798</v>
      </c>
      <c r="C732" s="1" t="s">
        <v>1814</v>
      </c>
      <c r="D732" s="1" t="str">
        <f>"5855"</f>
        <v>5855</v>
      </c>
      <c r="E732" s="1" t="str">
        <f>"014165085"</f>
        <v>014165085</v>
      </c>
      <c r="F732" s="1" t="s">
        <v>1770</v>
      </c>
      <c r="G732" s="1" t="s">
        <v>16</v>
      </c>
      <c r="H732" s="1" t="str">
        <f>"1"</f>
        <v>1</v>
      </c>
      <c r="I732" s="2">
        <v>6655.86</v>
      </c>
      <c r="J732" s="3">
        <v>46160</v>
      </c>
      <c r="K732" s="1" t="s">
        <v>1815</v>
      </c>
    </row>
    <row r="733" spans="1:11" x14ac:dyDescent="0.35">
      <c r="A733" s="1" t="s">
        <v>1684</v>
      </c>
      <c r="B733" s="1" t="s">
        <v>1782</v>
      </c>
      <c r="C733" s="1" t="s">
        <v>1783</v>
      </c>
      <c r="D733" s="1" t="str">
        <f>"6220"</f>
        <v>6220</v>
      </c>
      <c r="E733" s="1" t="str">
        <f>"011931970"</f>
        <v>011931970</v>
      </c>
      <c r="F733" s="1" t="s">
        <v>1784</v>
      </c>
      <c r="G733" s="1" t="s">
        <v>16</v>
      </c>
      <c r="H733" s="1" t="str">
        <f>"4"</f>
        <v>4</v>
      </c>
      <c r="I733" s="2">
        <v>83.89</v>
      </c>
      <c r="J733" s="3">
        <v>46162</v>
      </c>
      <c r="K733" s="1" t="s">
        <v>1785</v>
      </c>
    </row>
    <row r="734" spans="1:11" x14ac:dyDescent="0.35">
      <c r="A734" s="1" t="s">
        <v>1684</v>
      </c>
      <c r="B734" s="1" t="s">
        <v>1782</v>
      </c>
      <c r="C734" s="1" t="s">
        <v>1786</v>
      </c>
      <c r="D734" s="1" t="str">
        <f>"6230"</f>
        <v>6230</v>
      </c>
      <c r="E734" s="1" t="str">
        <f>"016134312"</f>
        <v>016134312</v>
      </c>
      <c r="F734" s="1" t="s">
        <v>230</v>
      </c>
      <c r="G734" s="1" t="s">
        <v>16</v>
      </c>
      <c r="H734" s="1" t="str">
        <f>"2"</f>
        <v>2</v>
      </c>
      <c r="I734" s="2">
        <v>92.96</v>
      </c>
      <c r="J734" s="3">
        <v>46162</v>
      </c>
      <c r="K734" s="1" t="s">
        <v>1787</v>
      </c>
    </row>
    <row r="735" spans="1:11" x14ac:dyDescent="0.35">
      <c r="A735" s="1" t="s">
        <v>1684</v>
      </c>
      <c r="B735" s="1" t="s">
        <v>1782</v>
      </c>
      <c r="C735" s="1" t="s">
        <v>1788</v>
      </c>
      <c r="D735" s="1" t="str">
        <f>"6230"</f>
        <v>6230</v>
      </c>
      <c r="E735" s="1" t="str">
        <f>"014118535"</f>
        <v>014118535</v>
      </c>
      <c r="F735" s="1" t="s">
        <v>1789</v>
      </c>
      <c r="G735" s="1" t="s">
        <v>16</v>
      </c>
      <c r="H735" s="1" t="str">
        <f>"6"</f>
        <v>6</v>
      </c>
      <c r="I735" s="2">
        <v>117.38</v>
      </c>
      <c r="J735" s="3">
        <v>46162</v>
      </c>
      <c r="K735" s="1" t="s">
        <v>1790</v>
      </c>
    </row>
    <row r="736" spans="1:11" x14ac:dyDescent="0.35">
      <c r="A736" s="1" t="s">
        <v>1684</v>
      </c>
      <c r="B736" s="1" t="s">
        <v>1782</v>
      </c>
      <c r="C736" s="1" t="s">
        <v>1791</v>
      </c>
      <c r="D736" s="1" t="str">
        <f>"8465"</f>
        <v>8465</v>
      </c>
      <c r="E736" s="1" t="str">
        <f>"015291712"</f>
        <v>015291712</v>
      </c>
      <c r="F736" s="1" t="s">
        <v>1792</v>
      </c>
      <c r="G736" s="1" t="s">
        <v>16</v>
      </c>
      <c r="H736" s="1" t="str">
        <f>"6"</f>
        <v>6</v>
      </c>
      <c r="I736" s="2">
        <v>79.790000000000006</v>
      </c>
      <c r="J736" s="3">
        <v>46162</v>
      </c>
      <c r="K736" s="1" t="s">
        <v>1793</v>
      </c>
    </row>
    <row r="737" spans="1:11" x14ac:dyDescent="0.35">
      <c r="A737" s="1" t="s">
        <v>1684</v>
      </c>
      <c r="B737" s="1" t="s">
        <v>1782</v>
      </c>
      <c r="C737" s="1" t="s">
        <v>1794</v>
      </c>
      <c r="D737" s="1" t="str">
        <f>"8465"</f>
        <v>8465</v>
      </c>
      <c r="E737" s="1" t="str">
        <f>"016007870"</f>
        <v>016007870</v>
      </c>
      <c r="F737" s="1" t="s">
        <v>262</v>
      </c>
      <c r="G737" s="1" t="s">
        <v>16</v>
      </c>
      <c r="H737" s="1" t="str">
        <f>"4"</f>
        <v>4</v>
      </c>
      <c r="I737" s="2">
        <v>51.91</v>
      </c>
      <c r="J737" s="3">
        <v>46162</v>
      </c>
      <c r="K737" s="1" t="s">
        <v>1795</v>
      </c>
    </row>
    <row r="738" spans="1:11" x14ac:dyDescent="0.35">
      <c r="A738" s="1" t="s">
        <v>1684</v>
      </c>
      <c r="B738" s="1" t="s">
        <v>1782</v>
      </c>
      <c r="C738" s="1" t="s">
        <v>1796</v>
      </c>
      <c r="D738" s="1" t="str">
        <f>"8465"</f>
        <v>8465</v>
      </c>
      <c r="E738" s="1" t="str">
        <f>"016007830"</f>
        <v>016007830</v>
      </c>
      <c r="F738" s="1" t="s">
        <v>259</v>
      </c>
      <c r="G738" s="1" t="s">
        <v>16</v>
      </c>
      <c r="H738" s="1" t="str">
        <f>"4"</f>
        <v>4</v>
      </c>
      <c r="I738" s="2">
        <v>123.43</v>
      </c>
      <c r="J738" s="3">
        <v>46162</v>
      </c>
      <c r="K738" s="1" t="s">
        <v>1797</v>
      </c>
    </row>
    <row r="739" spans="1:11" x14ac:dyDescent="0.35">
      <c r="A739" s="1" t="s">
        <v>1684</v>
      </c>
      <c r="B739" s="1" t="s">
        <v>1798</v>
      </c>
      <c r="C739" s="1" t="s">
        <v>1816</v>
      </c>
      <c r="D739" s="1" t="str">
        <f>"5855"</f>
        <v>5855</v>
      </c>
      <c r="E739" s="1" t="str">
        <f>"016910312"</f>
        <v>016910312</v>
      </c>
      <c r="F739" s="1" t="s">
        <v>1817</v>
      </c>
      <c r="G739" s="1" t="s">
        <v>16</v>
      </c>
      <c r="H739" s="1" t="str">
        <f>"1"</f>
        <v>1</v>
      </c>
      <c r="I739" s="2">
        <v>2665.55</v>
      </c>
      <c r="J739" s="3">
        <v>46163</v>
      </c>
      <c r="K739" s="1" t="s">
        <v>1818</v>
      </c>
    </row>
    <row r="740" spans="1:11" x14ac:dyDescent="0.35">
      <c r="A740" s="1" t="s">
        <v>1684</v>
      </c>
      <c r="B740" s="1" t="s">
        <v>1765</v>
      </c>
      <c r="C740" s="1" t="s">
        <v>1766</v>
      </c>
      <c r="D740" s="1" t="str">
        <f>"5830"</f>
        <v>5830</v>
      </c>
      <c r="E740" s="1" t="str">
        <f>"016708863"</f>
        <v>016708863</v>
      </c>
      <c r="F740" s="1" t="s">
        <v>1767</v>
      </c>
      <c r="G740" s="1" t="s">
        <v>16</v>
      </c>
      <c r="H740" s="1" t="str">
        <f>"1"</f>
        <v>1</v>
      </c>
      <c r="I740" s="2" t="str">
        <f>"27775"</f>
        <v>27775</v>
      </c>
      <c r="J740" s="3">
        <v>46171</v>
      </c>
      <c r="K740" s="1" t="s">
        <v>1768</v>
      </c>
    </row>
    <row r="741" spans="1:11" x14ac:dyDescent="0.35">
      <c r="A741" s="1" t="s">
        <v>1684</v>
      </c>
      <c r="B741" s="1" t="s">
        <v>1765</v>
      </c>
      <c r="C741" s="1" t="s">
        <v>1772</v>
      </c>
      <c r="D741" s="1" t="str">
        <f>"7050"</f>
        <v>7050</v>
      </c>
      <c r="E741" s="1" t="s">
        <v>1773</v>
      </c>
      <c r="F741" s="1" t="s">
        <v>1774</v>
      </c>
      <c r="G741" s="1" t="s">
        <v>16</v>
      </c>
      <c r="H741" s="1" t="str">
        <f>"2"</f>
        <v>2</v>
      </c>
      <c r="I741" s="2">
        <v>131.62</v>
      </c>
      <c r="J741" s="3">
        <v>46171</v>
      </c>
      <c r="K741" s="1" t="s">
        <v>1775</v>
      </c>
    </row>
    <row r="742" spans="1:11" x14ac:dyDescent="0.35">
      <c r="A742" s="1" t="s">
        <v>1684</v>
      </c>
      <c r="B742" s="1" t="s">
        <v>1765</v>
      </c>
      <c r="C742" s="1" t="s">
        <v>1776</v>
      </c>
      <c r="D742" s="1" t="str">
        <f>"8430"</f>
        <v>8430</v>
      </c>
      <c r="E742" s="1" t="str">
        <f>"014344789"</f>
        <v>014344789</v>
      </c>
      <c r="F742" s="1" t="s">
        <v>1777</v>
      </c>
      <c r="G742" s="1" t="s">
        <v>311</v>
      </c>
      <c r="H742" s="1" t="str">
        <f>"15"</f>
        <v>15</v>
      </c>
      <c r="I742" s="2">
        <v>81.680000000000007</v>
      </c>
      <c r="J742" s="3">
        <v>46171</v>
      </c>
      <c r="K742" s="1" t="s">
        <v>1778</v>
      </c>
    </row>
    <row r="743" spans="1:11" x14ac:dyDescent="0.35">
      <c r="A743" s="1" t="s">
        <v>1684</v>
      </c>
      <c r="B743" s="1" t="s">
        <v>1765</v>
      </c>
      <c r="C743" s="1" t="s">
        <v>1779</v>
      </c>
      <c r="D743" s="1" t="str">
        <f>"8465"</f>
        <v>8465</v>
      </c>
      <c r="E743" s="1" t="str">
        <f>"015938664"</f>
        <v>015938664</v>
      </c>
      <c r="F743" s="1" t="s">
        <v>1780</v>
      </c>
      <c r="G743" s="1" t="s">
        <v>16</v>
      </c>
      <c r="H743" s="1" t="str">
        <f>"6"</f>
        <v>6</v>
      </c>
      <c r="I743" s="2">
        <v>75.17</v>
      </c>
      <c r="J743" s="3">
        <v>46171</v>
      </c>
      <c r="K743" s="1" t="s">
        <v>1781</v>
      </c>
    </row>
    <row r="744" spans="1:11" x14ac:dyDescent="0.35">
      <c r="A744" s="1" t="s">
        <v>1684</v>
      </c>
      <c r="B744" s="1" t="s">
        <v>1798</v>
      </c>
      <c r="C744" s="1" t="s">
        <v>1807</v>
      </c>
      <c r="D744" s="1" t="str">
        <f>"5855"</f>
        <v>5855</v>
      </c>
      <c r="E744" s="1" t="s">
        <v>1808</v>
      </c>
      <c r="F744" s="1" t="s">
        <v>1809</v>
      </c>
      <c r="G744" s="1" t="s">
        <v>16</v>
      </c>
      <c r="H744" s="1" t="str">
        <f>"10"</f>
        <v>10</v>
      </c>
      <c r="I744" s="2" t="str">
        <f>"5000"</f>
        <v>5000</v>
      </c>
      <c r="J744" s="3">
        <v>46176</v>
      </c>
      <c r="K744" s="1" t="s">
        <v>1810</v>
      </c>
    </row>
    <row r="745" spans="1:11" x14ac:dyDescent="0.35">
      <c r="A745" s="1" t="s">
        <v>1684</v>
      </c>
      <c r="B745" s="1" t="s">
        <v>1798</v>
      </c>
      <c r="C745" s="1" t="s">
        <v>1811</v>
      </c>
      <c r="D745" s="1" t="str">
        <f>"5855"</f>
        <v>5855</v>
      </c>
      <c r="E745" s="1" t="str">
        <f>"015279966"</f>
        <v>015279966</v>
      </c>
      <c r="F745" s="1" t="s">
        <v>1812</v>
      </c>
      <c r="G745" s="1" t="s">
        <v>16</v>
      </c>
      <c r="H745" s="1" t="str">
        <f>"9"</f>
        <v>9</v>
      </c>
      <c r="I745" s="2">
        <v>3134.5</v>
      </c>
      <c r="J745" s="3">
        <v>46176</v>
      </c>
      <c r="K745" s="1" t="s">
        <v>1813</v>
      </c>
    </row>
    <row r="746" spans="1:11" x14ac:dyDescent="0.35">
      <c r="A746" s="1" t="s">
        <v>1684</v>
      </c>
      <c r="B746" s="1" t="s">
        <v>1798</v>
      </c>
      <c r="C746" s="1" t="s">
        <v>1832</v>
      </c>
      <c r="D746" s="1" t="str">
        <f>"5855"</f>
        <v>5855</v>
      </c>
      <c r="E746" s="1" t="str">
        <f>"013637491"</f>
        <v>013637491</v>
      </c>
      <c r="F746" s="1" t="s">
        <v>1770</v>
      </c>
      <c r="G746" s="1" t="s">
        <v>16</v>
      </c>
      <c r="H746" s="1" t="str">
        <f>"1"</f>
        <v>1</v>
      </c>
      <c r="I746" s="2" t="str">
        <f>"6124"</f>
        <v>6124</v>
      </c>
      <c r="J746" s="3">
        <v>46176</v>
      </c>
      <c r="K746" s="1" t="s">
        <v>1833</v>
      </c>
    </row>
    <row r="747" spans="1:11" x14ac:dyDescent="0.35">
      <c r="A747" s="1" t="s">
        <v>1684</v>
      </c>
      <c r="B747" s="1" t="s">
        <v>1798</v>
      </c>
      <c r="C747" s="1" t="s">
        <v>1834</v>
      </c>
      <c r="D747" s="1" t="str">
        <f>"5855"</f>
        <v>5855</v>
      </c>
      <c r="E747" s="1" t="str">
        <f>"013637491"</f>
        <v>013637491</v>
      </c>
      <c r="F747" s="1" t="s">
        <v>1770</v>
      </c>
      <c r="G747" s="1" t="s">
        <v>16</v>
      </c>
      <c r="H747" s="1" t="str">
        <f>"1"</f>
        <v>1</v>
      </c>
      <c r="I747" s="2" t="str">
        <f>"6124"</f>
        <v>6124</v>
      </c>
      <c r="J747" s="3">
        <v>46176</v>
      </c>
      <c r="K747" s="1" t="s">
        <v>1833</v>
      </c>
    </row>
    <row r="748" spans="1:11" x14ac:dyDescent="0.35">
      <c r="A748" s="1" t="s">
        <v>1684</v>
      </c>
      <c r="B748" s="1" t="s">
        <v>1798</v>
      </c>
      <c r="C748" s="1" t="s">
        <v>1837</v>
      </c>
      <c r="D748" s="1" t="str">
        <f>"5855"</f>
        <v>5855</v>
      </c>
      <c r="E748" s="1" t="str">
        <f>"014473137"</f>
        <v>014473137</v>
      </c>
      <c r="F748" s="1" t="s">
        <v>1838</v>
      </c>
      <c r="G748" s="1" t="s">
        <v>16</v>
      </c>
      <c r="H748" s="1" t="str">
        <f>"1"</f>
        <v>1</v>
      </c>
      <c r="I748" s="2">
        <v>4610.3900000000003</v>
      </c>
      <c r="J748" s="3">
        <v>46177</v>
      </c>
      <c r="K748" s="1" t="s">
        <v>1839</v>
      </c>
    </row>
    <row r="749" spans="1:11" x14ac:dyDescent="0.35">
      <c r="A749" s="1" t="s">
        <v>1684</v>
      </c>
      <c r="B749" s="1" t="s">
        <v>1765</v>
      </c>
      <c r="C749" s="1" t="s">
        <v>1769</v>
      </c>
      <c r="D749" s="1" t="str">
        <f>"5855"</f>
        <v>5855</v>
      </c>
      <c r="E749" s="1" t="str">
        <f>"015675510"</f>
        <v>015675510</v>
      </c>
      <c r="F749" s="1" t="s">
        <v>1770</v>
      </c>
      <c r="G749" s="1" t="s">
        <v>16</v>
      </c>
      <c r="H749" s="1" t="str">
        <f>"10"</f>
        <v>10</v>
      </c>
      <c r="I749" s="2" t="str">
        <f>"10756"</f>
        <v>10756</v>
      </c>
      <c r="J749" s="3">
        <v>46185</v>
      </c>
      <c r="K749" s="1" t="s">
        <v>1771</v>
      </c>
    </row>
    <row r="750" spans="1:11" x14ac:dyDescent="0.35">
      <c r="A750" s="1" t="s">
        <v>1684</v>
      </c>
      <c r="B750" s="1" t="s">
        <v>1798</v>
      </c>
      <c r="C750" s="1" t="s">
        <v>1819</v>
      </c>
      <c r="D750" s="1" t="str">
        <f>"5855"</f>
        <v>5855</v>
      </c>
      <c r="E750" s="1" t="str">
        <f>"013637491"</f>
        <v>013637491</v>
      </c>
      <c r="F750" s="1" t="s">
        <v>1770</v>
      </c>
      <c r="G750" s="1" t="s">
        <v>16</v>
      </c>
      <c r="H750" s="1" t="str">
        <f>"1"</f>
        <v>1</v>
      </c>
      <c r="I750" s="2" t="str">
        <f>"6124"</f>
        <v>6124</v>
      </c>
      <c r="J750" s="3">
        <v>46203</v>
      </c>
      <c r="K750" s="1" t="s">
        <v>1820</v>
      </c>
    </row>
    <row r="751" spans="1:11" x14ac:dyDescent="0.35">
      <c r="A751" s="1" t="s">
        <v>1684</v>
      </c>
      <c r="B751" s="1" t="s">
        <v>1798</v>
      </c>
      <c r="C751" s="1" t="s">
        <v>1821</v>
      </c>
      <c r="D751" s="1" t="str">
        <f>"5855"</f>
        <v>5855</v>
      </c>
      <c r="E751" s="1" t="str">
        <f>"013637491"</f>
        <v>013637491</v>
      </c>
      <c r="F751" s="1" t="s">
        <v>1770</v>
      </c>
      <c r="G751" s="1" t="s">
        <v>16</v>
      </c>
      <c r="H751" s="1" t="str">
        <f>"1"</f>
        <v>1</v>
      </c>
      <c r="I751" s="2" t="str">
        <f>"6124"</f>
        <v>6124</v>
      </c>
      <c r="J751" s="3">
        <v>46203</v>
      </c>
      <c r="K751" s="1" t="s">
        <v>1822</v>
      </c>
    </row>
    <row r="752" spans="1:11" x14ac:dyDescent="0.35">
      <c r="A752" s="1" t="s">
        <v>1684</v>
      </c>
      <c r="B752" s="1" t="s">
        <v>1798</v>
      </c>
      <c r="C752" s="1" t="s">
        <v>1823</v>
      </c>
      <c r="D752" s="1" t="str">
        <f>"5855"</f>
        <v>5855</v>
      </c>
      <c r="E752" s="1" t="str">
        <f>"013637491"</f>
        <v>013637491</v>
      </c>
      <c r="F752" s="1" t="s">
        <v>1770</v>
      </c>
      <c r="G752" s="1" t="s">
        <v>16</v>
      </c>
      <c r="H752" s="1" t="str">
        <f>"1"</f>
        <v>1</v>
      </c>
      <c r="I752" s="2" t="str">
        <f>"6124"</f>
        <v>6124</v>
      </c>
      <c r="J752" s="3">
        <v>46203</v>
      </c>
      <c r="K752" s="1" t="s">
        <v>1822</v>
      </c>
    </row>
    <row r="753" spans="1:11" x14ac:dyDescent="0.35">
      <c r="A753" s="1" t="s">
        <v>1684</v>
      </c>
      <c r="B753" s="1" t="s">
        <v>1798</v>
      </c>
      <c r="C753" s="1" t="s">
        <v>1824</v>
      </c>
      <c r="D753" s="1" t="str">
        <f>"5855"</f>
        <v>5855</v>
      </c>
      <c r="E753" s="1" t="str">
        <f>"013637491"</f>
        <v>013637491</v>
      </c>
      <c r="F753" s="1" t="s">
        <v>1770</v>
      </c>
      <c r="G753" s="1" t="s">
        <v>16</v>
      </c>
      <c r="H753" s="1" t="str">
        <f>"1"</f>
        <v>1</v>
      </c>
      <c r="I753" s="2" t="str">
        <f>"6124"</f>
        <v>6124</v>
      </c>
      <c r="J753" s="3">
        <v>46203</v>
      </c>
      <c r="K753" s="1" t="s">
        <v>1820</v>
      </c>
    </row>
    <row r="754" spans="1:11" x14ac:dyDescent="0.35">
      <c r="A754" s="1" t="s">
        <v>1684</v>
      </c>
      <c r="B754" s="1" t="s">
        <v>1798</v>
      </c>
      <c r="C754" s="1" t="s">
        <v>1825</v>
      </c>
      <c r="D754" s="1" t="str">
        <f>"5855"</f>
        <v>5855</v>
      </c>
      <c r="E754" s="1" t="str">
        <f>"013637491"</f>
        <v>013637491</v>
      </c>
      <c r="F754" s="1" t="s">
        <v>1770</v>
      </c>
      <c r="G754" s="1" t="s">
        <v>16</v>
      </c>
      <c r="H754" s="1" t="str">
        <f>"1"</f>
        <v>1</v>
      </c>
      <c r="I754" s="2" t="str">
        <f>"6124"</f>
        <v>6124</v>
      </c>
      <c r="J754" s="3">
        <v>46203</v>
      </c>
      <c r="K754" s="1" t="s">
        <v>1822</v>
      </c>
    </row>
    <row r="755" spans="1:11" x14ac:dyDescent="0.35">
      <c r="A755" s="1" t="s">
        <v>1684</v>
      </c>
      <c r="B755" s="1" t="s">
        <v>1798</v>
      </c>
      <c r="C755" s="1" t="s">
        <v>1826</v>
      </c>
      <c r="D755" s="1" t="str">
        <f>"5855"</f>
        <v>5855</v>
      </c>
      <c r="E755" s="1" t="str">
        <f>"013637491"</f>
        <v>013637491</v>
      </c>
      <c r="F755" s="1" t="s">
        <v>1770</v>
      </c>
      <c r="G755" s="1" t="s">
        <v>16</v>
      </c>
      <c r="H755" s="1" t="str">
        <f>"1"</f>
        <v>1</v>
      </c>
      <c r="I755" s="2" t="str">
        <f>"6124"</f>
        <v>6124</v>
      </c>
      <c r="J755" s="3">
        <v>46203</v>
      </c>
      <c r="K755" s="1" t="s">
        <v>1822</v>
      </c>
    </row>
    <row r="756" spans="1:11" x14ac:dyDescent="0.35">
      <c r="A756" s="1" t="s">
        <v>1684</v>
      </c>
      <c r="B756" s="1" t="s">
        <v>1798</v>
      </c>
      <c r="C756" s="1" t="s">
        <v>1827</v>
      </c>
      <c r="D756" s="1" t="str">
        <f>"5855"</f>
        <v>5855</v>
      </c>
      <c r="E756" s="1" t="str">
        <f>"013637491"</f>
        <v>013637491</v>
      </c>
      <c r="F756" s="1" t="s">
        <v>1770</v>
      </c>
      <c r="G756" s="1" t="s">
        <v>16</v>
      </c>
      <c r="H756" s="1" t="str">
        <f>"1"</f>
        <v>1</v>
      </c>
      <c r="I756" s="2" t="str">
        <f>"6124"</f>
        <v>6124</v>
      </c>
      <c r="J756" s="3">
        <v>46203</v>
      </c>
      <c r="K756" s="1" t="s">
        <v>1822</v>
      </c>
    </row>
    <row r="757" spans="1:11" x14ac:dyDescent="0.35">
      <c r="A757" s="1" t="s">
        <v>1684</v>
      </c>
      <c r="B757" s="1" t="s">
        <v>1798</v>
      </c>
      <c r="C757" s="1" t="s">
        <v>1828</v>
      </c>
      <c r="D757" s="1" t="str">
        <f>"5855"</f>
        <v>5855</v>
      </c>
      <c r="E757" s="1" t="str">
        <f>"013637491"</f>
        <v>013637491</v>
      </c>
      <c r="F757" s="1" t="s">
        <v>1770</v>
      </c>
      <c r="G757" s="1" t="s">
        <v>16</v>
      </c>
      <c r="H757" s="1" t="str">
        <f>"1"</f>
        <v>1</v>
      </c>
      <c r="I757" s="2" t="str">
        <f>"6124"</f>
        <v>6124</v>
      </c>
      <c r="J757" s="3">
        <v>46203</v>
      </c>
      <c r="K757" s="1" t="s">
        <v>1822</v>
      </c>
    </row>
    <row r="758" spans="1:11" x14ac:dyDescent="0.35">
      <c r="A758" s="1" t="s">
        <v>1684</v>
      </c>
      <c r="B758" s="1" t="s">
        <v>1798</v>
      </c>
      <c r="C758" s="1" t="s">
        <v>1829</v>
      </c>
      <c r="D758" s="1" t="str">
        <f>"5855"</f>
        <v>5855</v>
      </c>
      <c r="E758" s="1" t="str">
        <f>"013637491"</f>
        <v>013637491</v>
      </c>
      <c r="F758" s="1" t="s">
        <v>1770</v>
      </c>
      <c r="G758" s="1" t="s">
        <v>16</v>
      </c>
      <c r="H758" s="1" t="str">
        <f>"1"</f>
        <v>1</v>
      </c>
      <c r="I758" s="2" t="str">
        <f>"6124"</f>
        <v>6124</v>
      </c>
      <c r="J758" s="3">
        <v>46203</v>
      </c>
      <c r="K758" s="1" t="s">
        <v>1822</v>
      </c>
    </row>
    <row r="759" spans="1:11" x14ac:dyDescent="0.35">
      <c r="A759" s="1" t="s">
        <v>1684</v>
      </c>
      <c r="B759" s="1" t="s">
        <v>1798</v>
      </c>
      <c r="C759" s="1" t="s">
        <v>1840</v>
      </c>
      <c r="D759" s="1" t="str">
        <f>"5855"</f>
        <v>5855</v>
      </c>
      <c r="E759" s="1" t="str">
        <f>"013867136"</f>
        <v>013867136</v>
      </c>
      <c r="F759" s="1" t="s">
        <v>1770</v>
      </c>
      <c r="G759" s="1" t="s">
        <v>16</v>
      </c>
      <c r="H759" s="1" t="str">
        <f>"1"</f>
        <v>1</v>
      </c>
      <c r="I759" s="2">
        <v>6624.96</v>
      </c>
      <c r="J759" s="3">
        <v>46203</v>
      </c>
      <c r="K759" s="1" t="s">
        <v>1822</v>
      </c>
    </row>
    <row r="760" spans="1:11" x14ac:dyDescent="0.35">
      <c r="A760" s="1" t="s">
        <v>1684</v>
      </c>
      <c r="B760" s="1" t="s">
        <v>1798</v>
      </c>
      <c r="C760" s="1" t="s">
        <v>1841</v>
      </c>
      <c r="D760" s="1" t="str">
        <f>"5855"</f>
        <v>5855</v>
      </c>
      <c r="E760" s="1" t="str">
        <f>"013867136"</f>
        <v>013867136</v>
      </c>
      <c r="F760" s="1" t="s">
        <v>1770</v>
      </c>
      <c r="G760" s="1" t="s">
        <v>16</v>
      </c>
      <c r="H760" s="1" t="str">
        <f>"1"</f>
        <v>1</v>
      </c>
      <c r="I760" s="2">
        <v>6624.96</v>
      </c>
      <c r="J760" s="3">
        <v>46203</v>
      </c>
      <c r="K760" s="1" t="s">
        <v>1822</v>
      </c>
    </row>
    <row r="761" spans="1:11" x14ac:dyDescent="0.35">
      <c r="A761" s="1" t="s">
        <v>1684</v>
      </c>
      <c r="B761" s="1" t="s">
        <v>1798</v>
      </c>
      <c r="C761" s="1" t="s">
        <v>1842</v>
      </c>
      <c r="D761" s="1" t="str">
        <f>"5855"</f>
        <v>5855</v>
      </c>
      <c r="E761" s="1" t="str">
        <f>"013867136"</f>
        <v>013867136</v>
      </c>
      <c r="F761" s="1" t="s">
        <v>1770</v>
      </c>
      <c r="G761" s="1" t="s">
        <v>16</v>
      </c>
      <c r="H761" s="1" t="str">
        <f>"1"</f>
        <v>1</v>
      </c>
      <c r="I761" s="2">
        <v>6624.96</v>
      </c>
      <c r="J761" s="3">
        <v>46203</v>
      </c>
      <c r="K761" s="1" t="s">
        <v>1822</v>
      </c>
    </row>
    <row r="762" spans="1:11" x14ac:dyDescent="0.35">
      <c r="A762" s="1" t="s">
        <v>1684</v>
      </c>
      <c r="B762" s="1" t="s">
        <v>1798</v>
      </c>
      <c r="C762" s="1" t="s">
        <v>1843</v>
      </c>
      <c r="D762" s="1" t="str">
        <f>"5855"</f>
        <v>5855</v>
      </c>
      <c r="E762" s="1" t="str">
        <f>"013867136"</f>
        <v>013867136</v>
      </c>
      <c r="F762" s="1" t="s">
        <v>1770</v>
      </c>
      <c r="G762" s="1" t="s">
        <v>16</v>
      </c>
      <c r="H762" s="1" t="str">
        <f>"1"</f>
        <v>1</v>
      </c>
      <c r="I762" s="2">
        <v>6624.96</v>
      </c>
      <c r="J762" s="3">
        <v>46203</v>
      </c>
      <c r="K762" s="1" t="s">
        <v>1822</v>
      </c>
    </row>
    <row r="763" spans="1:11" x14ac:dyDescent="0.35">
      <c r="A763" s="1" t="s">
        <v>1684</v>
      </c>
      <c r="B763" s="1" t="s">
        <v>1798</v>
      </c>
      <c r="C763" s="1" t="s">
        <v>1844</v>
      </c>
      <c r="D763" s="1" t="str">
        <f>"5855"</f>
        <v>5855</v>
      </c>
      <c r="E763" s="1" t="str">
        <f>"014165085"</f>
        <v>014165085</v>
      </c>
      <c r="F763" s="1" t="s">
        <v>1770</v>
      </c>
      <c r="G763" s="1" t="s">
        <v>16</v>
      </c>
      <c r="H763" s="1" t="str">
        <f>"1"</f>
        <v>1</v>
      </c>
      <c r="I763" s="2">
        <v>6655.86</v>
      </c>
      <c r="J763" s="3">
        <v>46203</v>
      </c>
      <c r="K763" s="1" t="s">
        <v>1822</v>
      </c>
    </row>
    <row r="764" spans="1:11" x14ac:dyDescent="0.35">
      <c r="A764" s="1" t="s">
        <v>1684</v>
      </c>
      <c r="B764" s="1" t="s">
        <v>1798</v>
      </c>
      <c r="C764" s="1" t="s">
        <v>1845</v>
      </c>
      <c r="D764" s="1" t="str">
        <f>"5855"</f>
        <v>5855</v>
      </c>
      <c r="E764" s="1" t="str">
        <f>"014165085"</f>
        <v>014165085</v>
      </c>
      <c r="F764" s="1" t="s">
        <v>1770</v>
      </c>
      <c r="G764" s="1" t="s">
        <v>16</v>
      </c>
      <c r="H764" s="1" t="str">
        <f>"1"</f>
        <v>1</v>
      </c>
      <c r="I764" s="2">
        <v>6655.86</v>
      </c>
      <c r="J764" s="3">
        <v>46203</v>
      </c>
      <c r="K764" s="1" t="s">
        <v>1822</v>
      </c>
    </row>
    <row r="765" spans="1:11" x14ac:dyDescent="0.35">
      <c r="A765" s="1" t="s">
        <v>1684</v>
      </c>
      <c r="B765" s="1" t="s">
        <v>1798</v>
      </c>
      <c r="C765" s="1" t="s">
        <v>1846</v>
      </c>
      <c r="D765" s="1" t="str">
        <f>"5855"</f>
        <v>5855</v>
      </c>
      <c r="E765" s="1" t="str">
        <f>"013637491"</f>
        <v>013637491</v>
      </c>
      <c r="F765" s="1" t="s">
        <v>1770</v>
      </c>
      <c r="G765" s="1" t="s">
        <v>16</v>
      </c>
      <c r="H765" s="1" t="str">
        <f>"1"</f>
        <v>1</v>
      </c>
      <c r="I765" s="2" t="str">
        <f>"6124"</f>
        <v>6124</v>
      </c>
      <c r="J765" s="3">
        <v>46203</v>
      </c>
      <c r="K765" s="1" t="s">
        <v>1822</v>
      </c>
    </row>
    <row r="766" spans="1:11" x14ac:dyDescent="0.35">
      <c r="A766" s="1" t="s">
        <v>1684</v>
      </c>
      <c r="B766" s="1" t="s">
        <v>1798</v>
      </c>
      <c r="C766" s="1" t="s">
        <v>1847</v>
      </c>
      <c r="D766" s="1" t="str">
        <f>"5855"</f>
        <v>5855</v>
      </c>
      <c r="E766" s="1" t="str">
        <f>"013637491"</f>
        <v>013637491</v>
      </c>
      <c r="F766" s="1" t="s">
        <v>1770</v>
      </c>
      <c r="G766" s="1" t="s">
        <v>16</v>
      </c>
      <c r="H766" s="1" t="str">
        <f>"1"</f>
        <v>1</v>
      </c>
      <c r="I766" s="2" t="str">
        <f>"6124"</f>
        <v>6124</v>
      </c>
      <c r="J766" s="3">
        <v>46203</v>
      </c>
      <c r="K766" s="1" t="s">
        <v>1822</v>
      </c>
    </row>
    <row r="767" spans="1:11" x14ac:dyDescent="0.35">
      <c r="A767" s="1" t="s">
        <v>1684</v>
      </c>
      <c r="B767" s="1" t="s">
        <v>1798</v>
      </c>
      <c r="C767" s="1" t="s">
        <v>1848</v>
      </c>
      <c r="D767" s="1" t="str">
        <f>"5855"</f>
        <v>5855</v>
      </c>
      <c r="E767" s="1" t="str">
        <f>"013637491"</f>
        <v>013637491</v>
      </c>
      <c r="F767" s="1" t="s">
        <v>1770</v>
      </c>
      <c r="G767" s="1" t="s">
        <v>16</v>
      </c>
      <c r="H767" s="1" t="str">
        <f>"1"</f>
        <v>1</v>
      </c>
      <c r="I767" s="2" t="str">
        <f>"6124"</f>
        <v>6124</v>
      </c>
      <c r="J767" s="3">
        <v>46203</v>
      </c>
      <c r="K767" s="1" t="s">
        <v>1822</v>
      </c>
    </row>
    <row r="768" spans="1:11" x14ac:dyDescent="0.35">
      <c r="A768" s="1" t="s">
        <v>1684</v>
      </c>
      <c r="B768" s="1" t="s">
        <v>1798</v>
      </c>
      <c r="C768" s="1" t="s">
        <v>1849</v>
      </c>
      <c r="D768" s="1" t="str">
        <f>"5855"</f>
        <v>5855</v>
      </c>
      <c r="E768" s="1" t="str">
        <f>"013637491"</f>
        <v>013637491</v>
      </c>
      <c r="F768" s="1" t="s">
        <v>1770</v>
      </c>
      <c r="G768" s="1" t="s">
        <v>16</v>
      </c>
      <c r="H768" s="1" t="str">
        <f>"1"</f>
        <v>1</v>
      </c>
      <c r="I768" s="2" t="str">
        <f>"6124"</f>
        <v>6124</v>
      </c>
      <c r="J768" s="3">
        <v>46203</v>
      </c>
      <c r="K768" s="1" t="s">
        <v>1822</v>
      </c>
    </row>
    <row r="769" spans="1:11" x14ac:dyDescent="0.35">
      <c r="A769" s="1" t="s">
        <v>1684</v>
      </c>
      <c r="B769" s="1" t="s">
        <v>1798</v>
      </c>
      <c r="C769" s="1" t="s">
        <v>1850</v>
      </c>
      <c r="D769" s="1" t="str">
        <f>"5855"</f>
        <v>5855</v>
      </c>
      <c r="E769" s="1" t="str">
        <f>"013637491"</f>
        <v>013637491</v>
      </c>
      <c r="F769" s="1" t="s">
        <v>1770</v>
      </c>
      <c r="G769" s="1" t="s">
        <v>16</v>
      </c>
      <c r="H769" s="1" t="str">
        <f>"1"</f>
        <v>1</v>
      </c>
      <c r="I769" s="2" t="str">
        <f>"6124"</f>
        <v>6124</v>
      </c>
      <c r="J769" s="3">
        <v>46203</v>
      </c>
      <c r="K769" s="1" t="s">
        <v>1822</v>
      </c>
    </row>
    <row r="770" spans="1:11" x14ac:dyDescent="0.35">
      <c r="A770" s="1" t="s">
        <v>1684</v>
      </c>
      <c r="B770" s="1" t="s">
        <v>1798</v>
      </c>
      <c r="C770" s="1" t="s">
        <v>1851</v>
      </c>
      <c r="D770" s="1" t="str">
        <f>"5855"</f>
        <v>5855</v>
      </c>
      <c r="E770" s="1" t="str">
        <f>"013637491"</f>
        <v>013637491</v>
      </c>
      <c r="F770" s="1" t="s">
        <v>1770</v>
      </c>
      <c r="G770" s="1" t="s">
        <v>16</v>
      </c>
      <c r="H770" s="1" t="str">
        <f>"1"</f>
        <v>1</v>
      </c>
      <c r="I770" s="2" t="str">
        <f>"6124"</f>
        <v>6124</v>
      </c>
      <c r="J770" s="3">
        <v>46203</v>
      </c>
      <c r="K770" s="1" t="s">
        <v>1822</v>
      </c>
    </row>
    <row r="771" spans="1:11" x14ac:dyDescent="0.35">
      <c r="A771" s="1" t="s">
        <v>1684</v>
      </c>
      <c r="B771" s="1" t="s">
        <v>1798</v>
      </c>
      <c r="C771" s="1" t="s">
        <v>1852</v>
      </c>
      <c r="D771" s="1" t="str">
        <f>"5855"</f>
        <v>5855</v>
      </c>
      <c r="E771" s="1" t="str">
        <f>"013637491"</f>
        <v>013637491</v>
      </c>
      <c r="F771" s="1" t="s">
        <v>1770</v>
      </c>
      <c r="G771" s="1" t="s">
        <v>16</v>
      </c>
      <c r="H771" s="1" t="str">
        <f>"1"</f>
        <v>1</v>
      </c>
      <c r="I771" s="2" t="str">
        <f>"6124"</f>
        <v>6124</v>
      </c>
      <c r="J771" s="3">
        <v>46203</v>
      </c>
      <c r="K771" s="1" t="s">
        <v>1822</v>
      </c>
    </row>
    <row r="772" spans="1:11" x14ac:dyDescent="0.35">
      <c r="A772" s="1" t="s">
        <v>1684</v>
      </c>
      <c r="B772" s="1" t="s">
        <v>1798</v>
      </c>
      <c r="C772" s="1" t="s">
        <v>1853</v>
      </c>
      <c r="D772" s="1" t="str">
        <f>"5855"</f>
        <v>5855</v>
      </c>
      <c r="E772" s="1" t="str">
        <f>"013637491"</f>
        <v>013637491</v>
      </c>
      <c r="F772" s="1" t="s">
        <v>1770</v>
      </c>
      <c r="G772" s="1" t="s">
        <v>16</v>
      </c>
      <c r="H772" s="1" t="str">
        <f>"1"</f>
        <v>1</v>
      </c>
      <c r="I772" s="2" t="str">
        <f>"6124"</f>
        <v>6124</v>
      </c>
      <c r="J772" s="3">
        <v>46203</v>
      </c>
      <c r="K772" s="1" t="s">
        <v>1822</v>
      </c>
    </row>
    <row r="773" spans="1:11" x14ac:dyDescent="0.35">
      <c r="A773" s="1" t="s">
        <v>1684</v>
      </c>
      <c r="B773" s="1" t="s">
        <v>1798</v>
      </c>
      <c r="C773" s="1" t="s">
        <v>1854</v>
      </c>
      <c r="D773" s="1" t="str">
        <f>"5855"</f>
        <v>5855</v>
      </c>
      <c r="E773" s="1" t="str">
        <f>"013637491"</f>
        <v>013637491</v>
      </c>
      <c r="F773" s="1" t="s">
        <v>1770</v>
      </c>
      <c r="G773" s="1" t="s">
        <v>16</v>
      </c>
      <c r="H773" s="1" t="str">
        <f>"1"</f>
        <v>1</v>
      </c>
      <c r="I773" s="2" t="str">
        <f>"6124"</f>
        <v>6124</v>
      </c>
      <c r="J773" s="3">
        <v>46203</v>
      </c>
      <c r="K773" s="1" t="s">
        <v>1822</v>
      </c>
    </row>
    <row r="774" spans="1:11" x14ac:dyDescent="0.35">
      <c r="A774" s="1" t="s">
        <v>1684</v>
      </c>
      <c r="B774" s="1" t="s">
        <v>1798</v>
      </c>
      <c r="C774" s="1" t="s">
        <v>1855</v>
      </c>
      <c r="D774" s="1" t="str">
        <f>"5855"</f>
        <v>5855</v>
      </c>
      <c r="E774" s="1" t="str">
        <f>"013637491"</f>
        <v>013637491</v>
      </c>
      <c r="F774" s="1" t="s">
        <v>1770</v>
      </c>
      <c r="G774" s="1" t="s">
        <v>16</v>
      </c>
      <c r="H774" s="1" t="str">
        <f>"1"</f>
        <v>1</v>
      </c>
      <c r="I774" s="2" t="str">
        <f>"6124"</f>
        <v>6124</v>
      </c>
      <c r="J774" s="3">
        <v>46203</v>
      </c>
      <c r="K774" s="1" t="s">
        <v>1822</v>
      </c>
    </row>
    <row r="775" spans="1:11" x14ac:dyDescent="0.35">
      <c r="A775" s="1" t="s">
        <v>1684</v>
      </c>
      <c r="B775" s="1" t="s">
        <v>1798</v>
      </c>
      <c r="C775" s="1" t="s">
        <v>1856</v>
      </c>
      <c r="D775" s="1" t="str">
        <f>"5855"</f>
        <v>5855</v>
      </c>
      <c r="E775" s="1" t="str">
        <f>"013637491"</f>
        <v>013637491</v>
      </c>
      <c r="F775" s="1" t="s">
        <v>1770</v>
      </c>
      <c r="G775" s="1" t="s">
        <v>16</v>
      </c>
      <c r="H775" s="1" t="str">
        <f>"1"</f>
        <v>1</v>
      </c>
      <c r="I775" s="2" t="str">
        <f>"6124"</f>
        <v>6124</v>
      </c>
      <c r="J775" s="3">
        <v>46203</v>
      </c>
      <c r="K775" s="1" t="s">
        <v>1822</v>
      </c>
    </row>
    <row r="776" spans="1:11" x14ac:dyDescent="0.35">
      <c r="A776" s="1" t="s">
        <v>1684</v>
      </c>
      <c r="B776" s="1" t="s">
        <v>1798</v>
      </c>
      <c r="C776" s="1" t="s">
        <v>1857</v>
      </c>
      <c r="D776" s="1" t="str">
        <f>"5855"</f>
        <v>5855</v>
      </c>
      <c r="E776" s="1" t="str">
        <f>"013637491"</f>
        <v>013637491</v>
      </c>
      <c r="F776" s="1" t="s">
        <v>1770</v>
      </c>
      <c r="G776" s="1" t="s">
        <v>16</v>
      </c>
      <c r="H776" s="1" t="str">
        <f>"1"</f>
        <v>1</v>
      </c>
      <c r="I776" s="2" t="str">
        <f>"6124"</f>
        <v>6124</v>
      </c>
      <c r="J776" s="3">
        <v>46203</v>
      </c>
      <c r="K776" s="1" t="s">
        <v>1822</v>
      </c>
    </row>
    <row r="777" spans="1:11" x14ac:dyDescent="0.35">
      <c r="A777" s="1" t="s">
        <v>1684</v>
      </c>
      <c r="B777" s="1" t="s">
        <v>1798</v>
      </c>
      <c r="C777" s="1" t="s">
        <v>1858</v>
      </c>
      <c r="D777" s="1" t="str">
        <f>"5855"</f>
        <v>5855</v>
      </c>
      <c r="E777" s="1" t="str">
        <f>"013637491"</f>
        <v>013637491</v>
      </c>
      <c r="F777" s="1" t="s">
        <v>1770</v>
      </c>
      <c r="G777" s="1" t="s">
        <v>16</v>
      </c>
      <c r="H777" s="1" t="str">
        <f>"1"</f>
        <v>1</v>
      </c>
      <c r="I777" s="2" t="str">
        <f>"6124"</f>
        <v>6124</v>
      </c>
      <c r="J777" s="3">
        <v>46203</v>
      </c>
      <c r="K777" s="1" t="s">
        <v>1822</v>
      </c>
    </row>
    <row r="778" spans="1:11" x14ac:dyDescent="0.35">
      <c r="A778" s="1" t="s">
        <v>1684</v>
      </c>
      <c r="B778" s="1" t="s">
        <v>1798</v>
      </c>
      <c r="C778" s="1" t="s">
        <v>1859</v>
      </c>
      <c r="D778" s="1" t="str">
        <f>"5855"</f>
        <v>5855</v>
      </c>
      <c r="E778" s="1" t="str">
        <f>"013637491"</f>
        <v>013637491</v>
      </c>
      <c r="F778" s="1" t="s">
        <v>1770</v>
      </c>
      <c r="G778" s="1" t="s">
        <v>16</v>
      </c>
      <c r="H778" s="1" t="str">
        <f>"1"</f>
        <v>1</v>
      </c>
      <c r="I778" s="2" t="str">
        <f>"6124"</f>
        <v>6124</v>
      </c>
      <c r="J778" s="3">
        <v>46203</v>
      </c>
      <c r="K778" s="1" t="s">
        <v>1822</v>
      </c>
    </row>
    <row r="779" spans="1:11" x14ac:dyDescent="0.35">
      <c r="A779" s="1" t="s">
        <v>1684</v>
      </c>
      <c r="B779" s="1" t="s">
        <v>1798</v>
      </c>
      <c r="C779" s="1" t="s">
        <v>1860</v>
      </c>
      <c r="D779" s="1" t="str">
        <f>"5855"</f>
        <v>5855</v>
      </c>
      <c r="E779" s="1" t="str">
        <f>"013637491"</f>
        <v>013637491</v>
      </c>
      <c r="F779" s="1" t="s">
        <v>1770</v>
      </c>
      <c r="G779" s="1" t="s">
        <v>16</v>
      </c>
      <c r="H779" s="1" t="str">
        <f>"1"</f>
        <v>1</v>
      </c>
      <c r="I779" s="2" t="str">
        <f>"6124"</f>
        <v>6124</v>
      </c>
      <c r="J779" s="3">
        <v>46203</v>
      </c>
      <c r="K779" s="1" t="s">
        <v>1822</v>
      </c>
    </row>
    <row r="780" spans="1:11" x14ac:dyDescent="0.35">
      <c r="A780" s="1" t="s">
        <v>1684</v>
      </c>
      <c r="B780" s="1" t="s">
        <v>1798</v>
      </c>
      <c r="C780" s="1" t="s">
        <v>1861</v>
      </c>
      <c r="D780" s="1" t="str">
        <f>"5855"</f>
        <v>5855</v>
      </c>
      <c r="E780" s="1" t="str">
        <f>"013637491"</f>
        <v>013637491</v>
      </c>
      <c r="F780" s="1" t="s">
        <v>1770</v>
      </c>
      <c r="G780" s="1" t="s">
        <v>16</v>
      </c>
      <c r="H780" s="1" t="str">
        <f>"1"</f>
        <v>1</v>
      </c>
      <c r="I780" s="2" t="str">
        <f>"6124"</f>
        <v>6124</v>
      </c>
      <c r="J780" s="3">
        <v>46203</v>
      </c>
      <c r="K780" s="1" t="s">
        <v>1822</v>
      </c>
    </row>
    <row r="781" spans="1:11" x14ac:dyDescent="0.35">
      <c r="A781" s="1" t="s">
        <v>1684</v>
      </c>
      <c r="B781" s="1" t="s">
        <v>1798</v>
      </c>
      <c r="C781" s="1" t="s">
        <v>1862</v>
      </c>
      <c r="D781" s="1" t="str">
        <f>"5855"</f>
        <v>5855</v>
      </c>
      <c r="E781" s="1" t="str">
        <f>"013637491"</f>
        <v>013637491</v>
      </c>
      <c r="F781" s="1" t="s">
        <v>1770</v>
      </c>
      <c r="G781" s="1" t="s">
        <v>16</v>
      </c>
      <c r="H781" s="1" t="str">
        <f>"1"</f>
        <v>1</v>
      </c>
      <c r="I781" s="2" t="str">
        <f>"6124"</f>
        <v>6124</v>
      </c>
      <c r="J781" s="3">
        <v>46203</v>
      </c>
      <c r="K781" s="1" t="s">
        <v>1822</v>
      </c>
    </row>
    <row r="782" spans="1:11" x14ac:dyDescent="0.35">
      <c r="A782" s="1" t="s">
        <v>1684</v>
      </c>
      <c r="B782" s="1" t="s">
        <v>1798</v>
      </c>
      <c r="C782" s="1" t="s">
        <v>1863</v>
      </c>
      <c r="D782" s="1" t="str">
        <f>"5855"</f>
        <v>5855</v>
      </c>
      <c r="E782" s="1" t="str">
        <f>"013637491"</f>
        <v>013637491</v>
      </c>
      <c r="F782" s="1" t="s">
        <v>1770</v>
      </c>
      <c r="G782" s="1" t="s">
        <v>16</v>
      </c>
      <c r="H782" s="1" t="str">
        <f>"1"</f>
        <v>1</v>
      </c>
      <c r="I782" s="2" t="str">
        <f>"6124"</f>
        <v>6124</v>
      </c>
      <c r="J782" s="3">
        <v>46203</v>
      </c>
      <c r="K782" s="1" t="s">
        <v>1822</v>
      </c>
    </row>
    <row r="783" spans="1:11" x14ac:dyDescent="0.35">
      <c r="A783" s="1" t="s">
        <v>1684</v>
      </c>
      <c r="B783" s="1" t="s">
        <v>1798</v>
      </c>
      <c r="C783" s="1" t="s">
        <v>1864</v>
      </c>
      <c r="D783" s="1" t="str">
        <f>"5855"</f>
        <v>5855</v>
      </c>
      <c r="E783" s="1" t="str">
        <f>"013637491"</f>
        <v>013637491</v>
      </c>
      <c r="F783" s="1" t="s">
        <v>1770</v>
      </c>
      <c r="G783" s="1" t="s">
        <v>16</v>
      </c>
      <c r="H783" s="1" t="str">
        <f>"1"</f>
        <v>1</v>
      </c>
      <c r="I783" s="2" t="str">
        <f>"6124"</f>
        <v>6124</v>
      </c>
      <c r="J783" s="3">
        <v>46203</v>
      </c>
      <c r="K783" s="1" t="s">
        <v>1822</v>
      </c>
    </row>
    <row r="784" spans="1:11" x14ac:dyDescent="0.35">
      <c r="A784" s="1" t="s">
        <v>1684</v>
      </c>
      <c r="B784" s="1" t="s">
        <v>1798</v>
      </c>
      <c r="C784" s="1" t="s">
        <v>1865</v>
      </c>
      <c r="D784" s="1" t="str">
        <f>"5855"</f>
        <v>5855</v>
      </c>
      <c r="E784" s="1" t="str">
        <f>"013637491"</f>
        <v>013637491</v>
      </c>
      <c r="F784" s="1" t="s">
        <v>1770</v>
      </c>
      <c r="G784" s="1" t="s">
        <v>16</v>
      </c>
      <c r="H784" s="1" t="str">
        <f>"1"</f>
        <v>1</v>
      </c>
      <c r="I784" s="2" t="str">
        <f>"6124"</f>
        <v>6124</v>
      </c>
      <c r="J784" s="3">
        <v>46203</v>
      </c>
      <c r="K784" s="1" t="s">
        <v>1822</v>
      </c>
    </row>
    <row r="785" spans="1:11" x14ac:dyDescent="0.35">
      <c r="A785" s="1" t="s">
        <v>1885</v>
      </c>
      <c r="B785" s="1" t="s">
        <v>1886</v>
      </c>
      <c r="C785" s="1" t="s">
        <v>1887</v>
      </c>
      <c r="D785" s="1" t="str">
        <f>"8340"</f>
        <v>8340</v>
      </c>
      <c r="E785" s="1" t="str">
        <f>"016288855"</f>
        <v>016288855</v>
      </c>
      <c r="F785" s="1" t="s">
        <v>253</v>
      </c>
      <c r="G785" s="1" t="s">
        <v>16</v>
      </c>
      <c r="H785" s="1" t="str">
        <f>"1"</f>
        <v>1</v>
      </c>
      <c r="I785" s="2">
        <v>396.38</v>
      </c>
      <c r="J785" s="3">
        <v>46140</v>
      </c>
      <c r="K785" s="1" t="s">
        <v>1888</v>
      </c>
    </row>
    <row r="786" spans="1:11" x14ac:dyDescent="0.35">
      <c r="A786" s="1" t="s">
        <v>1885</v>
      </c>
      <c r="B786" s="1" t="s">
        <v>1886</v>
      </c>
      <c r="C786" s="1" t="s">
        <v>1891</v>
      </c>
      <c r="D786" s="1" t="str">
        <f>"8415"</f>
        <v>8415</v>
      </c>
      <c r="E786" s="1" t="str">
        <f>"015802854"</f>
        <v>015802854</v>
      </c>
      <c r="F786" s="1" t="s">
        <v>1892</v>
      </c>
      <c r="G786" s="1" t="s">
        <v>16</v>
      </c>
      <c r="H786" s="1" t="str">
        <f>"1"</f>
        <v>1</v>
      </c>
      <c r="I786" s="2">
        <v>146.83000000000001</v>
      </c>
      <c r="J786" s="3">
        <v>46140</v>
      </c>
      <c r="K786" s="1" t="s">
        <v>1893</v>
      </c>
    </row>
    <row r="787" spans="1:11" x14ac:dyDescent="0.35">
      <c r="A787" s="1" t="s">
        <v>1885</v>
      </c>
      <c r="B787" s="1" t="s">
        <v>1886</v>
      </c>
      <c r="C787" s="1" t="s">
        <v>1894</v>
      </c>
      <c r="D787" s="1" t="str">
        <f>"8415"</f>
        <v>8415</v>
      </c>
      <c r="E787" s="1" t="str">
        <f>"015802782"</f>
        <v>015802782</v>
      </c>
      <c r="F787" s="1" t="s">
        <v>1892</v>
      </c>
      <c r="G787" s="1" t="s">
        <v>16</v>
      </c>
      <c r="H787" s="1" t="str">
        <f>"1"</f>
        <v>1</v>
      </c>
      <c r="I787" s="2">
        <v>146.81</v>
      </c>
      <c r="J787" s="3">
        <v>46140</v>
      </c>
      <c r="K787" s="1" t="s">
        <v>1893</v>
      </c>
    </row>
    <row r="788" spans="1:11" x14ac:dyDescent="0.35">
      <c r="A788" s="1" t="s">
        <v>1885</v>
      </c>
      <c r="B788" s="1" t="s">
        <v>1886</v>
      </c>
      <c r="C788" s="1" t="s">
        <v>1895</v>
      </c>
      <c r="D788" s="1" t="str">
        <f>"8415"</f>
        <v>8415</v>
      </c>
      <c r="E788" s="1" t="str">
        <f>"015269184"</f>
        <v>015269184</v>
      </c>
      <c r="F788" s="1" t="s">
        <v>1203</v>
      </c>
      <c r="G788" s="1" t="s">
        <v>16</v>
      </c>
      <c r="H788" s="1" t="str">
        <f>"1"</f>
        <v>1</v>
      </c>
      <c r="I788" s="2">
        <v>171.72</v>
      </c>
      <c r="J788" s="3">
        <v>46140</v>
      </c>
      <c r="K788" s="1" t="s">
        <v>1896</v>
      </c>
    </row>
    <row r="789" spans="1:11" x14ac:dyDescent="0.35">
      <c r="A789" s="1" t="s">
        <v>1885</v>
      </c>
      <c r="B789" s="1" t="s">
        <v>1886</v>
      </c>
      <c r="C789" s="1" t="s">
        <v>1897</v>
      </c>
      <c r="D789" s="1" t="str">
        <f>"8415"</f>
        <v>8415</v>
      </c>
      <c r="E789" s="1" t="str">
        <f>"015269181"</f>
        <v>015269181</v>
      </c>
      <c r="F789" s="1" t="s">
        <v>1203</v>
      </c>
      <c r="G789" s="1" t="s">
        <v>16</v>
      </c>
      <c r="H789" s="1" t="str">
        <f>"1"</f>
        <v>1</v>
      </c>
      <c r="I789" s="2">
        <v>171.72</v>
      </c>
      <c r="J789" s="3">
        <v>46140</v>
      </c>
      <c r="K789" s="1" t="s">
        <v>1896</v>
      </c>
    </row>
    <row r="790" spans="1:11" x14ac:dyDescent="0.35">
      <c r="A790" s="1" t="s">
        <v>1885</v>
      </c>
      <c r="B790" s="1" t="s">
        <v>1886</v>
      </c>
      <c r="C790" s="1" t="s">
        <v>1898</v>
      </c>
      <c r="D790" s="1" t="str">
        <f>"8415"</f>
        <v>8415</v>
      </c>
      <c r="E790" s="1" t="str">
        <f>"015551271"</f>
        <v>015551271</v>
      </c>
      <c r="F790" s="1" t="s">
        <v>1718</v>
      </c>
      <c r="G790" s="1" t="s">
        <v>16</v>
      </c>
      <c r="H790" s="1" t="str">
        <f>"1"</f>
        <v>1</v>
      </c>
      <c r="I790" s="2">
        <v>194.88</v>
      </c>
      <c r="J790" s="3">
        <v>46140</v>
      </c>
      <c r="K790" s="1" t="s">
        <v>1896</v>
      </c>
    </row>
    <row r="791" spans="1:11" x14ac:dyDescent="0.35">
      <c r="A791" s="1" t="s">
        <v>1885</v>
      </c>
      <c r="B791" s="1" t="s">
        <v>1886</v>
      </c>
      <c r="C791" s="1" t="s">
        <v>1909</v>
      </c>
      <c r="D791" s="1" t="str">
        <f>"8415"</f>
        <v>8415</v>
      </c>
      <c r="E791" s="1" t="str">
        <f>"015802782"</f>
        <v>015802782</v>
      </c>
      <c r="F791" s="1" t="s">
        <v>1892</v>
      </c>
      <c r="G791" s="1" t="s">
        <v>16</v>
      </c>
      <c r="H791" s="1" t="str">
        <f>"1"</f>
        <v>1</v>
      </c>
      <c r="I791" s="2">
        <v>146.81</v>
      </c>
      <c r="J791" s="3">
        <v>46140</v>
      </c>
      <c r="K791" s="1" t="s">
        <v>1906</v>
      </c>
    </row>
    <row r="792" spans="1:11" x14ac:dyDescent="0.35">
      <c r="A792" s="1" t="s">
        <v>1885</v>
      </c>
      <c r="B792" s="1" t="s">
        <v>1919</v>
      </c>
      <c r="C792" s="1" t="s">
        <v>1923</v>
      </c>
      <c r="D792" s="1" t="str">
        <f>"7830"</f>
        <v>7830</v>
      </c>
      <c r="E792" s="1" t="s">
        <v>441</v>
      </c>
      <c r="F792" s="1" t="s">
        <v>442</v>
      </c>
      <c r="G792" s="1" t="s">
        <v>16</v>
      </c>
      <c r="H792" s="1" t="str">
        <f>"1"</f>
        <v>1</v>
      </c>
      <c r="I792" s="2" t="str">
        <f>"2620"</f>
        <v>2620</v>
      </c>
      <c r="J792" s="3">
        <v>46156</v>
      </c>
      <c r="K792" s="1" t="s">
        <v>1924</v>
      </c>
    </row>
    <row r="793" spans="1:11" x14ac:dyDescent="0.35">
      <c r="A793" s="1" t="s">
        <v>1885</v>
      </c>
      <c r="B793" s="1" t="s">
        <v>1886</v>
      </c>
      <c r="C793" s="1" t="s">
        <v>1889</v>
      </c>
      <c r="D793" s="1" t="str">
        <f>"8340"</f>
        <v>8340</v>
      </c>
      <c r="E793" s="1" t="str">
        <f>"016288855"</f>
        <v>016288855</v>
      </c>
      <c r="F793" s="1" t="s">
        <v>253</v>
      </c>
      <c r="G793" s="1" t="s">
        <v>16</v>
      </c>
      <c r="H793" s="1" t="str">
        <f>"10"</f>
        <v>10</v>
      </c>
      <c r="I793" s="2">
        <v>396.38</v>
      </c>
      <c r="J793" s="3">
        <v>46157</v>
      </c>
      <c r="K793" s="1" t="s">
        <v>1890</v>
      </c>
    </row>
    <row r="794" spans="1:11" x14ac:dyDescent="0.35">
      <c r="A794" s="1" t="s">
        <v>1885</v>
      </c>
      <c r="B794" s="1" t="s">
        <v>1886</v>
      </c>
      <c r="C794" s="1" t="s">
        <v>1902</v>
      </c>
      <c r="D794" s="1" t="str">
        <f>"8415"</f>
        <v>8415</v>
      </c>
      <c r="E794" s="1" t="str">
        <f>"015269181"</f>
        <v>015269181</v>
      </c>
      <c r="F794" s="1" t="s">
        <v>1203</v>
      </c>
      <c r="G794" s="1" t="s">
        <v>16</v>
      </c>
      <c r="H794" s="1" t="str">
        <f>"1"</f>
        <v>1</v>
      </c>
      <c r="I794" s="2">
        <v>171.72</v>
      </c>
      <c r="J794" s="3">
        <v>46157</v>
      </c>
      <c r="K794" s="1" t="s">
        <v>1896</v>
      </c>
    </row>
    <row r="795" spans="1:11" x14ac:dyDescent="0.35">
      <c r="A795" s="1" t="s">
        <v>1885</v>
      </c>
      <c r="B795" s="1" t="s">
        <v>1886</v>
      </c>
      <c r="C795" s="1" t="s">
        <v>1903</v>
      </c>
      <c r="D795" s="1" t="str">
        <f>"8415"</f>
        <v>8415</v>
      </c>
      <c r="E795" s="1" t="str">
        <f>"015269184"</f>
        <v>015269184</v>
      </c>
      <c r="F795" s="1" t="s">
        <v>1203</v>
      </c>
      <c r="G795" s="1" t="s">
        <v>16</v>
      </c>
      <c r="H795" s="1" t="str">
        <f>"1"</f>
        <v>1</v>
      </c>
      <c r="I795" s="2">
        <v>171.72</v>
      </c>
      <c r="J795" s="3">
        <v>46157</v>
      </c>
      <c r="K795" s="1" t="s">
        <v>1896</v>
      </c>
    </row>
    <row r="796" spans="1:11" x14ac:dyDescent="0.35">
      <c r="A796" s="1" t="s">
        <v>1885</v>
      </c>
      <c r="B796" s="1" t="s">
        <v>1886</v>
      </c>
      <c r="C796" s="1" t="s">
        <v>1904</v>
      </c>
      <c r="D796" s="1" t="str">
        <f>"8415"</f>
        <v>8415</v>
      </c>
      <c r="E796" s="1" t="str">
        <f>"012281316"</f>
        <v>012281316</v>
      </c>
      <c r="F796" s="1" t="s">
        <v>1203</v>
      </c>
      <c r="G796" s="1" t="s">
        <v>16</v>
      </c>
      <c r="H796" s="1" t="str">
        <f>"1"</f>
        <v>1</v>
      </c>
      <c r="I796" s="2">
        <v>151.06</v>
      </c>
      <c r="J796" s="3">
        <v>46157</v>
      </c>
      <c r="K796" s="1" t="s">
        <v>1896</v>
      </c>
    </row>
    <row r="797" spans="1:11" x14ac:dyDescent="0.35">
      <c r="A797" s="1" t="s">
        <v>1885</v>
      </c>
      <c r="B797" s="1" t="s">
        <v>1886</v>
      </c>
      <c r="C797" s="1" t="s">
        <v>1905</v>
      </c>
      <c r="D797" s="1" t="str">
        <f>"8415"</f>
        <v>8415</v>
      </c>
      <c r="E797" s="1" t="str">
        <f>"015802854"</f>
        <v>015802854</v>
      </c>
      <c r="F797" s="1" t="s">
        <v>1892</v>
      </c>
      <c r="G797" s="1" t="s">
        <v>16</v>
      </c>
      <c r="H797" s="1" t="str">
        <f>"1"</f>
        <v>1</v>
      </c>
      <c r="I797" s="2">
        <v>146.83000000000001</v>
      </c>
      <c r="J797" s="3">
        <v>46157</v>
      </c>
      <c r="K797" s="1" t="s">
        <v>1906</v>
      </c>
    </row>
    <row r="798" spans="1:11" x14ac:dyDescent="0.35">
      <c r="A798" s="1" t="s">
        <v>1885</v>
      </c>
      <c r="B798" s="1" t="s">
        <v>1886</v>
      </c>
      <c r="C798" s="1" t="s">
        <v>1907</v>
      </c>
      <c r="D798" s="1" t="str">
        <f>"8415"</f>
        <v>8415</v>
      </c>
      <c r="E798" s="1" t="str">
        <f>"015802788"</f>
        <v>015802788</v>
      </c>
      <c r="F798" s="1" t="s">
        <v>1892</v>
      </c>
      <c r="G798" s="1" t="s">
        <v>16</v>
      </c>
      <c r="H798" s="1" t="str">
        <f>"1"</f>
        <v>1</v>
      </c>
      <c r="I798" s="2">
        <v>146.81</v>
      </c>
      <c r="J798" s="3">
        <v>46157</v>
      </c>
      <c r="K798" s="1" t="s">
        <v>1906</v>
      </c>
    </row>
    <row r="799" spans="1:11" x14ac:dyDescent="0.35">
      <c r="A799" s="1" t="s">
        <v>1885</v>
      </c>
      <c r="B799" s="1" t="s">
        <v>1886</v>
      </c>
      <c r="C799" s="1" t="s">
        <v>1908</v>
      </c>
      <c r="D799" s="1" t="str">
        <f>"8415"</f>
        <v>8415</v>
      </c>
      <c r="E799" s="1" t="str">
        <f>"015802861"</f>
        <v>015802861</v>
      </c>
      <c r="F799" s="1" t="s">
        <v>1892</v>
      </c>
      <c r="G799" s="1" t="s">
        <v>16</v>
      </c>
      <c r="H799" s="1" t="str">
        <f>"1"</f>
        <v>1</v>
      </c>
      <c r="I799" s="2">
        <v>146.81</v>
      </c>
      <c r="J799" s="3">
        <v>46157</v>
      </c>
      <c r="K799" s="1" t="s">
        <v>1906</v>
      </c>
    </row>
    <row r="800" spans="1:11" x14ac:dyDescent="0.35">
      <c r="A800" s="1" t="s">
        <v>1885</v>
      </c>
      <c r="B800" s="1" t="s">
        <v>1886</v>
      </c>
      <c r="C800" s="1" t="s">
        <v>1910</v>
      </c>
      <c r="D800" s="1" t="str">
        <f>"8415"</f>
        <v>8415</v>
      </c>
      <c r="E800" s="1" t="str">
        <f>"016411690"</f>
        <v>016411690</v>
      </c>
      <c r="F800" s="1" t="s">
        <v>668</v>
      </c>
      <c r="G800" s="1" t="s">
        <v>311</v>
      </c>
      <c r="H800" s="1" t="str">
        <f>"1"</f>
        <v>1</v>
      </c>
      <c r="I800" s="2">
        <v>100.61</v>
      </c>
      <c r="J800" s="3">
        <v>46157</v>
      </c>
      <c r="K800" s="1" t="s">
        <v>1911</v>
      </c>
    </row>
    <row r="801" spans="1:11" x14ac:dyDescent="0.35">
      <c r="A801" s="1" t="s">
        <v>1885</v>
      </c>
      <c r="B801" s="1" t="s">
        <v>1916</v>
      </c>
      <c r="C801" s="1" t="s">
        <v>1917</v>
      </c>
      <c r="D801" s="1" t="str">
        <f>"2320"</f>
        <v>2320</v>
      </c>
      <c r="E801" s="1" t="str">
        <f>"013469317"</f>
        <v>013469317</v>
      </c>
      <c r="F801" s="1" t="s">
        <v>414</v>
      </c>
      <c r="G801" s="1" t="s">
        <v>16</v>
      </c>
      <c r="H801" s="1" t="str">
        <f>"1"</f>
        <v>1</v>
      </c>
      <c r="I801" s="2" t="str">
        <f>"94171"</f>
        <v>94171</v>
      </c>
      <c r="J801" s="3">
        <v>46170</v>
      </c>
      <c r="K801" s="1" t="s">
        <v>1918</v>
      </c>
    </row>
    <row r="802" spans="1:11" x14ac:dyDescent="0.35">
      <c r="A802" s="1" t="s">
        <v>1885</v>
      </c>
      <c r="B802" s="1" t="s">
        <v>1886</v>
      </c>
      <c r="C802" s="1" t="s">
        <v>1899</v>
      </c>
      <c r="D802" s="1" t="str">
        <f>"8415"</f>
        <v>8415</v>
      </c>
      <c r="E802" s="1" t="str">
        <f>"015799197"</f>
        <v>015799197</v>
      </c>
      <c r="F802" s="1" t="s">
        <v>1900</v>
      </c>
      <c r="G802" s="1" t="s">
        <v>16</v>
      </c>
      <c r="H802" s="1" t="str">
        <f>"1"</f>
        <v>1</v>
      </c>
      <c r="I802" s="2">
        <v>10.47</v>
      </c>
      <c r="J802" s="3">
        <v>46175</v>
      </c>
      <c r="K802" s="1" t="s">
        <v>1901</v>
      </c>
    </row>
    <row r="803" spans="1:11" x14ac:dyDescent="0.35">
      <c r="A803" s="1" t="s">
        <v>1885</v>
      </c>
      <c r="B803" s="1" t="s">
        <v>1919</v>
      </c>
      <c r="C803" s="1" t="s">
        <v>1920</v>
      </c>
      <c r="D803" s="1" t="str">
        <f>"5855"</f>
        <v>5855</v>
      </c>
      <c r="E803" s="1" t="str">
        <f>"015485687"</f>
        <v>015485687</v>
      </c>
      <c r="F803" s="1" t="s">
        <v>1921</v>
      </c>
      <c r="G803" s="1" t="s">
        <v>16</v>
      </c>
      <c r="H803" s="1" t="str">
        <f>"1"</f>
        <v>1</v>
      </c>
      <c r="I803" s="2" t="str">
        <f>"10402"</f>
        <v>10402</v>
      </c>
      <c r="J803" s="3">
        <v>46178</v>
      </c>
      <c r="K803" s="1" t="s">
        <v>1922</v>
      </c>
    </row>
    <row r="804" spans="1:11" x14ac:dyDescent="0.35">
      <c r="A804" s="1" t="s">
        <v>1885</v>
      </c>
      <c r="B804" s="1" t="s">
        <v>1912</v>
      </c>
      <c r="C804" s="1" t="s">
        <v>1913</v>
      </c>
      <c r="D804" s="1" t="str">
        <f>"2320"</f>
        <v>2320</v>
      </c>
      <c r="E804" s="1" t="str">
        <f>"000508841"</f>
        <v>000508841</v>
      </c>
      <c r="F804" s="1" t="s">
        <v>1914</v>
      </c>
      <c r="G804" s="1" t="s">
        <v>16</v>
      </c>
      <c r="H804" s="1" t="str">
        <f>"1"</f>
        <v>1</v>
      </c>
      <c r="I804" s="2" t="str">
        <f>"77538"</f>
        <v>77538</v>
      </c>
      <c r="J804" s="3">
        <v>46197</v>
      </c>
      <c r="K804" s="1" t="s">
        <v>1915</v>
      </c>
    </row>
    <row r="805" spans="1:11" x14ac:dyDescent="0.35">
      <c r="A805" s="1" t="s">
        <v>1925</v>
      </c>
      <c r="B805" s="1" t="s">
        <v>1926</v>
      </c>
      <c r="C805" s="1" t="s">
        <v>1927</v>
      </c>
      <c r="D805" s="1" t="str">
        <f>"1080"</f>
        <v>1080</v>
      </c>
      <c r="E805" s="1" t="str">
        <f>"014750696"</f>
        <v>014750696</v>
      </c>
      <c r="F805" s="1" t="s">
        <v>1928</v>
      </c>
      <c r="G805" s="1" t="s">
        <v>16</v>
      </c>
      <c r="H805" s="1" t="str">
        <f>"20"</f>
        <v>20</v>
      </c>
      <c r="I805" s="2" t="str">
        <f>"1204"</f>
        <v>1204</v>
      </c>
      <c r="J805" s="3">
        <v>46150</v>
      </c>
      <c r="K805" s="1" t="s">
        <v>1929</v>
      </c>
    </row>
    <row r="806" spans="1:11" x14ac:dyDescent="0.35">
      <c r="A806" s="1" t="s">
        <v>1930</v>
      </c>
      <c r="B806" s="1" t="s">
        <v>2084</v>
      </c>
      <c r="C806" s="1" t="s">
        <v>2085</v>
      </c>
      <c r="D806" s="1" t="str">
        <f>"5315"</f>
        <v>5315</v>
      </c>
      <c r="E806" s="1" t="str">
        <f>"004129867"</f>
        <v>004129867</v>
      </c>
      <c r="F806" s="1" t="s">
        <v>2086</v>
      </c>
      <c r="G806" s="1" t="s">
        <v>16</v>
      </c>
      <c r="H806" s="1" t="str">
        <f>"10"</f>
        <v>10</v>
      </c>
      <c r="I806" s="2">
        <v>38.74</v>
      </c>
      <c r="J806" s="3">
        <v>46113</v>
      </c>
      <c r="K806" s="1" t="s">
        <v>2087</v>
      </c>
    </row>
    <row r="807" spans="1:11" x14ac:dyDescent="0.35">
      <c r="A807" s="1" t="s">
        <v>1930</v>
      </c>
      <c r="B807" s="1" t="s">
        <v>1963</v>
      </c>
      <c r="C807" s="1" t="s">
        <v>1964</v>
      </c>
      <c r="D807" s="1" t="str">
        <f>"1670"</f>
        <v>1670</v>
      </c>
      <c r="E807" s="1" t="str">
        <f>"013298010"</f>
        <v>013298010</v>
      </c>
      <c r="F807" s="1" t="s">
        <v>1965</v>
      </c>
      <c r="G807" s="1" t="s">
        <v>311</v>
      </c>
      <c r="H807" s="1" t="str">
        <f>"5"</f>
        <v>5</v>
      </c>
      <c r="I807" s="2">
        <v>13133.66</v>
      </c>
      <c r="J807" s="3">
        <v>46115</v>
      </c>
      <c r="K807" s="1" t="s">
        <v>1966</v>
      </c>
    </row>
    <row r="808" spans="1:11" x14ac:dyDescent="0.35">
      <c r="A808" s="1" t="s">
        <v>1930</v>
      </c>
      <c r="B808" s="1" t="s">
        <v>2008</v>
      </c>
      <c r="C808" s="1" t="s">
        <v>2040</v>
      </c>
      <c r="D808" s="1" t="str">
        <f>"5120"</f>
        <v>5120</v>
      </c>
      <c r="E808" s="1" t="str">
        <f>"014767556"</f>
        <v>014767556</v>
      </c>
      <c r="F808" s="1" t="s">
        <v>586</v>
      </c>
      <c r="G808" s="1" t="s">
        <v>16</v>
      </c>
      <c r="H808" s="1" t="str">
        <f>"30"</f>
        <v>30</v>
      </c>
      <c r="I808" s="2">
        <v>61.83</v>
      </c>
      <c r="J808" s="3">
        <v>46115</v>
      </c>
      <c r="K808" s="1" t="s">
        <v>2041</v>
      </c>
    </row>
    <row r="809" spans="1:11" x14ac:dyDescent="0.35">
      <c r="A809" s="1" t="s">
        <v>1930</v>
      </c>
      <c r="B809" s="1" t="s">
        <v>2008</v>
      </c>
      <c r="C809" s="1" t="s">
        <v>2059</v>
      </c>
      <c r="D809" s="1" t="str">
        <f>"7830"</f>
        <v>7830</v>
      </c>
      <c r="E809" s="1" t="s">
        <v>2060</v>
      </c>
      <c r="F809" s="1" t="s">
        <v>2061</v>
      </c>
      <c r="G809" s="1" t="s">
        <v>16</v>
      </c>
      <c r="H809" s="1" t="str">
        <f>"1"</f>
        <v>1</v>
      </c>
      <c r="I809" s="2" t="str">
        <f>"1500"</f>
        <v>1500</v>
      </c>
      <c r="J809" s="3">
        <v>46115</v>
      </c>
      <c r="K809" s="1" t="s">
        <v>2062</v>
      </c>
    </row>
    <row r="810" spans="1:11" x14ac:dyDescent="0.35">
      <c r="A810" s="1" t="s">
        <v>1930</v>
      </c>
      <c r="B810" s="1" t="s">
        <v>2008</v>
      </c>
      <c r="C810" s="1" t="s">
        <v>2063</v>
      </c>
      <c r="D810" s="1" t="str">
        <f>"7830"</f>
        <v>7830</v>
      </c>
      <c r="E810" s="1" t="s">
        <v>1867</v>
      </c>
      <c r="F810" s="1" t="s">
        <v>1868</v>
      </c>
      <c r="G810" s="1" t="s">
        <v>16</v>
      </c>
      <c r="H810" s="1" t="str">
        <f>"2"</f>
        <v>2</v>
      </c>
      <c r="I810" s="2" t="str">
        <f>"1200"</f>
        <v>1200</v>
      </c>
      <c r="J810" s="3">
        <v>46115</v>
      </c>
      <c r="K810" s="1" t="s">
        <v>2064</v>
      </c>
    </row>
    <row r="811" spans="1:11" x14ac:dyDescent="0.35">
      <c r="A811" s="1" t="s">
        <v>1930</v>
      </c>
      <c r="B811" s="1" t="s">
        <v>2008</v>
      </c>
      <c r="C811" s="1" t="s">
        <v>2068</v>
      </c>
      <c r="D811" s="1" t="str">
        <f>"8465"</f>
        <v>8465</v>
      </c>
      <c r="E811" s="1" t="str">
        <f>"015801303"</f>
        <v>015801303</v>
      </c>
      <c r="F811" s="1" t="s">
        <v>51</v>
      </c>
      <c r="G811" s="1" t="s">
        <v>16</v>
      </c>
      <c r="H811" s="1" t="str">
        <f>"5"</f>
        <v>5</v>
      </c>
      <c r="I811" s="2">
        <v>19.87</v>
      </c>
      <c r="J811" s="3">
        <v>46115</v>
      </c>
      <c r="K811" s="1" t="s">
        <v>2069</v>
      </c>
    </row>
    <row r="812" spans="1:11" x14ac:dyDescent="0.35">
      <c r="A812" s="1" t="s">
        <v>1930</v>
      </c>
      <c r="B812" s="1" t="s">
        <v>2070</v>
      </c>
      <c r="C812" s="1" t="s">
        <v>2077</v>
      </c>
      <c r="D812" s="1" t="str">
        <f>"6515"</f>
        <v>6515</v>
      </c>
      <c r="E812" s="1" t="s">
        <v>2078</v>
      </c>
      <c r="F812" s="1" t="s">
        <v>2079</v>
      </c>
      <c r="G812" s="1" t="s">
        <v>16</v>
      </c>
      <c r="H812" s="1" t="str">
        <f>"1"</f>
        <v>1</v>
      </c>
      <c r="I812" s="2">
        <v>2977.69</v>
      </c>
      <c r="J812" s="3">
        <v>46115</v>
      </c>
      <c r="K812" s="1" t="s">
        <v>2080</v>
      </c>
    </row>
    <row r="813" spans="1:11" x14ac:dyDescent="0.35">
      <c r="A813" s="1" t="s">
        <v>1930</v>
      </c>
      <c r="B813" s="1" t="s">
        <v>1956</v>
      </c>
      <c r="C813" s="1" t="s">
        <v>1957</v>
      </c>
      <c r="D813" s="1" t="str">
        <f>"6545"</f>
        <v>6545</v>
      </c>
      <c r="E813" s="1" t="str">
        <f>"015300929"</f>
        <v>015300929</v>
      </c>
      <c r="F813" s="1" t="s">
        <v>236</v>
      </c>
      <c r="G813" s="1" t="s">
        <v>215</v>
      </c>
      <c r="H813" s="1" t="str">
        <f>"19"</f>
        <v>19</v>
      </c>
      <c r="I813" s="2">
        <v>48.71</v>
      </c>
      <c r="J813" s="3">
        <v>46122</v>
      </c>
      <c r="K813" s="1" t="s">
        <v>1958</v>
      </c>
    </row>
    <row r="814" spans="1:11" x14ac:dyDescent="0.35">
      <c r="A814" s="1" t="s">
        <v>1930</v>
      </c>
      <c r="B814" s="1" t="s">
        <v>1931</v>
      </c>
      <c r="C814" s="1" t="s">
        <v>1934</v>
      </c>
      <c r="D814" s="1" t="str">
        <f>"2330"</f>
        <v>2330</v>
      </c>
      <c r="E814" s="1" t="s">
        <v>70</v>
      </c>
      <c r="F814" s="1" t="s">
        <v>71</v>
      </c>
      <c r="G814" s="1" t="s">
        <v>16</v>
      </c>
      <c r="H814" s="1" t="str">
        <f>"1"</f>
        <v>1</v>
      </c>
      <c r="I814" s="2" t="str">
        <f>"14555"</f>
        <v>14555</v>
      </c>
      <c r="J814" s="3">
        <v>46125</v>
      </c>
      <c r="K814" s="1" t="s">
        <v>1935</v>
      </c>
    </row>
    <row r="815" spans="1:11" x14ac:dyDescent="0.35">
      <c r="A815" s="1" t="s">
        <v>1930</v>
      </c>
      <c r="B815" s="1" t="s">
        <v>1931</v>
      </c>
      <c r="C815" s="1" t="s">
        <v>1936</v>
      </c>
      <c r="D815" s="1" t="str">
        <f>"2330"</f>
        <v>2330</v>
      </c>
      <c r="E815" s="1" t="s">
        <v>70</v>
      </c>
      <c r="F815" s="1" t="s">
        <v>71</v>
      </c>
      <c r="G815" s="1" t="s">
        <v>16</v>
      </c>
      <c r="H815" s="1" t="str">
        <f>"1"</f>
        <v>1</v>
      </c>
      <c r="I815" s="2" t="str">
        <f>"14555"</f>
        <v>14555</v>
      </c>
      <c r="J815" s="3">
        <v>46125</v>
      </c>
      <c r="K815" s="1" t="s">
        <v>1937</v>
      </c>
    </row>
    <row r="816" spans="1:11" x14ac:dyDescent="0.35">
      <c r="A816" s="1" t="s">
        <v>1930</v>
      </c>
      <c r="B816" s="1" t="s">
        <v>2008</v>
      </c>
      <c r="C816" s="1" t="s">
        <v>2009</v>
      </c>
      <c r="D816" s="1" t="str">
        <f>"1095"</f>
        <v>1095</v>
      </c>
      <c r="E816" s="1" t="str">
        <f>"004070674"</f>
        <v>004070674</v>
      </c>
      <c r="F816" s="1" t="s">
        <v>2010</v>
      </c>
      <c r="G816" s="1" t="s">
        <v>16</v>
      </c>
      <c r="H816" s="1" t="str">
        <f>"1"</f>
        <v>1</v>
      </c>
      <c r="I816" s="2">
        <v>1098.96</v>
      </c>
      <c r="J816" s="3">
        <v>46126</v>
      </c>
      <c r="K816" s="1" t="s">
        <v>2011</v>
      </c>
    </row>
    <row r="817" spans="1:11" x14ac:dyDescent="0.35">
      <c r="A817" s="1" t="s">
        <v>1930</v>
      </c>
      <c r="B817" s="1" t="s">
        <v>2008</v>
      </c>
      <c r="C817" s="1" t="s">
        <v>2033</v>
      </c>
      <c r="D817" s="1" t="str">
        <f>"4220"</f>
        <v>4220</v>
      </c>
      <c r="E817" s="1" t="str">
        <f>"012354005"</f>
        <v>012354005</v>
      </c>
      <c r="F817" s="1" t="s">
        <v>2034</v>
      </c>
      <c r="G817" s="1" t="s">
        <v>458</v>
      </c>
      <c r="H817" s="1" t="str">
        <f>"30"</f>
        <v>30</v>
      </c>
      <c r="I817" s="2" t="str">
        <f>"3000"</f>
        <v>3000</v>
      </c>
      <c r="J817" s="3">
        <v>46126</v>
      </c>
      <c r="K817" s="1" t="s">
        <v>2035</v>
      </c>
    </row>
    <row r="818" spans="1:11" x14ac:dyDescent="0.35">
      <c r="A818" s="1" t="s">
        <v>1930</v>
      </c>
      <c r="B818" s="1" t="s">
        <v>2008</v>
      </c>
      <c r="C818" s="1" t="s">
        <v>2036</v>
      </c>
      <c r="D818" s="1" t="str">
        <f>"4220"</f>
        <v>4220</v>
      </c>
      <c r="E818" s="1" t="s">
        <v>2030</v>
      </c>
      <c r="F818" s="1" t="s">
        <v>2031</v>
      </c>
      <c r="G818" s="1" t="s">
        <v>16</v>
      </c>
      <c r="H818" s="1" t="str">
        <f>"2"</f>
        <v>2</v>
      </c>
      <c r="I818" s="2">
        <v>109.47</v>
      </c>
      <c r="J818" s="3">
        <v>46126</v>
      </c>
      <c r="K818" s="1" t="s">
        <v>2037</v>
      </c>
    </row>
    <row r="819" spans="1:11" x14ac:dyDescent="0.35">
      <c r="A819" s="1" t="s">
        <v>1930</v>
      </c>
      <c r="B819" s="1" t="s">
        <v>1931</v>
      </c>
      <c r="C819" s="1" t="s">
        <v>1944</v>
      </c>
      <c r="D819" s="1" t="str">
        <f>"4320"</f>
        <v>4320</v>
      </c>
      <c r="E819" s="1" t="str">
        <f>"011582954"</f>
        <v>011582954</v>
      </c>
      <c r="F819" s="1" t="s">
        <v>1945</v>
      </c>
      <c r="G819" s="1" t="s">
        <v>16</v>
      </c>
      <c r="H819" s="1" t="str">
        <f>"1"</f>
        <v>1</v>
      </c>
      <c r="I819" s="2" t="str">
        <f>"12250"</f>
        <v>12250</v>
      </c>
      <c r="J819" s="3">
        <v>46132</v>
      </c>
      <c r="K819" s="1" t="s">
        <v>1946</v>
      </c>
    </row>
    <row r="820" spans="1:11" x14ac:dyDescent="0.35">
      <c r="A820" s="1" t="s">
        <v>1930</v>
      </c>
      <c r="B820" s="1" t="s">
        <v>1931</v>
      </c>
      <c r="C820" s="1" t="s">
        <v>1947</v>
      </c>
      <c r="D820" s="1" t="str">
        <f>"4320"</f>
        <v>4320</v>
      </c>
      <c r="E820" s="1" t="str">
        <f>"011582954"</f>
        <v>011582954</v>
      </c>
      <c r="F820" s="1" t="s">
        <v>1945</v>
      </c>
      <c r="G820" s="1" t="s">
        <v>16</v>
      </c>
      <c r="H820" s="1" t="str">
        <f>"1"</f>
        <v>1</v>
      </c>
      <c r="I820" s="2" t="str">
        <f>"12250"</f>
        <v>12250</v>
      </c>
      <c r="J820" s="3">
        <v>46132</v>
      </c>
      <c r="K820" s="1" t="s">
        <v>1948</v>
      </c>
    </row>
    <row r="821" spans="1:11" x14ac:dyDescent="0.35">
      <c r="A821" s="1" t="s">
        <v>1930</v>
      </c>
      <c r="B821" s="1" t="s">
        <v>1972</v>
      </c>
      <c r="C821" s="1" t="s">
        <v>1983</v>
      </c>
      <c r="D821" s="1" t="str">
        <f>"5855"</f>
        <v>5855</v>
      </c>
      <c r="E821" s="1" t="str">
        <f>"015330555"</f>
        <v>015330555</v>
      </c>
      <c r="F821" s="1" t="s">
        <v>462</v>
      </c>
      <c r="G821" s="1" t="s">
        <v>16</v>
      </c>
      <c r="H821" s="1" t="str">
        <f>"15"</f>
        <v>15</v>
      </c>
      <c r="I821" s="2" t="str">
        <f>"1800"</f>
        <v>1800</v>
      </c>
      <c r="J821" s="3">
        <v>46134</v>
      </c>
      <c r="K821" s="1" t="s">
        <v>1982</v>
      </c>
    </row>
    <row r="822" spans="1:11" x14ac:dyDescent="0.35">
      <c r="A822" s="1" t="s">
        <v>1930</v>
      </c>
      <c r="B822" s="1" t="s">
        <v>1963</v>
      </c>
      <c r="C822" s="1" t="s">
        <v>1967</v>
      </c>
      <c r="D822" s="1" t="str">
        <f>"5120"</f>
        <v>5120</v>
      </c>
      <c r="E822" s="1" t="str">
        <f>"008785932"</f>
        <v>008785932</v>
      </c>
      <c r="F822" s="1" t="s">
        <v>586</v>
      </c>
      <c r="G822" s="1" t="s">
        <v>16</v>
      </c>
      <c r="H822" s="1" t="str">
        <f>"25"</f>
        <v>25</v>
      </c>
      <c r="I822" s="2">
        <v>97.1</v>
      </c>
      <c r="J822" s="3">
        <v>46136</v>
      </c>
      <c r="K822" s="1" t="s">
        <v>1968</v>
      </c>
    </row>
    <row r="823" spans="1:11" x14ac:dyDescent="0.35">
      <c r="A823" s="1" t="s">
        <v>1930</v>
      </c>
      <c r="B823" s="1" t="s">
        <v>1963</v>
      </c>
      <c r="C823" s="1" t="s">
        <v>1969</v>
      </c>
      <c r="D823" s="1" t="str">
        <f>"8440"</f>
        <v>8440</v>
      </c>
      <c r="E823" s="1" t="str">
        <f>"016789096"</f>
        <v>016789096</v>
      </c>
      <c r="F823" s="1" t="s">
        <v>1970</v>
      </c>
      <c r="G823" s="1" t="s">
        <v>311</v>
      </c>
      <c r="H823" s="1" t="str">
        <f>"25"</f>
        <v>25</v>
      </c>
      <c r="I823" s="2">
        <v>94.77</v>
      </c>
      <c r="J823" s="3">
        <v>46136</v>
      </c>
      <c r="K823" s="1" t="s">
        <v>1971</v>
      </c>
    </row>
    <row r="824" spans="1:11" x14ac:dyDescent="0.35">
      <c r="A824" s="1" t="s">
        <v>1930</v>
      </c>
      <c r="B824" s="1" t="s">
        <v>2008</v>
      </c>
      <c r="C824" s="1" t="s">
        <v>2049</v>
      </c>
      <c r="D824" s="1" t="str">
        <f>"6530"</f>
        <v>6530</v>
      </c>
      <c r="E824" s="1" t="str">
        <f>"016202574"</f>
        <v>016202574</v>
      </c>
      <c r="F824" s="1" t="s">
        <v>2050</v>
      </c>
      <c r="G824" s="1" t="s">
        <v>16</v>
      </c>
      <c r="H824" s="1" t="str">
        <f>"1"</f>
        <v>1</v>
      </c>
      <c r="I824" s="2">
        <v>784.44</v>
      </c>
      <c r="J824" s="3">
        <v>46136</v>
      </c>
      <c r="K824" s="1" t="s">
        <v>2051</v>
      </c>
    </row>
    <row r="825" spans="1:11" x14ac:dyDescent="0.35">
      <c r="A825" s="1" t="s">
        <v>1930</v>
      </c>
      <c r="B825" s="1" t="s">
        <v>1931</v>
      </c>
      <c r="C825" s="1" t="s">
        <v>1938</v>
      </c>
      <c r="D825" s="1" t="str">
        <f>"2420"</f>
        <v>2420</v>
      </c>
      <c r="E825" s="1" t="s">
        <v>501</v>
      </c>
      <c r="F825" s="1" t="s">
        <v>502</v>
      </c>
      <c r="G825" s="1" t="s">
        <v>16</v>
      </c>
      <c r="H825" s="1" t="str">
        <f>"1"</f>
        <v>1</v>
      </c>
      <c r="I825" s="2" t="str">
        <f>"20000"</f>
        <v>20000</v>
      </c>
      <c r="J825" s="3">
        <v>46140</v>
      </c>
      <c r="K825" s="1" t="s">
        <v>1939</v>
      </c>
    </row>
    <row r="826" spans="1:11" x14ac:dyDescent="0.35">
      <c r="A826" s="1" t="s">
        <v>1930</v>
      </c>
      <c r="B826" s="1" t="s">
        <v>1972</v>
      </c>
      <c r="C826" s="1" t="s">
        <v>1991</v>
      </c>
      <c r="D826" s="1" t="str">
        <f>"8415"</f>
        <v>8415</v>
      </c>
      <c r="E826" s="1" t="str">
        <f>"015802497"</f>
        <v>015802497</v>
      </c>
      <c r="F826" s="1" t="s">
        <v>1988</v>
      </c>
      <c r="G826" s="1" t="s">
        <v>311</v>
      </c>
      <c r="H826" s="1" t="str">
        <f>"20"</f>
        <v>20</v>
      </c>
      <c r="I826" s="2">
        <v>120.1</v>
      </c>
      <c r="J826" s="3">
        <v>46140</v>
      </c>
      <c r="K826" s="1" t="s">
        <v>1992</v>
      </c>
    </row>
    <row r="827" spans="1:11" x14ac:dyDescent="0.35">
      <c r="A827" s="1" t="s">
        <v>1930</v>
      </c>
      <c r="B827" s="1" t="s">
        <v>1972</v>
      </c>
      <c r="C827" s="1" t="s">
        <v>1993</v>
      </c>
      <c r="D827" s="1" t="str">
        <f>"8415"</f>
        <v>8415</v>
      </c>
      <c r="E827" s="1" t="str">
        <f>"015802504"</f>
        <v>015802504</v>
      </c>
      <c r="F827" s="1" t="s">
        <v>1988</v>
      </c>
      <c r="G827" s="1" t="s">
        <v>311</v>
      </c>
      <c r="H827" s="1" t="str">
        <f>"20"</f>
        <v>20</v>
      </c>
      <c r="I827" s="2">
        <v>120.1</v>
      </c>
      <c r="J827" s="3">
        <v>46140</v>
      </c>
      <c r="K827" s="1" t="s">
        <v>1992</v>
      </c>
    </row>
    <row r="828" spans="1:11" x14ac:dyDescent="0.35">
      <c r="A828" s="1" t="s">
        <v>1930</v>
      </c>
      <c r="B828" s="1" t="s">
        <v>1972</v>
      </c>
      <c r="C828" s="1" t="s">
        <v>1994</v>
      </c>
      <c r="D828" s="1" t="str">
        <f>"8415"</f>
        <v>8415</v>
      </c>
      <c r="E828" s="1" t="str">
        <f>"015802854"</f>
        <v>015802854</v>
      </c>
      <c r="F828" s="1" t="s">
        <v>1892</v>
      </c>
      <c r="G828" s="1" t="s">
        <v>16</v>
      </c>
      <c r="H828" s="1" t="str">
        <f>"5"</f>
        <v>5</v>
      </c>
      <c r="I828" s="2">
        <v>146.83000000000001</v>
      </c>
      <c r="J828" s="3">
        <v>46140</v>
      </c>
      <c r="K828" s="1" t="s">
        <v>1995</v>
      </c>
    </row>
    <row r="829" spans="1:11" x14ac:dyDescent="0.35">
      <c r="A829" s="1" t="s">
        <v>1930</v>
      </c>
      <c r="B829" s="1" t="s">
        <v>1972</v>
      </c>
      <c r="C829" s="1" t="s">
        <v>1973</v>
      </c>
      <c r="D829" s="1" t="str">
        <f>"1005"</f>
        <v>1005</v>
      </c>
      <c r="E829" s="1" t="str">
        <f>"014534222"</f>
        <v>014534222</v>
      </c>
      <c r="F829" s="1" t="s">
        <v>1974</v>
      </c>
      <c r="G829" s="1" t="s">
        <v>16</v>
      </c>
      <c r="H829" s="1" t="str">
        <f>"20"</f>
        <v>20</v>
      </c>
      <c r="I829" s="2">
        <v>1.73</v>
      </c>
      <c r="J829" s="3">
        <v>46142</v>
      </c>
      <c r="K829" s="1" t="s">
        <v>1975</v>
      </c>
    </row>
    <row r="830" spans="1:11" x14ac:dyDescent="0.35">
      <c r="A830" s="1" t="s">
        <v>1930</v>
      </c>
      <c r="B830" s="1" t="s">
        <v>1972</v>
      </c>
      <c r="C830" s="1" t="s">
        <v>1976</v>
      </c>
      <c r="D830" s="1" t="str">
        <f>"1005"</f>
        <v>1005</v>
      </c>
      <c r="E830" s="1" t="str">
        <f>"014535386"</f>
        <v>014535386</v>
      </c>
      <c r="F830" s="1" t="s">
        <v>1977</v>
      </c>
      <c r="G830" s="1" t="s">
        <v>16</v>
      </c>
      <c r="H830" s="1" t="str">
        <f>"20"</f>
        <v>20</v>
      </c>
      <c r="I830" s="2">
        <v>2.78</v>
      </c>
      <c r="J830" s="3">
        <v>46142</v>
      </c>
      <c r="K830" s="1" t="s">
        <v>1975</v>
      </c>
    </row>
    <row r="831" spans="1:11" x14ac:dyDescent="0.35">
      <c r="A831" s="1" t="s">
        <v>1930</v>
      </c>
      <c r="B831" s="1" t="s">
        <v>1972</v>
      </c>
      <c r="C831" s="1" t="s">
        <v>1978</v>
      </c>
      <c r="D831" s="1" t="str">
        <f>"1005"</f>
        <v>1005</v>
      </c>
      <c r="E831" s="1" t="str">
        <f>"014536655"</f>
        <v>014536655</v>
      </c>
      <c r="F831" s="1" t="s">
        <v>1979</v>
      </c>
      <c r="G831" s="1" t="s">
        <v>16</v>
      </c>
      <c r="H831" s="1" t="str">
        <f>"20"</f>
        <v>20</v>
      </c>
      <c r="I831" s="2">
        <v>4.9400000000000004</v>
      </c>
      <c r="J831" s="3">
        <v>46142</v>
      </c>
      <c r="K831" s="1" t="s">
        <v>1975</v>
      </c>
    </row>
    <row r="832" spans="1:11" x14ac:dyDescent="0.35">
      <c r="A832" s="1" t="s">
        <v>1930</v>
      </c>
      <c r="B832" s="1" t="s">
        <v>1972</v>
      </c>
      <c r="C832" s="1" t="s">
        <v>1984</v>
      </c>
      <c r="D832" s="1" t="str">
        <f>"8415"</f>
        <v>8415</v>
      </c>
      <c r="E832" s="1" t="str">
        <f>"015802782"</f>
        <v>015802782</v>
      </c>
      <c r="F832" s="1" t="s">
        <v>1892</v>
      </c>
      <c r="G832" s="1" t="s">
        <v>16</v>
      </c>
      <c r="H832" s="1" t="str">
        <f>"14"</f>
        <v>14</v>
      </c>
      <c r="I832" s="2">
        <v>146.81</v>
      </c>
      <c r="J832" s="3">
        <v>46142</v>
      </c>
      <c r="K832" s="1" t="s">
        <v>1985</v>
      </c>
    </row>
    <row r="833" spans="1:11" x14ac:dyDescent="0.35">
      <c r="A833" s="1" t="s">
        <v>1930</v>
      </c>
      <c r="B833" s="1" t="s">
        <v>1972</v>
      </c>
      <c r="C833" s="1" t="s">
        <v>1986</v>
      </c>
      <c r="D833" s="1" t="str">
        <f>"8415"</f>
        <v>8415</v>
      </c>
      <c r="E833" s="1" t="str">
        <f>"015802854"</f>
        <v>015802854</v>
      </c>
      <c r="F833" s="1" t="s">
        <v>1892</v>
      </c>
      <c r="G833" s="1" t="s">
        <v>16</v>
      </c>
      <c r="H833" s="1" t="str">
        <f>"14"</f>
        <v>14</v>
      </c>
      <c r="I833" s="2">
        <v>146.83000000000001</v>
      </c>
      <c r="J833" s="3">
        <v>46142</v>
      </c>
      <c r="K833" s="1" t="s">
        <v>1985</v>
      </c>
    </row>
    <row r="834" spans="1:11" x14ac:dyDescent="0.35">
      <c r="A834" s="1" t="s">
        <v>1930</v>
      </c>
      <c r="B834" s="1" t="s">
        <v>1972</v>
      </c>
      <c r="C834" s="1" t="s">
        <v>1987</v>
      </c>
      <c r="D834" s="1" t="str">
        <f>"8415"</f>
        <v>8415</v>
      </c>
      <c r="E834" s="1" t="str">
        <f>"015802504"</f>
        <v>015802504</v>
      </c>
      <c r="F834" s="1" t="s">
        <v>1988</v>
      </c>
      <c r="G834" s="1" t="s">
        <v>311</v>
      </c>
      <c r="H834" s="1" t="str">
        <f>"1"</f>
        <v>1</v>
      </c>
      <c r="I834" s="2">
        <v>120.1</v>
      </c>
      <c r="J834" s="3">
        <v>46142</v>
      </c>
      <c r="K834" s="1" t="s">
        <v>1985</v>
      </c>
    </row>
    <row r="835" spans="1:11" x14ac:dyDescent="0.35">
      <c r="A835" s="1" t="s">
        <v>1930</v>
      </c>
      <c r="B835" s="1" t="s">
        <v>1972</v>
      </c>
      <c r="C835" s="1" t="s">
        <v>1989</v>
      </c>
      <c r="D835" s="1" t="str">
        <f>"8415"</f>
        <v>8415</v>
      </c>
      <c r="E835" s="1" t="str">
        <f>"015802468"</f>
        <v>015802468</v>
      </c>
      <c r="F835" s="1" t="s">
        <v>1988</v>
      </c>
      <c r="G835" s="1" t="s">
        <v>311</v>
      </c>
      <c r="H835" s="1" t="str">
        <f>"6"</f>
        <v>6</v>
      </c>
      <c r="I835" s="2">
        <v>120.1</v>
      </c>
      <c r="J835" s="3">
        <v>46142</v>
      </c>
      <c r="K835" s="1" t="s">
        <v>1985</v>
      </c>
    </row>
    <row r="836" spans="1:11" x14ac:dyDescent="0.35">
      <c r="A836" s="1" t="s">
        <v>1930</v>
      </c>
      <c r="B836" s="1" t="s">
        <v>1972</v>
      </c>
      <c r="C836" s="1" t="s">
        <v>1990</v>
      </c>
      <c r="D836" s="1" t="str">
        <f>"8415"</f>
        <v>8415</v>
      </c>
      <c r="E836" s="1" t="str">
        <f>"015802504"</f>
        <v>015802504</v>
      </c>
      <c r="F836" s="1" t="s">
        <v>1988</v>
      </c>
      <c r="G836" s="1" t="s">
        <v>311</v>
      </c>
      <c r="H836" s="1" t="str">
        <f>"1"</f>
        <v>1</v>
      </c>
      <c r="I836" s="2">
        <v>120.1</v>
      </c>
      <c r="J836" s="3">
        <v>46142</v>
      </c>
      <c r="K836" s="1" t="s">
        <v>1985</v>
      </c>
    </row>
    <row r="837" spans="1:11" x14ac:dyDescent="0.35">
      <c r="A837" s="1" t="s">
        <v>1930</v>
      </c>
      <c r="B837" s="1" t="s">
        <v>2008</v>
      </c>
      <c r="C837" s="1" t="s">
        <v>2012</v>
      </c>
      <c r="D837" s="1" t="str">
        <f>"1095"</f>
        <v>1095</v>
      </c>
      <c r="E837" s="1" t="str">
        <f>"004070674"</f>
        <v>004070674</v>
      </c>
      <c r="F837" s="1" t="s">
        <v>2010</v>
      </c>
      <c r="G837" s="1" t="s">
        <v>16</v>
      </c>
      <c r="H837" s="1" t="str">
        <f>"10"</f>
        <v>10</v>
      </c>
      <c r="I837" s="2">
        <v>1098.96</v>
      </c>
      <c r="J837" s="3">
        <v>46142</v>
      </c>
      <c r="K837" s="1" t="s">
        <v>2013</v>
      </c>
    </row>
    <row r="838" spans="1:11" x14ac:dyDescent="0.35">
      <c r="A838" s="1" t="s">
        <v>1930</v>
      </c>
      <c r="B838" s="1" t="s">
        <v>2008</v>
      </c>
      <c r="C838" s="1" t="s">
        <v>2014</v>
      </c>
      <c r="D838" s="1" t="str">
        <f>"1095"</f>
        <v>1095</v>
      </c>
      <c r="E838" s="1" t="str">
        <f>"004070674"</f>
        <v>004070674</v>
      </c>
      <c r="F838" s="1" t="s">
        <v>2010</v>
      </c>
      <c r="G838" s="1" t="s">
        <v>16</v>
      </c>
      <c r="H838" s="1" t="str">
        <f>"6"</f>
        <v>6</v>
      </c>
      <c r="I838" s="2">
        <v>1098.96</v>
      </c>
      <c r="J838" s="3">
        <v>46142</v>
      </c>
      <c r="K838" s="1" t="s">
        <v>2015</v>
      </c>
    </row>
    <row r="839" spans="1:11" x14ac:dyDescent="0.35">
      <c r="A839" s="1" t="s">
        <v>1930</v>
      </c>
      <c r="B839" s="1" t="s">
        <v>2008</v>
      </c>
      <c r="C839" s="1" t="s">
        <v>2020</v>
      </c>
      <c r="D839" s="1" t="str">
        <f>"2360"</f>
        <v>2360</v>
      </c>
      <c r="E839" s="1" t="str">
        <f>"016864111"</f>
        <v>016864111</v>
      </c>
      <c r="F839" s="1" t="s">
        <v>2021</v>
      </c>
      <c r="G839" s="1" t="s">
        <v>16</v>
      </c>
      <c r="H839" s="1" t="str">
        <f>"2"</f>
        <v>2</v>
      </c>
      <c r="I839" s="2" t="str">
        <f>"93349"</f>
        <v>93349</v>
      </c>
      <c r="J839" s="3">
        <v>46142</v>
      </c>
      <c r="K839" s="1" t="s">
        <v>2022</v>
      </c>
    </row>
    <row r="840" spans="1:11" x14ac:dyDescent="0.35">
      <c r="A840" s="1" t="s">
        <v>1930</v>
      </c>
      <c r="B840" s="1" t="s">
        <v>2008</v>
      </c>
      <c r="C840" s="1" t="s">
        <v>2029</v>
      </c>
      <c r="D840" s="1" t="str">
        <f>"4220"</f>
        <v>4220</v>
      </c>
      <c r="E840" s="1" t="s">
        <v>2030</v>
      </c>
      <c r="F840" s="1" t="s">
        <v>2031</v>
      </c>
      <c r="G840" s="1" t="s">
        <v>16</v>
      </c>
      <c r="H840" s="1" t="str">
        <f>"1"</f>
        <v>1</v>
      </c>
      <c r="I840" s="2">
        <v>109.47</v>
      </c>
      <c r="J840" s="3">
        <v>46142</v>
      </c>
      <c r="K840" s="1" t="s">
        <v>2032</v>
      </c>
    </row>
    <row r="841" spans="1:11" x14ac:dyDescent="0.35">
      <c r="A841" s="1" t="s">
        <v>1930</v>
      </c>
      <c r="B841" s="1" t="s">
        <v>1949</v>
      </c>
      <c r="C841" s="1" t="s">
        <v>1950</v>
      </c>
      <c r="D841" s="1" t="str">
        <f>"1385"</f>
        <v>1385</v>
      </c>
      <c r="E841" s="1" t="str">
        <f>"016724286"</f>
        <v>016724286</v>
      </c>
      <c r="F841" s="1" t="s">
        <v>196</v>
      </c>
      <c r="G841" s="1" t="s">
        <v>16</v>
      </c>
      <c r="H841" s="1" t="str">
        <f>"2"</f>
        <v>2</v>
      </c>
      <c r="I841" s="2" t="str">
        <f>"83364"</f>
        <v>83364</v>
      </c>
      <c r="J841" s="3">
        <v>46150</v>
      </c>
      <c r="K841" s="1" t="s">
        <v>1951</v>
      </c>
    </row>
    <row r="842" spans="1:11" x14ac:dyDescent="0.35">
      <c r="A842" s="1" t="s">
        <v>1930</v>
      </c>
      <c r="B842" s="1" t="s">
        <v>2005</v>
      </c>
      <c r="C842" s="1" t="s">
        <v>2006</v>
      </c>
      <c r="D842" s="1" t="str">
        <f>"6545"</f>
        <v>6545</v>
      </c>
      <c r="E842" s="1" t="str">
        <f>"016675039"</f>
        <v>016675039</v>
      </c>
      <c r="F842" s="1" t="s">
        <v>236</v>
      </c>
      <c r="G842" s="1" t="s">
        <v>16</v>
      </c>
      <c r="H842" s="1" t="str">
        <f>"4"</f>
        <v>4</v>
      </c>
      <c r="I842" s="2">
        <v>200.91</v>
      </c>
      <c r="J842" s="3">
        <v>46150</v>
      </c>
      <c r="K842" s="1" t="s">
        <v>2007</v>
      </c>
    </row>
    <row r="843" spans="1:11" x14ac:dyDescent="0.35">
      <c r="A843" s="1" t="s">
        <v>1930</v>
      </c>
      <c r="B843" s="1" t="s">
        <v>1931</v>
      </c>
      <c r="C843" s="1" t="s">
        <v>1932</v>
      </c>
      <c r="D843" s="1" t="str">
        <f>"2330"</f>
        <v>2330</v>
      </c>
      <c r="E843" s="1" t="s">
        <v>70</v>
      </c>
      <c r="F843" s="1" t="s">
        <v>71</v>
      </c>
      <c r="G843" s="1" t="s">
        <v>16</v>
      </c>
      <c r="H843" s="1" t="str">
        <f>"1"</f>
        <v>1</v>
      </c>
      <c r="I843" s="2" t="str">
        <f>"12000"</f>
        <v>12000</v>
      </c>
      <c r="J843" s="3">
        <v>46156</v>
      </c>
      <c r="K843" s="1" t="s">
        <v>1933</v>
      </c>
    </row>
    <row r="844" spans="1:11" x14ac:dyDescent="0.35">
      <c r="A844" s="1" t="s">
        <v>1930</v>
      </c>
      <c r="B844" s="1" t="s">
        <v>2008</v>
      </c>
      <c r="C844" s="1" t="s">
        <v>2042</v>
      </c>
      <c r="D844" s="1" t="str">
        <f>"6115"</f>
        <v>6115</v>
      </c>
      <c r="E844" s="1" t="str">
        <f>"015310571"</f>
        <v>015310571</v>
      </c>
      <c r="F844" s="1" t="s">
        <v>1390</v>
      </c>
      <c r="G844" s="1" t="s">
        <v>16</v>
      </c>
      <c r="H844" s="1" t="str">
        <f>"1"</f>
        <v>1</v>
      </c>
      <c r="I844" s="2" t="str">
        <f>"16380"</f>
        <v>16380</v>
      </c>
      <c r="J844" s="3">
        <v>46156</v>
      </c>
      <c r="K844" s="1" t="s">
        <v>2043</v>
      </c>
    </row>
    <row r="845" spans="1:11" x14ac:dyDescent="0.35">
      <c r="A845" s="1" t="s">
        <v>1930</v>
      </c>
      <c r="B845" s="1" t="s">
        <v>1972</v>
      </c>
      <c r="C845" s="1" t="s">
        <v>1980</v>
      </c>
      <c r="D845" s="1" t="str">
        <f>"1240"</f>
        <v>1240</v>
      </c>
      <c r="E845" s="1" t="str">
        <f>"016168655"</f>
        <v>016168655</v>
      </c>
      <c r="F845" s="1" t="s">
        <v>1981</v>
      </c>
      <c r="G845" s="1" t="s">
        <v>16</v>
      </c>
      <c r="H845" s="1" t="str">
        <f>"13"</f>
        <v>13</v>
      </c>
      <c r="I845" s="2" t="str">
        <f>"437"</f>
        <v>437</v>
      </c>
      <c r="J845" s="3">
        <v>46174</v>
      </c>
      <c r="K845" s="1" t="s">
        <v>1982</v>
      </c>
    </row>
    <row r="846" spans="1:11" x14ac:dyDescent="0.35">
      <c r="A846" s="1" t="s">
        <v>1930</v>
      </c>
      <c r="B846" s="1" t="s">
        <v>1996</v>
      </c>
      <c r="C846" s="1" t="s">
        <v>1997</v>
      </c>
      <c r="D846" s="1" t="str">
        <f>"2360"</f>
        <v>2360</v>
      </c>
      <c r="E846" s="1" t="str">
        <f>"015900772"</f>
        <v>015900772</v>
      </c>
      <c r="F846" s="1" t="s">
        <v>1695</v>
      </c>
      <c r="G846" s="1" t="s">
        <v>16</v>
      </c>
      <c r="H846" s="1" t="str">
        <f>"1"</f>
        <v>1</v>
      </c>
      <c r="I846" s="2" t="str">
        <f>"232404"</f>
        <v>232404</v>
      </c>
      <c r="J846" s="3">
        <v>46175</v>
      </c>
      <c r="K846" s="1" t="s">
        <v>1998</v>
      </c>
    </row>
    <row r="847" spans="1:11" x14ac:dyDescent="0.35">
      <c r="A847" s="1" t="s">
        <v>1930</v>
      </c>
      <c r="B847" s="1" t="s">
        <v>1996</v>
      </c>
      <c r="C847" s="1" t="s">
        <v>2001</v>
      </c>
      <c r="D847" s="1" t="str">
        <f>"3825"</f>
        <v>3825</v>
      </c>
      <c r="E847" s="1" t="s">
        <v>2002</v>
      </c>
      <c r="F847" s="1" t="s">
        <v>2003</v>
      </c>
      <c r="G847" s="1" t="s">
        <v>16</v>
      </c>
      <c r="H847" s="1" t="str">
        <f>"1"</f>
        <v>1</v>
      </c>
      <c r="I847" s="2" t="str">
        <f>"1800"</f>
        <v>1800</v>
      </c>
      <c r="J847" s="3">
        <v>46175</v>
      </c>
      <c r="K847" s="1" t="s">
        <v>2004</v>
      </c>
    </row>
    <row r="848" spans="1:11" x14ac:dyDescent="0.35">
      <c r="A848" s="1" t="s">
        <v>1930</v>
      </c>
      <c r="B848" s="1" t="s">
        <v>2070</v>
      </c>
      <c r="C848" s="1" t="s">
        <v>2073</v>
      </c>
      <c r="D848" s="1" t="str">
        <f>"1550"</f>
        <v>1550</v>
      </c>
      <c r="E848" s="1" t="str">
        <f>"016215533"</f>
        <v>016215533</v>
      </c>
      <c r="F848" s="1" t="s">
        <v>1417</v>
      </c>
      <c r="G848" s="1" t="s">
        <v>16</v>
      </c>
      <c r="H848" s="1" t="str">
        <f>"1"</f>
        <v>1</v>
      </c>
      <c r="I848" s="2" t="str">
        <f>"168000"</f>
        <v>168000</v>
      </c>
      <c r="J848" s="3">
        <v>46175</v>
      </c>
      <c r="K848" s="1" t="s">
        <v>2074</v>
      </c>
    </row>
    <row r="849" spans="1:11" x14ac:dyDescent="0.35">
      <c r="A849" s="1" t="s">
        <v>1930</v>
      </c>
      <c r="B849" s="1" t="s">
        <v>2070</v>
      </c>
      <c r="C849" s="1" t="s">
        <v>2075</v>
      </c>
      <c r="D849" s="1" t="str">
        <f>"5180"</f>
        <v>5180</v>
      </c>
      <c r="E849" s="1" t="str">
        <f>"015595981"</f>
        <v>015595981</v>
      </c>
      <c r="F849" s="1" t="s">
        <v>1076</v>
      </c>
      <c r="G849" s="1" t="s">
        <v>215</v>
      </c>
      <c r="H849" s="1" t="str">
        <f>"1"</f>
        <v>1</v>
      </c>
      <c r="I849" s="2" t="str">
        <f>"1774"</f>
        <v>1774</v>
      </c>
      <c r="J849" s="3">
        <v>46175</v>
      </c>
      <c r="K849" s="1" t="s">
        <v>2076</v>
      </c>
    </row>
    <row r="850" spans="1:11" x14ac:dyDescent="0.35">
      <c r="A850" s="1" t="s">
        <v>1930</v>
      </c>
      <c r="B850" s="1" t="s">
        <v>2008</v>
      </c>
      <c r="C850" s="1" t="s">
        <v>2046</v>
      </c>
      <c r="D850" s="1" t="str">
        <f>"6515"</f>
        <v>6515</v>
      </c>
      <c r="E850" s="1" t="str">
        <f>"016268691"</f>
        <v>016268691</v>
      </c>
      <c r="F850" s="1" t="s">
        <v>2047</v>
      </c>
      <c r="G850" s="1" t="s">
        <v>215</v>
      </c>
      <c r="H850" s="1" t="str">
        <f>"5"</f>
        <v>5</v>
      </c>
      <c r="I850" s="2">
        <v>1742.4</v>
      </c>
      <c r="J850" s="3">
        <v>46178</v>
      </c>
      <c r="K850" s="1" t="s">
        <v>2048</v>
      </c>
    </row>
    <row r="851" spans="1:11" x14ac:dyDescent="0.35">
      <c r="A851" s="1" t="s">
        <v>1930</v>
      </c>
      <c r="B851" s="1" t="s">
        <v>2088</v>
      </c>
      <c r="C851" s="1" t="s">
        <v>2089</v>
      </c>
      <c r="D851" s="1" t="str">
        <f>"1550"</f>
        <v>1550</v>
      </c>
      <c r="E851" s="1" t="str">
        <f>"016215533"</f>
        <v>016215533</v>
      </c>
      <c r="F851" s="1" t="s">
        <v>1417</v>
      </c>
      <c r="G851" s="1" t="s">
        <v>16</v>
      </c>
      <c r="H851" s="1" t="str">
        <f>"1"</f>
        <v>1</v>
      </c>
      <c r="I851" s="2" t="str">
        <f>"168000"</f>
        <v>168000</v>
      </c>
      <c r="J851" s="3">
        <v>46178</v>
      </c>
      <c r="K851" s="1" t="s">
        <v>2090</v>
      </c>
    </row>
    <row r="852" spans="1:11" x14ac:dyDescent="0.35">
      <c r="A852" s="1" t="s">
        <v>1930</v>
      </c>
      <c r="B852" s="1" t="s">
        <v>1949</v>
      </c>
      <c r="C852" s="1" t="s">
        <v>1952</v>
      </c>
      <c r="D852" s="1" t="str">
        <f>"2360"</f>
        <v>2360</v>
      </c>
      <c r="E852" s="1" t="str">
        <f>"015900772"</f>
        <v>015900772</v>
      </c>
      <c r="F852" s="1" t="s">
        <v>1695</v>
      </c>
      <c r="G852" s="1" t="s">
        <v>16</v>
      </c>
      <c r="H852" s="1" t="str">
        <f>"4"</f>
        <v>4</v>
      </c>
      <c r="I852" s="2" t="str">
        <f>"232404"</f>
        <v>232404</v>
      </c>
      <c r="J852" s="3">
        <v>46182</v>
      </c>
      <c r="K852" s="1" t="s">
        <v>1951</v>
      </c>
    </row>
    <row r="853" spans="1:11" x14ac:dyDescent="0.35">
      <c r="A853" s="1" t="s">
        <v>1930</v>
      </c>
      <c r="B853" s="1" t="s">
        <v>2070</v>
      </c>
      <c r="C853" s="1" t="s">
        <v>2071</v>
      </c>
      <c r="D853" s="1" t="str">
        <f>"1385"</f>
        <v>1385</v>
      </c>
      <c r="E853" s="1" t="str">
        <f>"015785490"</f>
        <v>015785490</v>
      </c>
      <c r="F853" s="1" t="s">
        <v>1687</v>
      </c>
      <c r="G853" s="1" t="s">
        <v>16</v>
      </c>
      <c r="H853" s="1" t="str">
        <f>"1"</f>
        <v>1</v>
      </c>
      <c r="I853" s="2" t="str">
        <f>"213686"</f>
        <v>213686</v>
      </c>
      <c r="J853" s="3">
        <v>46184</v>
      </c>
      <c r="K853" s="1" t="s">
        <v>2072</v>
      </c>
    </row>
    <row r="854" spans="1:11" x14ac:dyDescent="0.35">
      <c r="A854" s="1" t="s">
        <v>1930</v>
      </c>
      <c r="B854" s="1" t="s">
        <v>2008</v>
      </c>
      <c r="C854" s="1" t="s">
        <v>2038</v>
      </c>
      <c r="D854" s="1" t="str">
        <f>"4220"</f>
        <v>4220</v>
      </c>
      <c r="E854" s="1" t="str">
        <f>"012354005"</f>
        <v>012354005</v>
      </c>
      <c r="F854" s="1" t="s">
        <v>2034</v>
      </c>
      <c r="G854" s="1" t="s">
        <v>458</v>
      </c>
      <c r="H854" s="1" t="str">
        <f>"60"</f>
        <v>60</v>
      </c>
      <c r="I854" s="2" t="str">
        <f>"3000"</f>
        <v>3000</v>
      </c>
      <c r="J854" s="3">
        <v>46185</v>
      </c>
      <c r="K854" s="1" t="s">
        <v>2039</v>
      </c>
    </row>
    <row r="855" spans="1:11" x14ac:dyDescent="0.35">
      <c r="A855" s="1" t="s">
        <v>1930</v>
      </c>
      <c r="B855" s="1" t="s">
        <v>2008</v>
      </c>
      <c r="C855" s="1" t="s">
        <v>2044</v>
      </c>
      <c r="D855" s="1" t="str">
        <f>"6230"</f>
        <v>6230</v>
      </c>
      <c r="E855" s="1" t="str">
        <f>"014393732"</f>
        <v>014393732</v>
      </c>
      <c r="F855" s="1" t="s">
        <v>66</v>
      </c>
      <c r="G855" s="1" t="s">
        <v>16</v>
      </c>
      <c r="H855" s="1" t="str">
        <f>"1"</f>
        <v>1</v>
      </c>
      <c r="I855" s="2" t="str">
        <f>"12000"</f>
        <v>12000</v>
      </c>
      <c r="J855" s="3">
        <v>46185</v>
      </c>
      <c r="K855" s="1" t="s">
        <v>2045</v>
      </c>
    </row>
    <row r="856" spans="1:11" x14ac:dyDescent="0.35">
      <c r="A856" s="1" t="s">
        <v>1930</v>
      </c>
      <c r="B856" s="1" t="s">
        <v>2008</v>
      </c>
      <c r="C856" s="1" t="s">
        <v>2052</v>
      </c>
      <c r="D856" s="1" t="str">
        <f>"6545"</f>
        <v>6545</v>
      </c>
      <c r="E856" s="1" t="str">
        <f>"015324962"</f>
        <v>015324962</v>
      </c>
      <c r="F856" s="1" t="s">
        <v>2053</v>
      </c>
      <c r="G856" s="1" t="s">
        <v>215</v>
      </c>
      <c r="H856" s="1" t="str">
        <f>"1"</f>
        <v>1</v>
      </c>
      <c r="I856" s="2">
        <v>1868.26</v>
      </c>
      <c r="J856" s="3">
        <v>46185</v>
      </c>
      <c r="K856" s="1" t="s">
        <v>2054</v>
      </c>
    </row>
    <row r="857" spans="1:11" x14ac:dyDescent="0.35">
      <c r="A857" s="1" t="s">
        <v>1930</v>
      </c>
      <c r="B857" s="1" t="s">
        <v>2008</v>
      </c>
      <c r="C857" s="1" t="s">
        <v>2055</v>
      </c>
      <c r="D857" s="1" t="str">
        <f>"6910"</f>
        <v>6910</v>
      </c>
      <c r="E857" s="1" t="s">
        <v>1124</v>
      </c>
      <c r="F857" s="1" t="s">
        <v>1125</v>
      </c>
      <c r="G857" s="1" t="s">
        <v>16</v>
      </c>
      <c r="H857" s="1" t="str">
        <f>"2"</f>
        <v>2</v>
      </c>
      <c r="I857" s="2" t="str">
        <f>"3600"</f>
        <v>3600</v>
      </c>
      <c r="J857" s="3">
        <v>46185</v>
      </c>
      <c r="K857" s="1" t="s">
        <v>2056</v>
      </c>
    </row>
    <row r="858" spans="1:11" x14ac:dyDescent="0.35">
      <c r="A858" s="1" t="s">
        <v>1930</v>
      </c>
      <c r="B858" s="1" t="s">
        <v>2008</v>
      </c>
      <c r="C858" s="1" t="s">
        <v>2057</v>
      </c>
      <c r="D858" s="1" t="str">
        <f>"7010"</f>
        <v>7010</v>
      </c>
      <c r="E858" s="1" t="s">
        <v>1640</v>
      </c>
      <c r="F858" s="1" t="s">
        <v>1641</v>
      </c>
      <c r="G858" s="1" t="s">
        <v>16</v>
      </c>
      <c r="H858" s="1" t="str">
        <f>"50"</f>
        <v>50</v>
      </c>
      <c r="I858" s="2" t="str">
        <f>"1591"</f>
        <v>1591</v>
      </c>
      <c r="J858" s="3">
        <v>46185</v>
      </c>
      <c r="K858" s="1" t="s">
        <v>2058</v>
      </c>
    </row>
    <row r="859" spans="1:11" x14ac:dyDescent="0.35">
      <c r="A859" s="1" t="s">
        <v>1930</v>
      </c>
      <c r="B859" s="1" t="s">
        <v>1996</v>
      </c>
      <c r="C859" s="1" t="s">
        <v>1999</v>
      </c>
      <c r="D859" s="1" t="str">
        <f>"3805"</f>
        <v>3805</v>
      </c>
      <c r="E859" s="1" t="str">
        <f>"015153766"</f>
        <v>015153766</v>
      </c>
      <c r="F859" s="1" t="s">
        <v>132</v>
      </c>
      <c r="G859" s="1" t="s">
        <v>16</v>
      </c>
      <c r="H859" s="1" t="str">
        <f>"1"</f>
        <v>1</v>
      </c>
      <c r="I859" s="2">
        <v>16100.91</v>
      </c>
      <c r="J859" s="3">
        <v>46189</v>
      </c>
      <c r="K859" s="1" t="s">
        <v>2000</v>
      </c>
    </row>
    <row r="860" spans="1:11" x14ac:dyDescent="0.35">
      <c r="A860" s="1" t="s">
        <v>1930</v>
      </c>
      <c r="B860" s="1" t="s">
        <v>1931</v>
      </c>
      <c r="C860" s="1" t="s">
        <v>1940</v>
      </c>
      <c r="D860" s="1" t="str">
        <f>"4310"</f>
        <v>4310</v>
      </c>
      <c r="E860" s="1" t="s">
        <v>1941</v>
      </c>
      <c r="F860" s="1" t="s">
        <v>1942</v>
      </c>
      <c r="G860" s="1" t="s">
        <v>16</v>
      </c>
      <c r="H860" s="1" t="str">
        <f>"1"</f>
        <v>1</v>
      </c>
      <c r="I860" s="2" t="str">
        <f>"31200"</f>
        <v>31200</v>
      </c>
      <c r="J860" s="3">
        <v>46195</v>
      </c>
      <c r="K860" s="1" t="s">
        <v>1943</v>
      </c>
    </row>
    <row r="861" spans="1:11" x14ac:dyDescent="0.35">
      <c r="A861" s="1" t="s">
        <v>1930</v>
      </c>
      <c r="B861" s="1" t="s">
        <v>1959</v>
      </c>
      <c r="C861" s="1" t="s">
        <v>1960</v>
      </c>
      <c r="D861" s="1" t="str">
        <f>"2320"</f>
        <v>2320</v>
      </c>
      <c r="E861" s="1" t="str">
        <f>"013603893"</f>
        <v>013603893</v>
      </c>
      <c r="F861" s="1" t="s">
        <v>1961</v>
      </c>
      <c r="G861" s="1" t="s">
        <v>16</v>
      </c>
      <c r="H861" s="1" t="str">
        <f>"1"</f>
        <v>1</v>
      </c>
      <c r="I861" s="2" t="str">
        <f>"106300"</f>
        <v>106300</v>
      </c>
      <c r="J861" s="3">
        <v>46196</v>
      </c>
      <c r="K861" s="1" t="s">
        <v>1962</v>
      </c>
    </row>
    <row r="862" spans="1:11" x14ac:dyDescent="0.35">
      <c r="A862" s="1" t="s">
        <v>1930</v>
      </c>
      <c r="B862" s="1" t="s">
        <v>1953</v>
      </c>
      <c r="C862" s="1" t="s">
        <v>1954</v>
      </c>
      <c r="D862" s="1" t="str">
        <f>"1240"</f>
        <v>1240</v>
      </c>
      <c r="E862" s="1" t="str">
        <f>"015766134"</f>
        <v>015766134</v>
      </c>
      <c r="F862" s="1" t="s">
        <v>1103</v>
      </c>
      <c r="G862" s="1" t="s">
        <v>16</v>
      </c>
      <c r="H862" s="1" t="str">
        <f>"6"</f>
        <v>6</v>
      </c>
      <c r="I862" s="2" t="str">
        <f>"589"</f>
        <v>589</v>
      </c>
      <c r="J862" s="3">
        <v>46199</v>
      </c>
      <c r="K862" s="1" t="s">
        <v>1955</v>
      </c>
    </row>
    <row r="863" spans="1:11" x14ac:dyDescent="0.35">
      <c r="A863" s="1" t="s">
        <v>1930</v>
      </c>
      <c r="B863" s="1" t="s">
        <v>2081</v>
      </c>
      <c r="C863" s="1" t="s">
        <v>2082</v>
      </c>
      <c r="D863" s="1" t="str">
        <f>"6220"</f>
        <v>6220</v>
      </c>
      <c r="E863" s="1" t="str">
        <f>"015554970"</f>
        <v>015554970</v>
      </c>
      <c r="F863" s="1" t="s">
        <v>1784</v>
      </c>
      <c r="G863" s="1" t="s">
        <v>16</v>
      </c>
      <c r="H863" s="1" t="str">
        <f>"2"</f>
        <v>2</v>
      </c>
      <c r="I863" s="2">
        <v>201.55</v>
      </c>
      <c r="J863" s="3">
        <v>46199</v>
      </c>
      <c r="K863" s="1" t="s">
        <v>2083</v>
      </c>
    </row>
    <row r="864" spans="1:11" x14ac:dyDescent="0.35">
      <c r="A864" s="1" t="s">
        <v>1930</v>
      </c>
      <c r="B864" s="1" t="s">
        <v>2008</v>
      </c>
      <c r="C864" s="1" t="s">
        <v>2016</v>
      </c>
      <c r="D864" s="1" t="str">
        <f>"2340"</f>
        <v>2340</v>
      </c>
      <c r="E864" s="1" t="s">
        <v>2017</v>
      </c>
      <c r="F864" s="1" t="s">
        <v>2018</v>
      </c>
      <c r="G864" s="1" t="s">
        <v>16</v>
      </c>
      <c r="H864" s="1" t="str">
        <f>"1"</f>
        <v>1</v>
      </c>
      <c r="I864" s="2" t="str">
        <f>"3938"</f>
        <v>3938</v>
      </c>
      <c r="J864" s="3">
        <v>46202</v>
      </c>
      <c r="K864" s="1" t="s">
        <v>2019</v>
      </c>
    </row>
    <row r="865" spans="1:11" x14ac:dyDescent="0.35">
      <c r="A865" s="1" t="s">
        <v>1930</v>
      </c>
      <c r="B865" s="1" t="s">
        <v>2008</v>
      </c>
      <c r="C865" s="1" t="s">
        <v>2023</v>
      </c>
      <c r="D865" s="1" t="str">
        <f>"3895"</f>
        <v>3895</v>
      </c>
      <c r="E865" s="1" t="s">
        <v>107</v>
      </c>
      <c r="F865" s="1" t="s">
        <v>108</v>
      </c>
      <c r="G865" s="1" t="s">
        <v>16</v>
      </c>
      <c r="H865" s="1" t="str">
        <f>"1"</f>
        <v>1</v>
      </c>
      <c r="I865" s="2" t="str">
        <f>"2500"</f>
        <v>2500</v>
      </c>
      <c r="J865" s="3">
        <v>46202</v>
      </c>
      <c r="K865" s="1" t="s">
        <v>2024</v>
      </c>
    </row>
    <row r="866" spans="1:11" x14ac:dyDescent="0.35">
      <c r="A866" s="1" t="s">
        <v>1930</v>
      </c>
      <c r="B866" s="1" t="s">
        <v>2008</v>
      </c>
      <c r="C866" s="1" t="s">
        <v>2025</v>
      </c>
      <c r="D866" s="1" t="str">
        <f>"3920"</f>
        <v>3920</v>
      </c>
      <c r="E866" s="1" t="s">
        <v>2026</v>
      </c>
      <c r="F866" s="1" t="s">
        <v>2027</v>
      </c>
      <c r="G866" s="1" t="s">
        <v>16</v>
      </c>
      <c r="H866" s="1" t="str">
        <f>"1"</f>
        <v>1</v>
      </c>
      <c r="I866" s="2" t="str">
        <f>"4000"</f>
        <v>4000</v>
      </c>
      <c r="J866" s="3">
        <v>46202</v>
      </c>
      <c r="K866" s="1" t="s">
        <v>2028</v>
      </c>
    </row>
    <row r="867" spans="1:11" x14ac:dyDescent="0.35">
      <c r="A867" s="1" t="s">
        <v>1930</v>
      </c>
      <c r="B867" s="1" t="s">
        <v>2008</v>
      </c>
      <c r="C867" s="1" t="s">
        <v>2065</v>
      </c>
      <c r="D867" s="1" t="str">
        <f>"7830"</f>
        <v>7830</v>
      </c>
      <c r="E867" s="1" t="str">
        <f>"016751851"</f>
        <v>016751851</v>
      </c>
      <c r="F867" s="1" t="s">
        <v>2066</v>
      </c>
      <c r="G867" s="1" t="s">
        <v>16</v>
      </c>
      <c r="H867" s="1" t="str">
        <f>"4"</f>
        <v>4</v>
      </c>
      <c r="I867" s="2" t="str">
        <f>"2585"</f>
        <v>2585</v>
      </c>
      <c r="J867" s="3">
        <v>46202</v>
      </c>
      <c r="K867" s="1" t="s">
        <v>2067</v>
      </c>
    </row>
    <row r="868" spans="1:11" x14ac:dyDescent="0.35">
      <c r="A868" s="1" t="s">
        <v>2091</v>
      </c>
      <c r="B868" s="1" t="s">
        <v>2135</v>
      </c>
      <c r="C868" s="1" t="s">
        <v>2140</v>
      </c>
      <c r="D868" s="1" t="str">
        <f>"5855"</f>
        <v>5855</v>
      </c>
      <c r="E868" s="1" t="str">
        <f>"015790062"</f>
        <v>015790062</v>
      </c>
      <c r="F868" s="1" t="s">
        <v>1379</v>
      </c>
      <c r="G868" s="1" t="s">
        <v>16</v>
      </c>
      <c r="H868" s="1" t="str">
        <f>"13"</f>
        <v>13</v>
      </c>
      <c r="I868" s="2" t="str">
        <f>"900"</f>
        <v>900</v>
      </c>
      <c r="J868" s="3">
        <v>46114</v>
      </c>
      <c r="K868" s="1" t="s">
        <v>2137</v>
      </c>
    </row>
    <row r="869" spans="1:11" x14ac:dyDescent="0.35">
      <c r="A869" s="1" t="s">
        <v>2091</v>
      </c>
      <c r="B869" s="1" t="s">
        <v>2135</v>
      </c>
      <c r="C869" s="1" t="s">
        <v>2136</v>
      </c>
      <c r="D869" s="1" t="str">
        <f>"1240"</f>
        <v>1240</v>
      </c>
      <c r="E869" s="1" t="str">
        <f>"014907312"</f>
        <v>014907312</v>
      </c>
      <c r="F869" s="1" t="s">
        <v>1103</v>
      </c>
      <c r="G869" s="1" t="s">
        <v>16</v>
      </c>
      <c r="H869" s="1" t="str">
        <f>"1"</f>
        <v>1</v>
      </c>
      <c r="I869" s="2">
        <v>1365.3</v>
      </c>
      <c r="J869" s="3">
        <v>46121</v>
      </c>
      <c r="K869" s="1" t="s">
        <v>2137</v>
      </c>
    </row>
    <row r="870" spans="1:11" x14ac:dyDescent="0.35">
      <c r="A870" s="1" t="s">
        <v>2091</v>
      </c>
      <c r="B870" s="1" t="s">
        <v>2144</v>
      </c>
      <c r="C870" s="1" t="s">
        <v>2173</v>
      </c>
      <c r="D870" s="1" t="str">
        <f>"8415"</f>
        <v>8415</v>
      </c>
      <c r="E870" s="1" t="str">
        <f>"015841036"</f>
        <v>015841036</v>
      </c>
      <c r="F870" s="1" t="s">
        <v>675</v>
      </c>
      <c r="G870" s="1" t="s">
        <v>16</v>
      </c>
      <c r="H870" s="1" t="str">
        <f>"1"</f>
        <v>1</v>
      </c>
      <c r="I870" s="2">
        <v>134.36000000000001</v>
      </c>
      <c r="J870" s="3">
        <v>46121</v>
      </c>
      <c r="K870" s="1" t="s">
        <v>2169</v>
      </c>
    </row>
    <row r="871" spans="1:11" x14ac:dyDescent="0.35">
      <c r="A871" s="1" t="s">
        <v>2091</v>
      </c>
      <c r="B871" s="1" t="s">
        <v>2144</v>
      </c>
      <c r="C871" s="1" t="s">
        <v>2174</v>
      </c>
      <c r="D871" s="1" t="str">
        <f>"8415"</f>
        <v>8415</v>
      </c>
      <c r="E871" s="1" t="str">
        <f>"015841042"</f>
        <v>015841042</v>
      </c>
      <c r="F871" s="1" t="s">
        <v>675</v>
      </c>
      <c r="G871" s="1" t="s">
        <v>16</v>
      </c>
      <c r="H871" s="1" t="str">
        <f>"2"</f>
        <v>2</v>
      </c>
      <c r="I871" s="2">
        <v>134.36000000000001</v>
      </c>
      <c r="J871" s="3">
        <v>46121</v>
      </c>
      <c r="K871" s="1" t="s">
        <v>2169</v>
      </c>
    </row>
    <row r="872" spans="1:11" x14ac:dyDescent="0.35">
      <c r="A872" s="1" t="s">
        <v>2091</v>
      </c>
      <c r="B872" s="1" t="s">
        <v>2135</v>
      </c>
      <c r="C872" s="1" t="s">
        <v>2138</v>
      </c>
      <c r="D872" s="1" t="str">
        <f>"1240"</f>
        <v>1240</v>
      </c>
      <c r="E872" s="1" t="s">
        <v>1800</v>
      </c>
      <c r="F872" s="1" t="s">
        <v>1801</v>
      </c>
      <c r="G872" s="1" t="s">
        <v>16</v>
      </c>
      <c r="H872" s="1" t="str">
        <f>"4"</f>
        <v>4</v>
      </c>
      <c r="I872" s="2" t="str">
        <f>"1000"</f>
        <v>1000</v>
      </c>
      <c r="J872" s="3">
        <v>46126</v>
      </c>
      <c r="K872" s="1" t="s">
        <v>2139</v>
      </c>
    </row>
    <row r="873" spans="1:11" x14ac:dyDescent="0.35">
      <c r="A873" s="1" t="s">
        <v>2091</v>
      </c>
      <c r="B873" s="1" t="s">
        <v>2144</v>
      </c>
      <c r="C873" s="1" t="s">
        <v>2157</v>
      </c>
      <c r="D873" s="1" t="str">
        <f>"7210"</f>
        <v>7210</v>
      </c>
      <c r="E873" s="1" t="str">
        <f>"002827950"</f>
        <v>002827950</v>
      </c>
      <c r="F873" s="1" t="s">
        <v>864</v>
      </c>
      <c r="G873" s="1" t="s">
        <v>16</v>
      </c>
      <c r="H873" s="1" t="str">
        <f>"50"</f>
        <v>50</v>
      </c>
      <c r="I873" s="2">
        <v>41.47</v>
      </c>
      <c r="J873" s="3">
        <v>46132</v>
      </c>
      <c r="K873" s="1" t="s">
        <v>2158</v>
      </c>
    </row>
    <row r="874" spans="1:11" x14ac:dyDescent="0.35">
      <c r="A874" s="1" t="s">
        <v>2091</v>
      </c>
      <c r="B874" s="1" t="s">
        <v>2144</v>
      </c>
      <c r="C874" s="1" t="s">
        <v>2150</v>
      </c>
      <c r="D874" s="1" t="str">
        <f>"4240"</f>
        <v>4240</v>
      </c>
      <c r="E874" s="1" t="str">
        <f>"015835158"</f>
        <v>015835158</v>
      </c>
      <c r="F874" s="1" t="s">
        <v>561</v>
      </c>
      <c r="G874" s="1" t="s">
        <v>16</v>
      </c>
      <c r="H874" s="1" t="str">
        <f>"75"</f>
        <v>75</v>
      </c>
      <c r="I874" s="2">
        <v>67.39</v>
      </c>
      <c r="J874" s="3">
        <v>46133</v>
      </c>
      <c r="K874" s="1" t="s">
        <v>2151</v>
      </c>
    </row>
    <row r="875" spans="1:11" x14ac:dyDescent="0.35">
      <c r="A875" s="1" t="s">
        <v>2091</v>
      </c>
      <c r="B875" s="1" t="s">
        <v>2144</v>
      </c>
      <c r="C875" s="1" t="s">
        <v>2152</v>
      </c>
      <c r="D875" s="1" t="str">
        <f>"6760"</f>
        <v>6760</v>
      </c>
      <c r="E875" s="1" t="str">
        <f>"016286105"</f>
        <v>016286105</v>
      </c>
      <c r="F875" s="1" t="s">
        <v>2153</v>
      </c>
      <c r="G875" s="1" t="s">
        <v>16</v>
      </c>
      <c r="H875" s="1" t="str">
        <f>"3"</f>
        <v>3</v>
      </c>
      <c r="I875" s="2" t="str">
        <f>"500"</f>
        <v>500</v>
      </c>
      <c r="J875" s="3">
        <v>46133</v>
      </c>
      <c r="K875" s="1" t="s">
        <v>2154</v>
      </c>
    </row>
    <row r="876" spans="1:11" x14ac:dyDescent="0.35">
      <c r="A876" s="1" t="s">
        <v>2091</v>
      </c>
      <c r="B876" s="1" t="s">
        <v>2144</v>
      </c>
      <c r="C876" s="1" t="s">
        <v>2155</v>
      </c>
      <c r="D876" s="1" t="str">
        <f>"6760"</f>
        <v>6760</v>
      </c>
      <c r="E876" s="1" t="str">
        <f>"016286105"</f>
        <v>016286105</v>
      </c>
      <c r="F876" s="1" t="s">
        <v>2153</v>
      </c>
      <c r="G876" s="1" t="s">
        <v>16</v>
      </c>
      <c r="H876" s="1" t="str">
        <f>"3"</f>
        <v>3</v>
      </c>
      <c r="I876" s="2" t="str">
        <f>"500"</f>
        <v>500</v>
      </c>
      <c r="J876" s="3">
        <v>46133</v>
      </c>
      <c r="K876" s="1" t="s">
        <v>2156</v>
      </c>
    </row>
    <row r="877" spans="1:11" x14ac:dyDescent="0.35">
      <c r="A877" s="1" t="s">
        <v>2091</v>
      </c>
      <c r="B877" s="1" t="s">
        <v>2115</v>
      </c>
      <c r="C877" s="1" t="s">
        <v>2123</v>
      </c>
      <c r="D877" s="1" t="str">
        <f>"5855"</f>
        <v>5855</v>
      </c>
      <c r="E877" s="1" t="str">
        <f>"014778741"</f>
        <v>014778741</v>
      </c>
      <c r="F877" s="1" t="s">
        <v>1770</v>
      </c>
      <c r="G877" s="1" t="s">
        <v>16</v>
      </c>
      <c r="H877" s="1" t="str">
        <f>"1"</f>
        <v>1</v>
      </c>
      <c r="I877" s="2" t="str">
        <f>"10165"</f>
        <v>10165</v>
      </c>
      <c r="J877" s="3">
        <v>46136</v>
      </c>
      <c r="K877" s="1" t="s">
        <v>2124</v>
      </c>
    </row>
    <row r="878" spans="1:11" x14ac:dyDescent="0.35">
      <c r="A878" s="1" t="s">
        <v>2091</v>
      </c>
      <c r="B878" s="1" t="s">
        <v>2115</v>
      </c>
      <c r="C878" s="1" t="s">
        <v>2125</v>
      </c>
      <c r="D878" s="1" t="str">
        <f>"5855"</f>
        <v>5855</v>
      </c>
      <c r="E878" s="1" t="str">
        <f>"014778741"</f>
        <v>014778741</v>
      </c>
      <c r="F878" s="1" t="s">
        <v>1770</v>
      </c>
      <c r="G878" s="1" t="s">
        <v>16</v>
      </c>
      <c r="H878" s="1" t="str">
        <f>"1"</f>
        <v>1</v>
      </c>
      <c r="I878" s="2" t="str">
        <f>"10165"</f>
        <v>10165</v>
      </c>
      <c r="J878" s="3">
        <v>46136</v>
      </c>
      <c r="K878" s="1" t="s">
        <v>2126</v>
      </c>
    </row>
    <row r="879" spans="1:11" x14ac:dyDescent="0.35">
      <c r="A879" s="1" t="s">
        <v>2091</v>
      </c>
      <c r="B879" s="1" t="s">
        <v>2115</v>
      </c>
      <c r="C879" s="1" t="s">
        <v>2133</v>
      </c>
      <c r="D879" s="1" t="str">
        <f>"5855"</f>
        <v>5855</v>
      </c>
      <c r="E879" s="1" t="str">
        <f>"014778741"</f>
        <v>014778741</v>
      </c>
      <c r="F879" s="1" t="s">
        <v>1770</v>
      </c>
      <c r="G879" s="1" t="s">
        <v>16</v>
      </c>
      <c r="H879" s="1" t="str">
        <f>"1"</f>
        <v>1</v>
      </c>
      <c r="I879" s="2" t="str">
        <f>"10165"</f>
        <v>10165</v>
      </c>
      <c r="J879" s="3">
        <v>46136</v>
      </c>
      <c r="K879" s="1" t="s">
        <v>2124</v>
      </c>
    </row>
    <row r="880" spans="1:11" x14ac:dyDescent="0.35">
      <c r="A880" s="1" t="s">
        <v>2091</v>
      </c>
      <c r="B880" s="1" t="s">
        <v>2144</v>
      </c>
      <c r="C880" s="1" t="s">
        <v>2168</v>
      </c>
      <c r="D880" s="1" t="str">
        <f>"8415"</f>
        <v>8415</v>
      </c>
      <c r="E880" s="1" t="str">
        <f>"015802513"</f>
        <v>015802513</v>
      </c>
      <c r="F880" s="1" t="s">
        <v>1988</v>
      </c>
      <c r="G880" s="1" t="s">
        <v>311</v>
      </c>
      <c r="H880" s="1" t="str">
        <f>"1"</f>
        <v>1</v>
      </c>
      <c r="I880" s="2">
        <v>123.49</v>
      </c>
      <c r="J880" s="3">
        <v>46136</v>
      </c>
      <c r="K880" s="1" t="s">
        <v>2169</v>
      </c>
    </row>
    <row r="881" spans="1:11" x14ac:dyDescent="0.35">
      <c r="A881" s="1" t="s">
        <v>2091</v>
      </c>
      <c r="B881" s="1" t="s">
        <v>2144</v>
      </c>
      <c r="C881" s="1" t="s">
        <v>2170</v>
      </c>
      <c r="D881" s="1" t="str">
        <f>"8415"</f>
        <v>8415</v>
      </c>
      <c r="E881" s="1" t="str">
        <f>"015803306"</f>
        <v>015803306</v>
      </c>
      <c r="F881" s="1" t="s">
        <v>668</v>
      </c>
      <c r="G881" s="1" t="s">
        <v>311</v>
      </c>
      <c r="H881" s="1" t="str">
        <f>"3"</f>
        <v>3</v>
      </c>
      <c r="I881" s="2">
        <v>113.3</v>
      </c>
      <c r="J881" s="3">
        <v>46136</v>
      </c>
      <c r="K881" s="1" t="s">
        <v>2171</v>
      </c>
    </row>
    <row r="882" spans="1:11" x14ac:dyDescent="0.35">
      <c r="A882" s="1" t="s">
        <v>2091</v>
      </c>
      <c r="B882" s="1" t="s">
        <v>2144</v>
      </c>
      <c r="C882" s="1" t="s">
        <v>2172</v>
      </c>
      <c r="D882" s="1" t="str">
        <f>"8415"</f>
        <v>8415</v>
      </c>
      <c r="E882" s="1" t="str">
        <f>"015803313"</f>
        <v>015803313</v>
      </c>
      <c r="F882" s="1" t="s">
        <v>668</v>
      </c>
      <c r="G882" s="1" t="s">
        <v>311</v>
      </c>
      <c r="H882" s="1" t="str">
        <f>"2"</f>
        <v>2</v>
      </c>
      <c r="I882" s="2">
        <v>113.3</v>
      </c>
      <c r="J882" s="3">
        <v>46136</v>
      </c>
      <c r="K882" s="1" t="s">
        <v>2171</v>
      </c>
    </row>
    <row r="883" spans="1:11" x14ac:dyDescent="0.35">
      <c r="A883" s="1" t="s">
        <v>2091</v>
      </c>
      <c r="B883" s="1" t="s">
        <v>2144</v>
      </c>
      <c r="C883" s="1" t="s">
        <v>2175</v>
      </c>
      <c r="D883" s="1" t="str">
        <f>"8415"</f>
        <v>8415</v>
      </c>
      <c r="E883" s="1" t="str">
        <f>"015802497"</f>
        <v>015802497</v>
      </c>
      <c r="F883" s="1" t="s">
        <v>1988</v>
      </c>
      <c r="G883" s="1" t="s">
        <v>311</v>
      </c>
      <c r="H883" s="1" t="str">
        <f>"5"</f>
        <v>5</v>
      </c>
      <c r="I883" s="2">
        <v>120.1</v>
      </c>
      <c r="J883" s="3">
        <v>46136</v>
      </c>
      <c r="K883" s="1" t="s">
        <v>2169</v>
      </c>
    </row>
    <row r="884" spans="1:11" x14ac:dyDescent="0.35">
      <c r="A884" s="1" t="s">
        <v>2091</v>
      </c>
      <c r="B884" s="1" t="s">
        <v>2144</v>
      </c>
      <c r="C884" s="1" t="s">
        <v>2176</v>
      </c>
      <c r="D884" s="1" t="str">
        <f>"8415"</f>
        <v>8415</v>
      </c>
      <c r="E884" s="1" t="str">
        <f>"015802493"</f>
        <v>015802493</v>
      </c>
      <c r="F884" s="1" t="s">
        <v>1988</v>
      </c>
      <c r="G884" s="1" t="s">
        <v>311</v>
      </c>
      <c r="H884" s="1" t="str">
        <f>"3"</f>
        <v>3</v>
      </c>
      <c r="I884" s="2">
        <v>123.49</v>
      </c>
      <c r="J884" s="3">
        <v>46136</v>
      </c>
      <c r="K884" s="1" t="s">
        <v>2169</v>
      </c>
    </row>
    <row r="885" spans="1:11" x14ac:dyDescent="0.35">
      <c r="A885" s="1" t="s">
        <v>2091</v>
      </c>
      <c r="B885" s="1" t="s">
        <v>2144</v>
      </c>
      <c r="C885" s="1" t="s">
        <v>2177</v>
      </c>
      <c r="D885" s="1" t="str">
        <f>"8415"</f>
        <v>8415</v>
      </c>
      <c r="E885" s="1" t="str">
        <f>"015802904"</f>
        <v>015802904</v>
      </c>
      <c r="F885" s="1" t="s">
        <v>1892</v>
      </c>
      <c r="G885" s="1" t="s">
        <v>16</v>
      </c>
      <c r="H885" s="1" t="str">
        <f>"2"</f>
        <v>2</v>
      </c>
      <c r="I885" s="2">
        <v>150.29</v>
      </c>
      <c r="J885" s="3">
        <v>46136</v>
      </c>
      <c r="K885" s="1" t="s">
        <v>2169</v>
      </c>
    </row>
    <row r="886" spans="1:11" x14ac:dyDescent="0.35">
      <c r="A886" s="1" t="s">
        <v>2091</v>
      </c>
      <c r="B886" s="1" t="s">
        <v>2144</v>
      </c>
      <c r="C886" s="1" t="s">
        <v>2178</v>
      </c>
      <c r="D886" s="1" t="str">
        <f>"8415"</f>
        <v>8415</v>
      </c>
      <c r="E886" s="1" t="str">
        <f>"015802502"</f>
        <v>015802502</v>
      </c>
      <c r="F886" s="1" t="s">
        <v>1988</v>
      </c>
      <c r="G886" s="1" t="s">
        <v>311</v>
      </c>
      <c r="H886" s="1" t="str">
        <f>"2"</f>
        <v>2</v>
      </c>
      <c r="I886" s="2">
        <v>120.1</v>
      </c>
      <c r="J886" s="3">
        <v>46136</v>
      </c>
      <c r="K886" s="1" t="s">
        <v>2169</v>
      </c>
    </row>
    <row r="887" spans="1:11" x14ac:dyDescent="0.35">
      <c r="A887" s="1" t="s">
        <v>2091</v>
      </c>
      <c r="B887" s="1" t="s">
        <v>2144</v>
      </c>
      <c r="C887" s="1" t="s">
        <v>2179</v>
      </c>
      <c r="D887" s="1" t="str">
        <f>"8415"</f>
        <v>8415</v>
      </c>
      <c r="E887" s="1" t="str">
        <f>"015802502"</f>
        <v>015802502</v>
      </c>
      <c r="F887" s="1" t="s">
        <v>1988</v>
      </c>
      <c r="G887" s="1" t="s">
        <v>311</v>
      </c>
      <c r="H887" s="1" t="str">
        <f>"2"</f>
        <v>2</v>
      </c>
      <c r="I887" s="2">
        <v>120.1</v>
      </c>
      <c r="J887" s="3">
        <v>46136</v>
      </c>
      <c r="K887" s="1" t="s">
        <v>2169</v>
      </c>
    </row>
    <row r="888" spans="1:11" x14ac:dyDescent="0.35">
      <c r="A888" s="1" t="s">
        <v>2091</v>
      </c>
      <c r="B888" s="1" t="s">
        <v>2144</v>
      </c>
      <c r="C888" s="1" t="s">
        <v>2180</v>
      </c>
      <c r="D888" s="1" t="str">
        <f>"8415"</f>
        <v>8415</v>
      </c>
      <c r="E888" s="1" t="str">
        <f>"015802504"</f>
        <v>015802504</v>
      </c>
      <c r="F888" s="1" t="s">
        <v>1988</v>
      </c>
      <c r="G888" s="1" t="s">
        <v>311</v>
      </c>
      <c r="H888" s="1" t="str">
        <f>"1"</f>
        <v>1</v>
      </c>
      <c r="I888" s="2">
        <v>120.1</v>
      </c>
      <c r="J888" s="3">
        <v>46136</v>
      </c>
      <c r="K888" s="1" t="s">
        <v>2169</v>
      </c>
    </row>
    <row r="889" spans="1:11" x14ac:dyDescent="0.35">
      <c r="A889" s="1" t="s">
        <v>2091</v>
      </c>
      <c r="B889" s="1" t="s">
        <v>2144</v>
      </c>
      <c r="C889" s="1" t="s">
        <v>2181</v>
      </c>
      <c r="D889" s="1" t="str">
        <f>"8415"</f>
        <v>8415</v>
      </c>
      <c r="E889" s="1" t="str">
        <f>"015802504"</f>
        <v>015802504</v>
      </c>
      <c r="F889" s="1" t="s">
        <v>1988</v>
      </c>
      <c r="G889" s="1" t="s">
        <v>311</v>
      </c>
      <c r="H889" s="1" t="str">
        <f>"1"</f>
        <v>1</v>
      </c>
      <c r="I889" s="2">
        <v>120.1</v>
      </c>
      <c r="J889" s="3">
        <v>46136</v>
      </c>
      <c r="K889" s="1" t="s">
        <v>2169</v>
      </c>
    </row>
    <row r="890" spans="1:11" x14ac:dyDescent="0.35">
      <c r="A890" s="1" t="s">
        <v>2091</v>
      </c>
      <c r="B890" s="1" t="s">
        <v>2144</v>
      </c>
      <c r="C890" s="1" t="s">
        <v>2182</v>
      </c>
      <c r="D890" s="1" t="str">
        <f>"8415"</f>
        <v>8415</v>
      </c>
      <c r="E890" s="1" t="str">
        <f>"015802504"</f>
        <v>015802504</v>
      </c>
      <c r="F890" s="1" t="s">
        <v>1988</v>
      </c>
      <c r="G890" s="1" t="s">
        <v>311</v>
      </c>
      <c r="H890" s="1" t="str">
        <f>"1"</f>
        <v>1</v>
      </c>
      <c r="I890" s="2">
        <v>120.1</v>
      </c>
      <c r="J890" s="3">
        <v>46136</v>
      </c>
      <c r="K890" s="1" t="s">
        <v>2169</v>
      </c>
    </row>
    <row r="891" spans="1:11" x14ac:dyDescent="0.35">
      <c r="A891" s="1" t="s">
        <v>2091</v>
      </c>
      <c r="B891" s="1" t="s">
        <v>2144</v>
      </c>
      <c r="C891" s="1" t="s">
        <v>2183</v>
      </c>
      <c r="D891" s="1" t="str">
        <f>"8415"</f>
        <v>8415</v>
      </c>
      <c r="E891" s="1" t="str">
        <f>"015802513"</f>
        <v>015802513</v>
      </c>
      <c r="F891" s="1" t="s">
        <v>1988</v>
      </c>
      <c r="G891" s="1" t="s">
        <v>311</v>
      </c>
      <c r="H891" s="1" t="str">
        <f>"1"</f>
        <v>1</v>
      </c>
      <c r="I891" s="2">
        <v>123.49</v>
      </c>
      <c r="J891" s="3">
        <v>46136</v>
      </c>
      <c r="K891" s="1" t="s">
        <v>2169</v>
      </c>
    </row>
    <row r="892" spans="1:11" x14ac:dyDescent="0.35">
      <c r="A892" s="1" t="s">
        <v>2091</v>
      </c>
      <c r="B892" s="1" t="s">
        <v>2144</v>
      </c>
      <c r="C892" s="1" t="s">
        <v>2184</v>
      </c>
      <c r="D892" s="1" t="str">
        <f>"8415"</f>
        <v>8415</v>
      </c>
      <c r="E892" s="1" t="str">
        <f>"015802513"</f>
        <v>015802513</v>
      </c>
      <c r="F892" s="1" t="s">
        <v>1988</v>
      </c>
      <c r="G892" s="1" t="s">
        <v>311</v>
      </c>
      <c r="H892" s="1" t="str">
        <f>"1"</f>
        <v>1</v>
      </c>
      <c r="I892" s="2">
        <v>123.49</v>
      </c>
      <c r="J892" s="3">
        <v>46136</v>
      </c>
      <c r="K892" s="1" t="s">
        <v>2169</v>
      </c>
    </row>
    <row r="893" spans="1:11" x14ac:dyDescent="0.35">
      <c r="A893" s="1" t="s">
        <v>2091</v>
      </c>
      <c r="B893" s="1" t="s">
        <v>2144</v>
      </c>
      <c r="C893" s="1" t="s">
        <v>2185</v>
      </c>
      <c r="D893" s="1" t="str">
        <f>"8415"</f>
        <v>8415</v>
      </c>
      <c r="E893" s="1" t="str">
        <f>"015802513"</f>
        <v>015802513</v>
      </c>
      <c r="F893" s="1" t="s">
        <v>1988</v>
      </c>
      <c r="G893" s="1" t="s">
        <v>311</v>
      </c>
      <c r="H893" s="1" t="str">
        <f>"1"</f>
        <v>1</v>
      </c>
      <c r="I893" s="2">
        <v>123.49</v>
      </c>
      <c r="J893" s="3">
        <v>46136</v>
      </c>
      <c r="K893" s="1" t="s">
        <v>2169</v>
      </c>
    </row>
    <row r="894" spans="1:11" x14ac:dyDescent="0.35">
      <c r="A894" s="1" t="s">
        <v>2091</v>
      </c>
      <c r="B894" s="1" t="s">
        <v>2144</v>
      </c>
      <c r="C894" s="1" t="s">
        <v>2186</v>
      </c>
      <c r="D894" s="1" t="str">
        <f>"8415"</f>
        <v>8415</v>
      </c>
      <c r="E894" s="1" t="str">
        <f>"015802782"</f>
        <v>015802782</v>
      </c>
      <c r="F894" s="1" t="s">
        <v>1892</v>
      </c>
      <c r="G894" s="1" t="s">
        <v>16</v>
      </c>
      <c r="H894" s="1" t="str">
        <f>"5"</f>
        <v>5</v>
      </c>
      <c r="I894" s="2">
        <v>146.81</v>
      </c>
      <c r="J894" s="3">
        <v>46136</v>
      </c>
      <c r="K894" s="1" t="s">
        <v>2169</v>
      </c>
    </row>
    <row r="895" spans="1:11" x14ac:dyDescent="0.35">
      <c r="A895" s="1" t="s">
        <v>2091</v>
      </c>
      <c r="B895" s="1" t="s">
        <v>2144</v>
      </c>
      <c r="C895" s="1" t="s">
        <v>2187</v>
      </c>
      <c r="D895" s="1" t="str">
        <f>"8415"</f>
        <v>8415</v>
      </c>
      <c r="E895" s="1" t="str">
        <f>"015802788"</f>
        <v>015802788</v>
      </c>
      <c r="F895" s="1" t="s">
        <v>1892</v>
      </c>
      <c r="G895" s="1" t="s">
        <v>16</v>
      </c>
      <c r="H895" s="1" t="str">
        <f>"3"</f>
        <v>3</v>
      </c>
      <c r="I895" s="2">
        <v>146.81</v>
      </c>
      <c r="J895" s="3">
        <v>46136</v>
      </c>
      <c r="K895" s="1" t="s">
        <v>2169</v>
      </c>
    </row>
    <row r="896" spans="1:11" x14ac:dyDescent="0.35">
      <c r="A896" s="1" t="s">
        <v>2091</v>
      </c>
      <c r="B896" s="1" t="s">
        <v>2144</v>
      </c>
      <c r="C896" s="1" t="s">
        <v>2188</v>
      </c>
      <c r="D896" s="1" t="str">
        <f>"8415"</f>
        <v>8415</v>
      </c>
      <c r="E896" s="1" t="str">
        <f>"015802854"</f>
        <v>015802854</v>
      </c>
      <c r="F896" s="1" t="s">
        <v>1892</v>
      </c>
      <c r="G896" s="1" t="s">
        <v>16</v>
      </c>
      <c r="H896" s="1" t="str">
        <f>"5"</f>
        <v>5</v>
      </c>
      <c r="I896" s="2">
        <v>146.83000000000001</v>
      </c>
      <c r="J896" s="3">
        <v>46136</v>
      </c>
      <c r="K896" s="1" t="s">
        <v>2169</v>
      </c>
    </row>
    <row r="897" spans="1:11" x14ac:dyDescent="0.35">
      <c r="A897" s="1" t="s">
        <v>2091</v>
      </c>
      <c r="B897" s="1" t="s">
        <v>2144</v>
      </c>
      <c r="C897" s="1" t="s">
        <v>2189</v>
      </c>
      <c r="D897" s="1" t="str">
        <f>"8415"</f>
        <v>8415</v>
      </c>
      <c r="E897" s="1" t="str">
        <f>"015802856"</f>
        <v>015802856</v>
      </c>
      <c r="F897" s="1" t="s">
        <v>1892</v>
      </c>
      <c r="G897" s="1" t="s">
        <v>16</v>
      </c>
      <c r="H897" s="1" t="str">
        <f>"3"</f>
        <v>3</v>
      </c>
      <c r="I897" s="2">
        <v>146.16</v>
      </c>
      <c r="J897" s="3">
        <v>46136</v>
      </c>
      <c r="K897" s="1" t="s">
        <v>2169</v>
      </c>
    </row>
    <row r="898" spans="1:11" x14ac:dyDescent="0.35">
      <c r="A898" s="1" t="s">
        <v>2091</v>
      </c>
      <c r="B898" s="1" t="s">
        <v>2144</v>
      </c>
      <c r="C898" s="1" t="s">
        <v>2190</v>
      </c>
      <c r="D898" s="1" t="str">
        <f>"8415"</f>
        <v>8415</v>
      </c>
      <c r="E898" s="1" t="str">
        <f>"015802861"</f>
        <v>015802861</v>
      </c>
      <c r="F898" s="1" t="s">
        <v>1892</v>
      </c>
      <c r="G898" s="1" t="s">
        <v>16</v>
      </c>
      <c r="H898" s="1" t="str">
        <f>"4"</f>
        <v>4</v>
      </c>
      <c r="I898" s="2">
        <v>146.81</v>
      </c>
      <c r="J898" s="3">
        <v>46136</v>
      </c>
      <c r="K898" s="1" t="s">
        <v>2169</v>
      </c>
    </row>
    <row r="899" spans="1:11" x14ac:dyDescent="0.35">
      <c r="A899" s="1" t="s">
        <v>2091</v>
      </c>
      <c r="B899" s="1" t="s">
        <v>2144</v>
      </c>
      <c r="C899" s="1" t="s">
        <v>2191</v>
      </c>
      <c r="D899" s="1" t="str">
        <f>"8415"</f>
        <v>8415</v>
      </c>
      <c r="E899" s="1" t="str">
        <f>"015802861"</f>
        <v>015802861</v>
      </c>
      <c r="F899" s="1" t="s">
        <v>1892</v>
      </c>
      <c r="G899" s="1" t="s">
        <v>16</v>
      </c>
      <c r="H899" s="1" t="str">
        <f>"3"</f>
        <v>3</v>
      </c>
      <c r="I899" s="2">
        <v>146.81</v>
      </c>
      <c r="J899" s="3">
        <v>46136</v>
      </c>
      <c r="K899" s="1" t="s">
        <v>2169</v>
      </c>
    </row>
    <row r="900" spans="1:11" x14ac:dyDescent="0.35">
      <c r="A900" s="1" t="s">
        <v>2091</v>
      </c>
      <c r="B900" s="1" t="s">
        <v>2144</v>
      </c>
      <c r="C900" s="1" t="s">
        <v>2192</v>
      </c>
      <c r="D900" s="1" t="str">
        <f>"8415"</f>
        <v>8415</v>
      </c>
      <c r="E900" s="1" t="str">
        <f>"015802904"</f>
        <v>015802904</v>
      </c>
      <c r="F900" s="1" t="s">
        <v>1892</v>
      </c>
      <c r="G900" s="1" t="s">
        <v>16</v>
      </c>
      <c r="H900" s="1" t="str">
        <f>"2"</f>
        <v>2</v>
      </c>
      <c r="I900" s="2">
        <v>150.29</v>
      </c>
      <c r="J900" s="3">
        <v>46136</v>
      </c>
      <c r="K900" s="1" t="s">
        <v>2169</v>
      </c>
    </row>
    <row r="901" spans="1:11" x14ac:dyDescent="0.35">
      <c r="A901" s="1" t="s">
        <v>2091</v>
      </c>
      <c r="B901" s="1" t="s">
        <v>2144</v>
      </c>
      <c r="C901" s="1" t="s">
        <v>2193</v>
      </c>
      <c r="D901" s="1" t="str">
        <f>"8415"</f>
        <v>8415</v>
      </c>
      <c r="E901" s="1" t="str">
        <f>"015802904"</f>
        <v>015802904</v>
      </c>
      <c r="F901" s="1" t="s">
        <v>1892</v>
      </c>
      <c r="G901" s="1" t="s">
        <v>16</v>
      </c>
      <c r="H901" s="1" t="str">
        <f>"2"</f>
        <v>2</v>
      </c>
      <c r="I901" s="2">
        <v>150.29</v>
      </c>
      <c r="J901" s="3">
        <v>46136</v>
      </c>
      <c r="K901" s="1" t="s">
        <v>2169</v>
      </c>
    </row>
    <row r="902" spans="1:11" x14ac:dyDescent="0.35">
      <c r="A902" s="1" t="s">
        <v>2091</v>
      </c>
      <c r="B902" s="1" t="s">
        <v>2144</v>
      </c>
      <c r="C902" s="1" t="s">
        <v>2194</v>
      </c>
      <c r="D902" s="1" t="str">
        <f>"8440"</f>
        <v>8440</v>
      </c>
      <c r="E902" s="1" t="str">
        <f>"016789067"</f>
        <v>016789067</v>
      </c>
      <c r="F902" s="1" t="s">
        <v>1970</v>
      </c>
      <c r="G902" s="1" t="s">
        <v>311</v>
      </c>
      <c r="H902" s="1" t="str">
        <f>"10"</f>
        <v>10</v>
      </c>
      <c r="I902" s="2">
        <v>89.32</v>
      </c>
      <c r="J902" s="3">
        <v>46136</v>
      </c>
      <c r="K902" s="1" t="s">
        <v>2195</v>
      </c>
    </row>
    <row r="903" spans="1:11" x14ac:dyDescent="0.35">
      <c r="A903" s="1" t="s">
        <v>2091</v>
      </c>
      <c r="B903" s="1" t="s">
        <v>2144</v>
      </c>
      <c r="C903" s="1" t="s">
        <v>2196</v>
      </c>
      <c r="D903" s="1" t="str">
        <f>"8440"</f>
        <v>8440</v>
      </c>
      <c r="E903" s="1" t="str">
        <f>"016789096"</f>
        <v>016789096</v>
      </c>
      <c r="F903" s="1" t="s">
        <v>1970</v>
      </c>
      <c r="G903" s="1" t="s">
        <v>311</v>
      </c>
      <c r="H903" s="1" t="str">
        <f>"10"</f>
        <v>10</v>
      </c>
      <c r="I903" s="2">
        <v>94.77</v>
      </c>
      <c r="J903" s="3">
        <v>46136</v>
      </c>
      <c r="K903" s="1" t="s">
        <v>2195</v>
      </c>
    </row>
    <row r="904" spans="1:11" x14ac:dyDescent="0.35">
      <c r="A904" s="1" t="s">
        <v>2091</v>
      </c>
      <c r="B904" s="1" t="s">
        <v>2144</v>
      </c>
      <c r="C904" s="1" t="s">
        <v>2203</v>
      </c>
      <c r="D904" s="1" t="str">
        <f>"8465"</f>
        <v>8465</v>
      </c>
      <c r="E904" s="1" t="str">
        <f>"015589958"</f>
        <v>015589958</v>
      </c>
      <c r="F904" s="1" t="s">
        <v>2204</v>
      </c>
      <c r="G904" s="1" t="s">
        <v>311</v>
      </c>
      <c r="H904" s="1" t="str">
        <f>"10"</f>
        <v>10</v>
      </c>
      <c r="I904" s="2">
        <v>221.19</v>
      </c>
      <c r="J904" s="3">
        <v>46136</v>
      </c>
      <c r="K904" s="1" t="s">
        <v>2205</v>
      </c>
    </row>
    <row r="905" spans="1:11" x14ac:dyDescent="0.35">
      <c r="A905" s="1" t="s">
        <v>2091</v>
      </c>
      <c r="B905" s="1" t="s">
        <v>2115</v>
      </c>
      <c r="C905" s="1" t="s">
        <v>2132</v>
      </c>
      <c r="D905" s="1" t="str">
        <f>"5855"</f>
        <v>5855</v>
      </c>
      <c r="E905" s="1" t="str">
        <f>"015330555"</f>
        <v>015330555</v>
      </c>
      <c r="F905" s="1" t="s">
        <v>462</v>
      </c>
      <c r="G905" s="1" t="s">
        <v>16</v>
      </c>
      <c r="H905" s="1" t="str">
        <f>"12"</f>
        <v>12</v>
      </c>
      <c r="I905" s="2" t="str">
        <f>"1800"</f>
        <v>1800</v>
      </c>
      <c r="J905" s="3">
        <v>46139</v>
      </c>
      <c r="K905" s="1" t="s">
        <v>2119</v>
      </c>
    </row>
    <row r="906" spans="1:11" x14ac:dyDescent="0.35">
      <c r="A906" s="1" t="s">
        <v>2091</v>
      </c>
      <c r="B906" s="1" t="s">
        <v>2115</v>
      </c>
      <c r="C906" s="1" t="s">
        <v>2118</v>
      </c>
      <c r="D906" s="1" t="str">
        <f>"5855"</f>
        <v>5855</v>
      </c>
      <c r="E906" s="1" t="str">
        <f>"015356166"</f>
        <v>015356166</v>
      </c>
      <c r="F906" s="1" t="s">
        <v>1379</v>
      </c>
      <c r="G906" s="1" t="s">
        <v>16</v>
      </c>
      <c r="H906" s="1" t="str">
        <f>"15"</f>
        <v>15</v>
      </c>
      <c r="I906" s="2" t="str">
        <f>"898"</f>
        <v>898</v>
      </c>
      <c r="J906" s="3">
        <v>46143</v>
      </c>
      <c r="K906" s="1" t="s">
        <v>2119</v>
      </c>
    </row>
    <row r="907" spans="1:11" x14ac:dyDescent="0.35">
      <c r="A907" s="1" t="s">
        <v>2091</v>
      </c>
      <c r="B907" s="1" t="s">
        <v>2144</v>
      </c>
      <c r="C907" s="1" t="s">
        <v>2145</v>
      </c>
      <c r="D907" s="1" t="str">
        <f>"1385"</f>
        <v>1385</v>
      </c>
      <c r="E907" s="1" t="str">
        <f>"016274491"</f>
        <v>016274491</v>
      </c>
      <c r="F907" s="1" t="s">
        <v>2146</v>
      </c>
      <c r="G907" s="1" t="s">
        <v>16</v>
      </c>
      <c r="H907" s="1" t="str">
        <f>"2"</f>
        <v>2</v>
      </c>
      <c r="I907" s="2">
        <v>11556.33</v>
      </c>
      <c r="J907" s="3">
        <v>46147</v>
      </c>
      <c r="K907" s="1" t="s">
        <v>2147</v>
      </c>
    </row>
    <row r="908" spans="1:11" x14ac:dyDescent="0.35">
      <c r="A908" s="1" t="s">
        <v>2091</v>
      </c>
      <c r="B908" s="1" t="s">
        <v>2144</v>
      </c>
      <c r="C908" s="1" t="s">
        <v>2206</v>
      </c>
      <c r="D908" s="1" t="str">
        <f>"8465"</f>
        <v>8465</v>
      </c>
      <c r="E908" s="1" t="str">
        <f>"016205997"</f>
        <v>016205997</v>
      </c>
      <c r="F908" s="1" t="s">
        <v>653</v>
      </c>
      <c r="G908" s="1" t="s">
        <v>16</v>
      </c>
      <c r="H908" s="1" t="str">
        <f>"4"</f>
        <v>4</v>
      </c>
      <c r="I908" s="2" t="str">
        <f>"1200"</f>
        <v>1200</v>
      </c>
      <c r="J908" s="3">
        <v>46148</v>
      </c>
      <c r="K908" s="1" t="s">
        <v>2207</v>
      </c>
    </row>
    <row r="909" spans="1:11" x14ac:dyDescent="0.35">
      <c r="A909" s="1" t="s">
        <v>2091</v>
      </c>
      <c r="B909" s="1" t="s">
        <v>2092</v>
      </c>
      <c r="C909" s="1" t="s">
        <v>2095</v>
      </c>
      <c r="D909" s="1" t="str">
        <f>"8415"</f>
        <v>8415</v>
      </c>
      <c r="E909" s="1" t="str">
        <f>"015386707"</f>
        <v>015386707</v>
      </c>
      <c r="F909" s="1" t="s">
        <v>672</v>
      </c>
      <c r="G909" s="1" t="s">
        <v>16</v>
      </c>
      <c r="H909" s="1" t="str">
        <f>"1"</f>
        <v>1</v>
      </c>
      <c r="I909" s="2">
        <v>123.35</v>
      </c>
      <c r="J909" s="3">
        <v>46157</v>
      </c>
      <c r="K909" s="1" t="s">
        <v>2096</v>
      </c>
    </row>
    <row r="910" spans="1:11" x14ac:dyDescent="0.35">
      <c r="A910" s="1" t="s">
        <v>2091</v>
      </c>
      <c r="B910" s="1" t="s">
        <v>2092</v>
      </c>
      <c r="C910" s="1" t="s">
        <v>2097</v>
      </c>
      <c r="D910" s="1" t="str">
        <f>"8415"</f>
        <v>8415</v>
      </c>
      <c r="E910" s="1" t="str">
        <f>"015386278"</f>
        <v>015386278</v>
      </c>
      <c r="F910" s="1" t="s">
        <v>1718</v>
      </c>
      <c r="G910" s="1" t="s">
        <v>16</v>
      </c>
      <c r="H910" s="1" t="str">
        <f>"2"</f>
        <v>2</v>
      </c>
      <c r="I910" s="2">
        <v>137.97999999999999</v>
      </c>
      <c r="J910" s="3">
        <v>46157</v>
      </c>
      <c r="K910" s="1" t="s">
        <v>2096</v>
      </c>
    </row>
    <row r="911" spans="1:11" x14ac:dyDescent="0.35">
      <c r="A911" s="1" t="s">
        <v>2091</v>
      </c>
      <c r="B911" s="1" t="s">
        <v>2092</v>
      </c>
      <c r="C911" s="1" t="s">
        <v>2098</v>
      </c>
      <c r="D911" s="1" t="str">
        <f>"8415"</f>
        <v>8415</v>
      </c>
      <c r="E911" s="1" t="str">
        <f>"015458642"</f>
        <v>015458642</v>
      </c>
      <c r="F911" s="1" t="s">
        <v>1718</v>
      </c>
      <c r="G911" s="1" t="s">
        <v>16</v>
      </c>
      <c r="H911" s="1" t="str">
        <f>"1"</f>
        <v>1</v>
      </c>
      <c r="I911" s="2">
        <v>137.97999999999999</v>
      </c>
      <c r="J911" s="3">
        <v>46157</v>
      </c>
      <c r="K911" s="1" t="s">
        <v>2096</v>
      </c>
    </row>
    <row r="912" spans="1:11" x14ac:dyDescent="0.35">
      <c r="A912" s="1" t="s">
        <v>2091</v>
      </c>
      <c r="B912" s="1" t="s">
        <v>2092</v>
      </c>
      <c r="C912" s="1" t="s">
        <v>2099</v>
      </c>
      <c r="D912" s="1" t="str">
        <f>"8415"</f>
        <v>8415</v>
      </c>
      <c r="E912" s="1" t="str">
        <f>"015386289"</f>
        <v>015386289</v>
      </c>
      <c r="F912" s="1" t="s">
        <v>1718</v>
      </c>
      <c r="G912" s="1" t="s">
        <v>16</v>
      </c>
      <c r="H912" s="1" t="str">
        <f>"6"</f>
        <v>6</v>
      </c>
      <c r="I912" s="2">
        <v>137.97999999999999</v>
      </c>
      <c r="J912" s="3">
        <v>46157</v>
      </c>
      <c r="K912" s="1" t="s">
        <v>2096</v>
      </c>
    </row>
    <row r="913" spans="1:11" x14ac:dyDescent="0.35">
      <c r="A913" s="1" t="s">
        <v>2091</v>
      </c>
      <c r="B913" s="1" t="s">
        <v>2092</v>
      </c>
      <c r="C913" s="1" t="s">
        <v>2100</v>
      </c>
      <c r="D913" s="1" t="str">
        <f>"8415"</f>
        <v>8415</v>
      </c>
      <c r="E913" s="1" t="str">
        <f>"015386695"</f>
        <v>015386695</v>
      </c>
      <c r="F913" s="1" t="s">
        <v>672</v>
      </c>
      <c r="G913" s="1" t="s">
        <v>16</v>
      </c>
      <c r="H913" s="1" t="str">
        <f>"6"</f>
        <v>6</v>
      </c>
      <c r="I913" s="2">
        <v>123.35</v>
      </c>
      <c r="J913" s="3">
        <v>46157</v>
      </c>
      <c r="K913" s="1" t="s">
        <v>2096</v>
      </c>
    </row>
    <row r="914" spans="1:11" x14ac:dyDescent="0.35">
      <c r="A914" s="1" t="s">
        <v>2091</v>
      </c>
      <c r="B914" s="1" t="s">
        <v>2092</v>
      </c>
      <c r="C914" s="1" t="s">
        <v>2101</v>
      </c>
      <c r="D914" s="1" t="str">
        <f>"8415"</f>
        <v>8415</v>
      </c>
      <c r="E914" s="1" t="str">
        <f>"015386704"</f>
        <v>015386704</v>
      </c>
      <c r="F914" s="1" t="s">
        <v>672</v>
      </c>
      <c r="G914" s="1" t="s">
        <v>16</v>
      </c>
      <c r="H914" s="1" t="str">
        <f>"4"</f>
        <v>4</v>
      </c>
      <c r="I914" s="2">
        <v>123.35</v>
      </c>
      <c r="J914" s="3">
        <v>46157</v>
      </c>
      <c r="K914" s="1" t="s">
        <v>2096</v>
      </c>
    </row>
    <row r="915" spans="1:11" x14ac:dyDescent="0.35">
      <c r="A915" s="1" t="s">
        <v>2091</v>
      </c>
      <c r="B915" s="1" t="s">
        <v>2092</v>
      </c>
      <c r="C915" s="1" t="s">
        <v>2102</v>
      </c>
      <c r="D915" s="1" t="str">
        <f>"8415"</f>
        <v>8415</v>
      </c>
      <c r="E915" s="1" t="str">
        <f>"015386704"</f>
        <v>015386704</v>
      </c>
      <c r="F915" s="1" t="s">
        <v>672</v>
      </c>
      <c r="G915" s="1" t="s">
        <v>16</v>
      </c>
      <c r="H915" s="1" t="str">
        <f>"2"</f>
        <v>2</v>
      </c>
      <c r="I915" s="2">
        <v>123.35</v>
      </c>
      <c r="J915" s="3">
        <v>46157</v>
      </c>
      <c r="K915" s="1" t="s">
        <v>2096</v>
      </c>
    </row>
    <row r="916" spans="1:11" x14ac:dyDescent="0.35">
      <c r="A916" s="1" t="s">
        <v>2091</v>
      </c>
      <c r="B916" s="1" t="s">
        <v>2092</v>
      </c>
      <c r="C916" s="1" t="s">
        <v>2103</v>
      </c>
      <c r="D916" s="1" t="str">
        <f>"8415"</f>
        <v>8415</v>
      </c>
      <c r="E916" s="1" t="str">
        <f>"015386300"</f>
        <v>015386300</v>
      </c>
      <c r="F916" s="1" t="s">
        <v>1718</v>
      </c>
      <c r="G916" s="1" t="s">
        <v>16</v>
      </c>
      <c r="H916" s="1" t="str">
        <f>"6"</f>
        <v>6</v>
      </c>
      <c r="I916" s="2">
        <v>137.97999999999999</v>
      </c>
      <c r="J916" s="3">
        <v>46157</v>
      </c>
      <c r="K916" s="1" t="s">
        <v>2096</v>
      </c>
    </row>
    <row r="917" spans="1:11" x14ac:dyDescent="0.35">
      <c r="A917" s="1" t="s">
        <v>2091</v>
      </c>
      <c r="B917" s="1" t="s">
        <v>2144</v>
      </c>
      <c r="C917" s="1" t="s">
        <v>2148</v>
      </c>
      <c r="D917" s="1" t="str">
        <f>"1385"</f>
        <v>1385</v>
      </c>
      <c r="E917" s="1" t="str">
        <f>"016274491"</f>
        <v>016274491</v>
      </c>
      <c r="F917" s="1" t="s">
        <v>2146</v>
      </c>
      <c r="G917" s="1" t="s">
        <v>16</v>
      </c>
      <c r="H917" s="1" t="str">
        <f>"3"</f>
        <v>3</v>
      </c>
      <c r="I917" s="2">
        <v>11556.33</v>
      </c>
      <c r="J917" s="3">
        <v>46161</v>
      </c>
      <c r="K917" s="1" t="s">
        <v>2149</v>
      </c>
    </row>
    <row r="918" spans="1:11" x14ac:dyDescent="0.35">
      <c r="A918" s="1" t="s">
        <v>2091</v>
      </c>
      <c r="B918" s="1" t="s">
        <v>2115</v>
      </c>
      <c r="C918" s="1" t="s">
        <v>2127</v>
      </c>
      <c r="D918" s="1" t="str">
        <f>"5855"</f>
        <v>5855</v>
      </c>
      <c r="E918" s="1" t="str">
        <f>"015096871"</f>
        <v>015096871</v>
      </c>
      <c r="F918" s="1" t="s">
        <v>2128</v>
      </c>
      <c r="G918" s="1" t="s">
        <v>16</v>
      </c>
      <c r="H918" s="1" t="str">
        <f>"1"</f>
        <v>1</v>
      </c>
      <c r="I918" s="2" t="str">
        <f>"14583"</f>
        <v>14583</v>
      </c>
      <c r="J918" s="3">
        <v>46162</v>
      </c>
      <c r="K918" s="1" t="s">
        <v>2129</v>
      </c>
    </row>
    <row r="919" spans="1:11" x14ac:dyDescent="0.35">
      <c r="A919" s="1" t="s">
        <v>2091</v>
      </c>
      <c r="B919" s="1" t="s">
        <v>2115</v>
      </c>
      <c r="C919" s="1" t="s">
        <v>2134</v>
      </c>
      <c r="D919" s="1" t="str">
        <f>"5855"</f>
        <v>5855</v>
      </c>
      <c r="E919" s="1" t="str">
        <f>"015388121"</f>
        <v>015388121</v>
      </c>
      <c r="F919" s="1" t="s">
        <v>175</v>
      </c>
      <c r="G919" s="1" t="s">
        <v>16</v>
      </c>
      <c r="H919" s="1" t="str">
        <f>"2"</f>
        <v>2</v>
      </c>
      <c r="I919" s="2">
        <v>7939.42</v>
      </c>
      <c r="J919" s="3">
        <v>46162</v>
      </c>
      <c r="K919" s="1" t="s">
        <v>2129</v>
      </c>
    </row>
    <row r="920" spans="1:11" x14ac:dyDescent="0.35">
      <c r="A920" s="1" t="s">
        <v>2091</v>
      </c>
      <c r="B920" s="1" t="s">
        <v>2141</v>
      </c>
      <c r="C920" s="1" t="s">
        <v>2142</v>
      </c>
      <c r="D920" s="1" t="str">
        <f>"1240"</f>
        <v>1240</v>
      </c>
      <c r="E920" s="1" t="str">
        <f>"014111265"</f>
        <v>014111265</v>
      </c>
      <c r="F920" s="1" t="s">
        <v>1103</v>
      </c>
      <c r="G920" s="1" t="s">
        <v>16</v>
      </c>
      <c r="H920" s="1" t="str">
        <f>"10"</f>
        <v>10</v>
      </c>
      <c r="I920" s="2" t="str">
        <f>"339"</f>
        <v>339</v>
      </c>
      <c r="J920" s="3">
        <v>46163</v>
      </c>
      <c r="K920" s="1" t="s">
        <v>2143</v>
      </c>
    </row>
    <row r="921" spans="1:11" x14ac:dyDescent="0.35">
      <c r="A921" s="1" t="s">
        <v>2091</v>
      </c>
      <c r="B921" s="1" t="s">
        <v>2092</v>
      </c>
      <c r="C921" s="1" t="s">
        <v>2093</v>
      </c>
      <c r="D921" s="1" t="str">
        <f>"5855"</f>
        <v>5855</v>
      </c>
      <c r="E921" s="1" t="str">
        <f>"015345931"</f>
        <v>015345931</v>
      </c>
      <c r="F921" s="1" t="s">
        <v>1379</v>
      </c>
      <c r="G921" s="1" t="s">
        <v>16</v>
      </c>
      <c r="H921" s="1" t="str">
        <f>"50"</f>
        <v>50</v>
      </c>
      <c r="I921" s="2" t="str">
        <f>"970"</f>
        <v>970</v>
      </c>
      <c r="J921" s="3">
        <v>46171</v>
      </c>
      <c r="K921" s="1" t="s">
        <v>2094</v>
      </c>
    </row>
    <row r="922" spans="1:11" x14ac:dyDescent="0.35">
      <c r="A922" s="1" t="s">
        <v>2091</v>
      </c>
      <c r="B922" s="1" t="s">
        <v>2104</v>
      </c>
      <c r="C922" s="1" t="s">
        <v>2107</v>
      </c>
      <c r="D922" s="1" t="str">
        <f>"5855"</f>
        <v>5855</v>
      </c>
      <c r="E922" s="1" t="str">
        <f>"015909103"</f>
        <v>015909103</v>
      </c>
      <c r="F922" s="1" t="s">
        <v>1698</v>
      </c>
      <c r="G922" s="1" t="s">
        <v>16</v>
      </c>
      <c r="H922" s="1" t="str">
        <f>"5"</f>
        <v>5</v>
      </c>
      <c r="I922" s="2" t="str">
        <f>"10793"</f>
        <v>10793</v>
      </c>
      <c r="J922" s="3">
        <v>46184</v>
      </c>
      <c r="K922" s="1" t="s">
        <v>2108</v>
      </c>
    </row>
    <row r="923" spans="1:11" x14ac:dyDescent="0.35">
      <c r="A923" s="1" t="s">
        <v>2091</v>
      </c>
      <c r="B923" s="1" t="s">
        <v>2144</v>
      </c>
      <c r="C923" s="1" t="s">
        <v>2159</v>
      </c>
      <c r="D923" s="1" t="str">
        <f>"8415"</f>
        <v>8415</v>
      </c>
      <c r="E923" s="1" t="str">
        <f>"015802493"</f>
        <v>015802493</v>
      </c>
      <c r="F923" s="1" t="s">
        <v>1988</v>
      </c>
      <c r="G923" s="1" t="s">
        <v>311</v>
      </c>
      <c r="H923" s="1" t="str">
        <f>"4"</f>
        <v>4</v>
      </c>
      <c r="I923" s="2">
        <v>123.49</v>
      </c>
      <c r="J923" s="3">
        <v>46184</v>
      </c>
      <c r="K923" s="1" t="s">
        <v>2160</v>
      </c>
    </row>
    <row r="924" spans="1:11" x14ac:dyDescent="0.35">
      <c r="A924" s="1" t="s">
        <v>2091</v>
      </c>
      <c r="B924" s="1" t="s">
        <v>2144</v>
      </c>
      <c r="C924" s="1" t="s">
        <v>2161</v>
      </c>
      <c r="D924" s="1" t="str">
        <f>"8415"</f>
        <v>8415</v>
      </c>
      <c r="E924" s="1" t="str">
        <f>"015802468"</f>
        <v>015802468</v>
      </c>
      <c r="F924" s="1" t="s">
        <v>1988</v>
      </c>
      <c r="G924" s="1" t="s">
        <v>311</v>
      </c>
      <c r="H924" s="1" t="str">
        <f>"4"</f>
        <v>4</v>
      </c>
      <c r="I924" s="2">
        <v>120.1</v>
      </c>
      <c r="J924" s="3">
        <v>46184</v>
      </c>
      <c r="K924" s="1" t="s">
        <v>2160</v>
      </c>
    </row>
    <row r="925" spans="1:11" x14ac:dyDescent="0.35">
      <c r="A925" s="1" t="s">
        <v>2091</v>
      </c>
      <c r="B925" s="1" t="s">
        <v>2144</v>
      </c>
      <c r="C925" s="1" t="s">
        <v>2162</v>
      </c>
      <c r="D925" s="1" t="str">
        <f>"8415"</f>
        <v>8415</v>
      </c>
      <c r="E925" s="1" t="str">
        <f>"015802984"</f>
        <v>015802984</v>
      </c>
      <c r="F925" s="1" t="s">
        <v>668</v>
      </c>
      <c r="G925" s="1" t="s">
        <v>311</v>
      </c>
      <c r="H925" s="1" t="str">
        <f>"4"</f>
        <v>4</v>
      </c>
      <c r="I925" s="2">
        <v>113.3</v>
      </c>
      <c r="J925" s="3">
        <v>46184</v>
      </c>
      <c r="K925" s="1" t="s">
        <v>2160</v>
      </c>
    </row>
    <row r="926" spans="1:11" x14ac:dyDescent="0.35">
      <c r="A926" s="1" t="s">
        <v>2091</v>
      </c>
      <c r="B926" s="1" t="s">
        <v>2144</v>
      </c>
      <c r="C926" s="1" t="s">
        <v>2163</v>
      </c>
      <c r="D926" s="1" t="str">
        <f>"8415"</f>
        <v>8415</v>
      </c>
      <c r="E926" s="1" t="str">
        <f>"015802988"</f>
        <v>015802988</v>
      </c>
      <c r="F926" s="1" t="s">
        <v>668</v>
      </c>
      <c r="G926" s="1" t="s">
        <v>311</v>
      </c>
      <c r="H926" s="1" t="str">
        <f>"4"</f>
        <v>4</v>
      </c>
      <c r="I926" s="2">
        <v>113.3</v>
      </c>
      <c r="J926" s="3">
        <v>46184</v>
      </c>
      <c r="K926" s="1" t="s">
        <v>2160</v>
      </c>
    </row>
    <row r="927" spans="1:11" x14ac:dyDescent="0.35">
      <c r="A927" s="1" t="s">
        <v>2091</v>
      </c>
      <c r="B927" s="1" t="s">
        <v>2144</v>
      </c>
      <c r="C927" s="1" t="s">
        <v>2164</v>
      </c>
      <c r="D927" s="1" t="str">
        <f>"8415"</f>
        <v>8415</v>
      </c>
      <c r="E927" s="1" t="str">
        <f>"015802991"</f>
        <v>015802991</v>
      </c>
      <c r="F927" s="1" t="s">
        <v>668</v>
      </c>
      <c r="G927" s="1" t="s">
        <v>311</v>
      </c>
      <c r="H927" s="1" t="str">
        <f>"4"</f>
        <v>4</v>
      </c>
      <c r="I927" s="2">
        <v>113.3</v>
      </c>
      <c r="J927" s="3">
        <v>46184</v>
      </c>
      <c r="K927" s="1" t="s">
        <v>2160</v>
      </c>
    </row>
    <row r="928" spans="1:11" x14ac:dyDescent="0.35">
      <c r="A928" s="1" t="s">
        <v>2091</v>
      </c>
      <c r="B928" s="1" t="s">
        <v>2144</v>
      </c>
      <c r="C928" s="1" t="s">
        <v>2165</v>
      </c>
      <c r="D928" s="1" t="str">
        <f>"8415"</f>
        <v>8415</v>
      </c>
      <c r="E928" s="1" t="str">
        <f>"015803306"</f>
        <v>015803306</v>
      </c>
      <c r="F928" s="1" t="s">
        <v>668</v>
      </c>
      <c r="G928" s="1" t="s">
        <v>311</v>
      </c>
      <c r="H928" s="1" t="str">
        <f>"4"</f>
        <v>4</v>
      </c>
      <c r="I928" s="2">
        <v>113.3</v>
      </c>
      <c r="J928" s="3">
        <v>46184</v>
      </c>
      <c r="K928" s="1" t="s">
        <v>2160</v>
      </c>
    </row>
    <row r="929" spans="1:11" x14ac:dyDescent="0.35">
      <c r="A929" s="1" t="s">
        <v>2091</v>
      </c>
      <c r="B929" s="1" t="s">
        <v>2144</v>
      </c>
      <c r="C929" s="1" t="s">
        <v>2166</v>
      </c>
      <c r="D929" s="1" t="str">
        <f>"8415"</f>
        <v>8415</v>
      </c>
      <c r="E929" s="1" t="str">
        <f>"015802990"</f>
        <v>015802990</v>
      </c>
      <c r="F929" s="1" t="s">
        <v>2167</v>
      </c>
      <c r="G929" s="1" t="s">
        <v>311</v>
      </c>
      <c r="H929" s="1" t="str">
        <f>"4"</f>
        <v>4</v>
      </c>
      <c r="I929" s="2">
        <v>113.3</v>
      </c>
      <c r="J929" s="3">
        <v>46184</v>
      </c>
      <c r="K929" s="1" t="s">
        <v>2160</v>
      </c>
    </row>
    <row r="930" spans="1:11" x14ac:dyDescent="0.35">
      <c r="A930" s="1" t="s">
        <v>2091</v>
      </c>
      <c r="B930" s="1" t="s">
        <v>2144</v>
      </c>
      <c r="C930" s="1" t="s">
        <v>2197</v>
      </c>
      <c r="D930" s="1" t="str">
        <f>"8465"</f>
        <v>8465</v>
      </c>
      <c r="E930" s="1" t="str">
        <f>"015571565"</f>
        <v>015571565</v>
      </c>
      <c r="F930" s="1" t="s">
        <v>2198</v>
      </c>
      <c r="G930" s="1" t="s">
        <v>16</v>
      </c>
      <c r="H930" s="1" t="str">
        <f>"1"</f>
        <v>1</v>
      </c>
      <c r="I930" s="2" t="str">
        <f>"34"</f>
        <v>34</v>
      </c>
      <c r="J930" s="3">
        <v>46184</v>
      </c>
      <c r="K930" s="1" t="s">
        <v>2199</v>
      </c>
    </row>
    <row r="931" spans="1:11" x14ac:dyDescent="0.35">
      <c r="A931" s="1" t="s">
        <v>2091</v>
      </c>
      <c r="B931" s="1" t="s">
        <v>2144</v>
      </c>
      <c r="C931" s="1" t="s">
        <v>2200</v>
      </c>
      <c r="D931" s="1" t="str">
        <f>"8465"</f>
        <v>8465</v>
      </c>
      <c r="E931" s="1" t="str">
        <f>"015571565"</f>
        <v>015571565</v>
      </c>
      <c r="F931" s="1" t="s">
        <v>2198</v>
      </c>
      <c r="G931" s="1" t="s">
        <v>16</v>
      </c>
      <c r="H931" s="1" t="str">
        <f>"1"</f>
        <v>1</v>
      </c>
      <c r="I931" s="2" t="str">
        <f>"34"</f>
        <v>34</v>
      </c>
      <c r="J931" s="3">
        <v>46184</v>
      </c>
      <c r="K931" s="1" t="s">
        <v>2199</v>
      </c>
    </row>
    <row r="932" spans="1:11" x14ac:dyDescent="0.35">
      <c r="A932" s="1" t="s">
        <v>2091</v>
      </c>
      <c r="B932" s="1" t="s">
        <v>2144</v>
      </c>
      <c r="C932" s="1" t="s">
        <v>2201</v>
      </c>
      <c r="D932" s="1" t="str">
        <f>"8465"</f>
        <v>8465</v>
      </c>
      <c r="E932" s="1" t="str">
        <f>"016036613"</f>
        <v>016036613</v>
      </c>
      <c r="F932" s="1" t="s">
        <v>1236</v>
      </c>
      <c r="G932" s="1" t="s">
        <v>16</v>
      </c>
      <c r="H932" s="1" t="str">
        <f>"6"</f>
        <v>6</v>
      </c>
      <c r="I932" s="2">
        <v>395.65</v>
      </c>
      <c r="J932" s="3">
        <v>46184</v>
      </c>
      <c r="K932" s="1" t="s">
        <v>2199</v>
      </c>
    </row>
    <row r="933" spans="1:11" x14ac:dyDescent="0.35">
      <c r="A933" s="1" t="s">
        <v>2091</v>
      </c>
      <c r="B933" s="1" t="s">
        <v>2144</v>
      </c>
      <c r="C933" s="1" t="s">
        <v>2202</v>
      </c>
      <c r="D933" s="1" t="str">
        <f>"8465"</f>
        <v>8465</v>
      </c>
      <c r="E933" s="1" t="str">
        <f>"015571565"</f>
        <v>015571565</v>
      </c>
      <c r="F933" s="1" t="s">
        <v>2198</v>
      </c>
      <c r="G933" s="1" t="s">
        <v>16</v>
      </c>
      <c r="H933" s="1" t="str">
        <f>"1"</f>
        <v>1</v>
      </c>
      <c r="I933" s="2" t="str">
        <f>"34"</f>
        <v>34</v>
      </c>
      <c r="J933" s="3">
        <v>46184</v>
      </c>
      <c r="K933" s="1" t="s">
        <v>2199</v>
      </c>
    </row>
    <row r="934" spans="1:11" x14ac:dyDescent="0.35">
      <c r="A934" s="1" t="s">
        <v>2091</v>
      </c>
      <c r="B934" s="1" t="s">
        <v>2115</v>
      </c>
      <c r="C934" s="1" t="s">
        <v>2120</v>
      </c>
      <c r="D934" s="1" t="str">
        <f>"5855"</f>
        <v>5855</v>
      </c>
      <c r="E934" s="1" t="str">
        <f>"015697816"</f>
        <v>015697816</v>
      </c>
      <c r="F934" s="1" t="s">
        <v>2121</v>
      </c>
      <c r="G934" s="1" t="s">
        <v>16</v>
      </c>
      <c r="H934" s="1" t="str">
        <f>"28"</f>
        <v>28</v>
      </c>
      <c r="I934" s="2">
        <v>751.58</v>
      </c>
      <c r="J934" s="3">
        <v>46188</v>
      </c>
      <c r="K934" s="1" t="s">
        <v>2122</v>
      </c>
    </row>
    <row r="935" spans="1:11" x14ac:dyDescent="0.35">
      <c r="A935" s="1" t="s">
        <v>2091</v>
      </c>
      <c r="B935" s="1" t="s">
        <v>2111</v>
      </c>
      <c r="C935" s="1" t="s">
        <v>2112</v>
      </c>
      <c r="D935" s="1" t="str">
        <f>"6515"</f>
        <v>6515</v>
      </c>
      <c r="E935" s="1" t="str">
        <f>"016187475"</f>
        <v>016187475</v>
      </c>
      <c r="F935" s="1" t="s">
        <v>2113</v>
      </c>
      <c r="G935" s="1" t="s">
        <v>215</v>
      </c>
      <c r="H935" s="1" t="str">
        <f>"1"</f>
        <v>1</v>
      </c>
      <c r="I935" s="2">
        <v>418.79</v>
      </c>
      <c r="J935" s="3">
        <v>46198</v>
      </c>
      <c r="K935" s="1" t="s">
        <v>2114</v>
      </c>
    </row>
    <row r="936" spans="1:11" x14ac:dyDescent="0.35">
      <c r="A936" s="1" t="s">
        <v>2091</v>
      </c>
      <c r="B936" s="1" t="s">
        <v>2115</v>
      </c>
      <c r="C936" s="1" t="s">
        <v>2116</v>
      </c>
      <c r="D936" s="1" t="str">
        <f>"5855"</f>
        <v>5855</v>
      </c>
      <c r="E936" s="1" t="str">
        <f>"015345931"</f>
        <v>015345931</v>
      </c>
      <c r="F936" s="1" t="s">
        <v>1379</v>
      </c>
      <c r="G936" s="1" t="s">
        <v>16</v>
      </c>
      <c r="H936" s="1" t="str">
        <f>"28"</f>
        <v>28</v>
      </c>
      <c r="I936" s="2" t="str">
        <f>"970"</f>
        <v>970</v>
      </c>
      <c r="J936" s="3">
        <v>46199</v>
      </c>
      <c r="K936" s="1" t="s">
        <v>2117</v>
      </c>
    </row>
    <row r="937" spans="1:11" x14ac:dyDescent="0.35">
      <c r="A937" s="1" t="s">
        <v>2091</v>
      </c>
      <c r="B937" s="1" t="s">
        <v>2104</v>
      </c>
      <c r="C937" s="1" t="s">
        <v>2105</v>
      </c>
      <c r="D937" s="1" t="str">
        <f>"5855"</f>
        <v>5855</v>
      </c>
      <c r="E937" s="1" t="str">
        <f>"014199429"</f>
        <v>014199429</v>
      </c>
      <c r="F937" s="1" t="s">
        <v>1770</v>
      </c>
      <c r="G937" s="1" t="s">
        <v>16</v>
      </c>
      <c r="H937" s="1" t="str">
        <f>"1"</f>
        <v>1</v>
      </c>
      <c r="I937" s="2" t="str">
        <f>"13003"</f>
        <v>13003</v>
      </c>
      <c r="J937" s="3">
        <v>46202</v>
      </c>
      <c r="K937" s="1" t="s">
        <v>2106</v>
      </c>
    </row>
    <row r="938" spans="1:11" x14ac:dyDescent="0.35">
      <c r="A938" s="1" t="s">
        <v>2091</v>
      </c>
      <c r="B938" s="1" t="s">
        <v>2104</v>
      </c>
      <c r="C938" s="1" t="s">
        <v>2109</v>
      </c>
      <c r="D938" s="1" t="str">
        <f>"5855"</f>
        <v>5855</v>
      </c>
      <c r="E938" s="1" t="str">
        <f>"014199429"</f>
        <v>014199429</v>
      </c>
      <c r="F938" s="1" t="s">
        <v>1770</v>
      </c>
      <c r="G938" s="1" t="s">
        <v>16</v>
      </c>
      <c r="H938" s="1" t="str">
        <f>"1"</f>
        <v>1</v>
      </c>
      <c r="I938" s="2" t="str">
        <f>"13003"</f>
        <v>13003</v>
      </c>
      <c r="J938" s="3">
        <v>46202</v>
      </c>
      <c r="K938" s="1" t="s">
        <v>2106</v>
      </c>
    </row>
    <row r="939" spans="1:11" x14ac:dyDescent="0.35">
      <c r="A939" s="1" t="s">
        <v>2091</v>
      </c>
      <c r="B939" s="1" t="s">
        <v>2104</v>
      </c>
      <c r="C939" s="1" t="s">
        <v>2110</v>
      </c>
      <c r="D939" s="1" t="str">
        <f>"5855"</f>
        <v>5855</v>
      </c>
      <c r="E939" s="1" t="str">
        <f>"014199429"</f>
        <v>014199429</v>
      </c>
      <c r="F939" s="1" t="s">
        <v>1770</v>
      </c>
      <c r="G939" s="1" t="s">
        <v>16</v>
      </c>
      <c r="H939" s="1" t="str">
        <f>"1"</f>
        <v>1</v>
      </c>
      <c r="I939" s="2" t="str">
        <f>"13003"</f>
        <v>13003</v>
      </c>
      <c r="J939" s="3">
        <v>46202</v>
      </c>
      <c r="K939" s="1" t="s">
        <v>2106</v>
      </c>
    </row>
    <row r="940" spans="1:11" x14ac:dyDescent="0.35">
      <c r="A940" s="1" t="s">
        <v>2091</v>
      </c>
      <c r="B940" s="1" t="s">
        <v>2115</v>
      </c>
      <c r="C940" s="1" t="s">
        <v>2130</v>
      </c>
      <c r="D940" s="1" t="str">
        <f>"5855"</f>
        <v>5855</v>
      </c>
      <c r="E940" s="1" t="str">
        <f>"014199429"</f>
        <v>014199429</v>
      </c>
      <c r="F940" s="1" t="s">
        <v>1770</v>
      </c>
      <c r="G940" s="1" t="s">
        <v>16</v>
      </c>
      <c r="H940" s="1" t="str">
        <f>"16"</f>
        <v>16</v>
      </c>
      <c r="I940" s="2" t="str">
        <f>"13003"</f>
        <v>13003</v>
      </c>
      <c r="J940" s="3">
        <v>46202</v>
      </c>
      <c r="K940" s="1" t="s">
        <v>2131</v>
      </c>
    </row>
    <row r="941" spans="1:11" x14ac:dyDescent="0.35">
      <c r="A941" s="1" t="s">
        <v>2208</v>
      </c>
      <c r="B941" s="1" t="s">
        <v>2257</v>
      </c>
      <c r="C941" s="1" t="s">
        <v>2258</v>
      </c>
      <c r="D941" s="1" t="str">
        <f>"2310"</f>
        <v>2310</v>
      </c>
      <c r="E941" s="1" t="s">
        <v>178</v>
      </c>
      <c r="F941" s="1" t="s">
        <v>179</v>
      </c>
      <c r="G941" s="1" t="s">
        <v>16</v>
      </c>
      <c r="H941" s="1" t="str">
        <f>"1"</f>
        <v>1</v>
      </c>
      <c r="I941" s="2" t="str">
        <f>"81369"</f>
        <v>81369</v>
      </c>
      <c r="J941" s="3">
        <v>46121</v>
      </c>
      <c r="K941" s="1" t="s">
        <v>2259</v>
      </c>
    </row>
    <row r="942" spans="1:11" x14ac:dyDescent="0.35">
      <c r="A942" s="1" t="s">
        <v>2208</v>
      </c>
      <c r="B942" s="1" t="s">
        <v>2214</v>
      </c>
      <c r="C942" s="1" t="s">
        <v>2229</v>
      </c>
      <c r="D942" s="1" t="str">
        <f>"8115"</f>
        <v>8115</v>
      </c>
      <c r="E942" s="1" t="str">
        <f>"001682275"</f>
        <v>001682275</v>
      </c>
      <c r="F942" s="1" t="s">
        <v>2230</v>
      </c>
      <c r="G942" s="1" t="s">
        <v>16</v>
      </c>
      <c r="H942" s="1" t="str">
        <f>"1"</f>
        <v>1</v>
      </c>
      <c r="I942" s="2" t="str">
        <f>"1324"</f>
        <v>1324</v>
      </c>
      <c r="J942" s="3">
        <v>46127</v>
      </c>
      <c r="K942" s="1" t="s">
        <v>2231</v>
      </c>
    </row>
    <row r="943" spans="1:11" x14ac:dyDescent="0.35">
      <c r="A943" s="1" t="s">
        <v>2208</v>
      </c>
      <c r="B943" s="1" t="s">
        <v>2214</v>
      </c>
      <c r="C943" s="1" t="s">
        <v>2215</v>
      </c>
      <c r="D943" s="1" t="str">
        <f>"2320"</f>
        <v>2320</v>
      </c>
      <c r="E943" s="1" t="str">
        <f>"011644815"</f>
        <v>011644815</v>
      </c>
      <c r="F943" s="1" t="s">
        <v>271</v>
      </c>
      <c r="G943" s="1" t="s">
        <v>16</v>
      </c>
      <c r="H943" s="1" t="str">
        <f>"1"</f>
        <v>1</v>
      </c>
      <c r="I943" s="2" t="str">
        <f>"5000"</f>
        <v>5000</v>
      </c>
      <c r="J943" s="3">
        <v>46128</v>
      </c>
      <c r="K943" s="1" t="s">
        <v>2216</v>
      </c>
    </row>
    <row r="944" spans="1:11" x14ac:dyDescent="0.35">
      <c r="A944" s="1" t="s">
        <v>2208</v>
      </c>
      <c r="B944" s="1" t="s">
        <v>2214</v>
      </c>
      <c r="C944" s="1" t="s">
        <v>2240</v>
      </c>
      <c r="D944" s="1" t="str">
        <f>"8465"</f>
        <v>8465</v>
      </c>
      <c r="E944" s="1" t="str">
        <f>"015726687"</f>
        <v>015726687</v>
      </c>
      <c r="F944" s="1" t="s">
        <v>2241</v>
      </c>
      <c r="G944" s="1" t="s">
        <v>16</v>
      </c>
      <c r="H944" s="1" t="str">
        <f>"40"</f>
        <v>40</v>
      </c>
      <c r="I944" s="2">
        <v>18.010000000000002</v>
      </c>
      <c r="J944" s="3">
        <v>46128</v>
      </c>
      <c r="K944" s="1" t="s">
        <v>2242</v>
      </c>
    </row>
    <row r="945" spans="1:11" x14ac:dyDescent="0.35">
      <c r="A945" s="1" t="s">
        <v>2208</v>
      </c>
      <c r="B945" s="1" t="s">
        <v>2214</v>
      </c>
      <c r="C945" s="1" t="s">
        <v>2243</v>
      </c>
      <c r="D945" s="1" t="str">
        <f>"8465"</f>
        <v>8465</v>
      </c>
      <c r="E945" s="1" t="str">
        <f>"009734807"</f>
        <v>009734807</v>
      </c>
      <c r="F945" s="1" t="s">
        <v>1534</v>
      </c>
      <c r="G945" s="1" t="s">
        <v>16</v>
      </c>
      <c r="H945" s="1" t="str">
        <f>"20"</f>
        <v>20</v>
      </c>
      <c r="I945" s="2">
        <v>91.05</v>
      </c>
      <c r="J945" s="3">
        <v>46128</v>
      </c>
      <c r="K945" s="1" t="s">
        <v>2244</v>
      </c>
    </row>
    <row r="946" spans="1:11" x14ac:dyDescent="0.35">
      <c r="A946" s="1" t="s">
        <v>2208</v>
      </c>
      <c r="B946" s="1" t="s">
        <v>2257</v>
      </c>
      <c r="C946" s="1" t="s">
        <v>2264</v>
      </c>
      <c r="D946" s="1" t="str">
        <f>"2320"</f>
        <v>2320</v>
      </c>
      <c r="E946" s="1" t="str">
        <f>"011233999"</f>
        <v>011233999</v>
      </c>
      <c r="F946" s="1" t="s">
        <v>271</v>
      </c>
      <c r="G946" s="1" t="s">
        <v>16</v>
      </c>
      <c r="H946" s="1" t="str">
        <f>"1"</f>
        <v>1</v>
      </c>
      <c r="I946" s="2" t="str">
        <f>"11561"</f>
        <v>11561</v>
      </c>
      <c r="J946" s="3">
        <v>46128</v>
      </c>
      <c r="K946" s="1" t="s">
        <v>2265</v>
      </c>
    </row>
    <row r="947" spans="1:11" x14ac:dyDescent="0.35">
      <c r="A947" s="1" t="s">
        <v>2208</v>
      </c>
      <c r="B947" s="1" t="s">
        <v>2257</v>
      </c>
      <c r="C947" s="1" t="s">
        <v>2273</v>
      </c>
      <c r="D947" s="1" t="str">
        <f>"4240"</f>
        <v>4240</v>
      </c>
      <c r="E947" s="1" t="str">
        <f>"015475927"</f>
        <v>015475927</v>
      </c>
      <c r="F947" s="1" t="s">
        <v>2274</v>
      </c>
      <c r="G947" s="1" t="s">
        <v>16</v>
      </c>
      <c r="H947" s="1" t="str">
        <f>"3"</f>
        <v>3</v>
      </c>
      <c r="I947" s="2">
        <v>114.44</v>
      </c>
      <c r="J947" s="3">
        <v>46129</v>
      </c>
      <c r="K947" s="1" t="s">
        <v>2275</v>
      </c>
    </row>
    <row r="948" spans="1:11" x14ac:dyDescent="0.35">
      <c r="A948" s="1" t="s">
        <v>2208</v>
      </c>
      <c r="B948" s="1" t="s">
        <v>2257</v>
      </c>
      <c r="C948" s="1" t="s">
        <v>2284</v>
      </c>
      <c r="D948" s="1" t="str">
        <f>"8415"</f>
        <v>8415</v>
      </c>
      <c r="E948" s="1" t="str">
        <f>"015269186"</f>
        <v>015269186</v>
      </c>
      <c r="F948" s="1" t="s">
        <v>1203</v>
      </c>
      <c r="G948" s="1" t="s">
        <v>16</v>
      </c>
      <c r="H948" s="1" t="str">
        <f>"3"</f>
        <v>3</v>
      </c>
      <c r="I948" s="2">
        <v>171.72</v>
      </c>
      <c r="J948" s="3">
        <v>46129</v>
      </c>
      <c r="K948" s="1" t="s">
        <v>2285</v>
      </c>
    </row>
    <row r="949" spans="1:11" x14ac:dyDescent="0.35">
      <c r="A949" s="1" t="s">
        <v>2208</v>
      </c>
      <c r="B949" s="1" t="s">
        <v>2214</v>
      </c>
      <c r="C949" s="1" t="s">
        <v>2227</v>
      </c>
      <c r="D949" s="1" t="str">
        <f>"6130"</f>
        <v>6130</v>
      </c>
      <c r="E949" s="1" t="str">
        <f>"016616088"</f>
        <v>016616088</v>
      </c>
      <c r="F949" s="1" t="s">
        <v>227</v>
      </c>
      <c r="G949" s="1" t="s">
        <v>16</v>
      </c>
      <c r="H949" s="1" t="str">
        <f>"1"</f>
        <v>1</v>
      </c>
      <c r="I949" s="2" t="str">
        <f>"513"</f>
        <v>513</v>
      </c>
      <c r="J949" s="3">
        <v>46134</v>
      </c>
      <c r="K949" s="1" t="s">
        <v>2228</v>
      </c>
    </row>
    <row r="950" spans="1:11" x14ac:dyDescent="0.35">
      <c r="A950" s="1" t="s">
        <v>2208</v>
      </c>
      <c r="B950" s="1" t="s">
        <v>2257</v>
      </c>
      <c r="C950" s="1" t="s">
        <v>2268</v>
      </c>
      <c r="D950" s="1" t="str">
        <f>"2340"</f>
        <v>2340</v>
      </c>
      <c r="E950" s="1" t="s">
        <v>535</v>
      </c>
      <c r="F950" s="1" t="s">
        <v>536</v>
      </c>
      <c r="G950" s="1" t="s">
        <v>16</v>
      </c>
      <c r="H950" s="1" t="str">
        <f>"1"</f>
        <v>1</v>
      </c>
      <c r="I950" s="2" t="str">
        <f>"8189"</f>
        <v>8189</v>
      </c>
      <c r="J950" s="3">
        <v>46136</v>
      </c>
      <c r="K950" s="1" t="s">
        <v>2269</v>
      </c>
    </row>
    <row r="951" spans="1:11" x14ac:dyDescent="0.35">
      <c r="A951" s="1" t="s">
        <v>2208</v>
      </c>
      <c r="B951" s="1" t="s">
        <v>2257</v>
      </c>
      <c r="C951" s="1" t="s">
        <v>2270</v>
      </c>
      <c r="D951" s="1" t="str">
        <f>"2340"</f>
        <v>2340</v>
      </c>
      <c r="E951" s="1" t="s">
        <v>535</v>
      </c>
      <c r="F951" s="1" t="s">
        <v>536</v>
      </c>
      <c r="G951" s="1" t="s">
        <v>16</v>
      </c>
      <c r="H951" s="1" t="str">
        <f>"1"</f>
        <v>1</v>
      </c>
      <c r="I951" s="2" t="str">
        <f>"8189"</f>
        <v>8189</v>
      </c>
      <c r="J951" s="3">
        <v>46136</v>
      </c>
      <c r="K951" s="1" t="s">
        <v>2269</v>
      </c>
    </row>
    <row r="952" spans="1:11" x14ac:dyDescent="0.35">
      <c r="A952" s="1" t="s">
        <v>2208</v>
      </c>
      <c r="B952" s="1" t="s">
        <v>2214</v>
      </c>
      <c r="C952" s="1" t="s">
        <v>2217</v>
      </c>
      <c r="D952" s="1" t="str">
        <f>"2320"</f>
        <v>2320</v>
      </c>
      <c r="E952" s="1" t="s">
        <v>2218</v>
      </c>
      <c r="F952" s="1" t="s">
        <v>2219</v>
      </c>
      <c r="G952" s="1" t="s">
        <v>16</v>
      </c>
      <c r="H952" s="1" t="str">
        <f>"1"</f>
        <v>1</v>
      </c>
      <c r="I952" s="2">
        <v>25718.639999999999</v>
      </c>
      <c r="J952" s="3">
        <v>46140</v>
      </c>
      <c r="K952" s="1" t="s">
        <v>2220</v>
      </c>
    </row>
    <row r="953" spans="1:11" x14ac:dyDescent="0.35">
      <c r="A953" s="1" t="s">
        <v>2208</v>
      </c>
      <c r="B953" s="1" t="s">
        <v>2214</v>
      </c>
      <c r="C953" s="1" t="s">
        <v>2221</v>
      </c>
      <c r="D953" s="1" t="str">
        <f>"3830"</f>
        <v>3830</v>
      </c>
      <c r="E953" s="1" t="s">
        <v>75</v>
      </c>
      <c r="F953" s="1" t="s">
        <v>76</v>
      </c>
      <c r="G953" s="1" t="s">
        <v>16</v>
      </c>
      <c r="H953" s="1" t="str">
        <f>"1"</f>
        <v>1</v>
      </c>
      <c r="I953" s="2" t="str">
        <f>"4500"</f>
        <v>4500</v>
      </c>
      <c r="J953" s="3">
        <v>46140</v>
      </c>
      <c r="K953" s="1" t="s">
        <v>2222</v>
      </c>
    </row>
    <row r="954" spans="1:11" x14ac:dyDescent="0.35">
      <c r="A954" s="1" t="s">
        <v>2208</v>
      </c>
      <c r="B954" s="1" t="s">
        <v>2214</v>
      </c>
      <c r="C954" s="1" t="s">
        <v>2223</v>
      </c>
      <c r="D954" s="1" t="str">
        <f>"3830"</f>
        <v>3830</v>
      </c>
      <c r="E954" s="1" t="s">
        <v>75</v>
      </c>
      <c r="F954" s="1" t="s">
        <v>76</v>
      </c>
      <c r="G954" s="1" t="s">
        <v>16</v>
      </c>
      <c r="H954" s="1" t="str">
        <f>"1"</f>
        <v>1</v>
      </c>
      <c r="I954" s="2" t="str">
        <f>"3000"</f>
        <v>3000</v>
      </c>
      <c r="J954" s="3">
        <v>46140</v>
      </c>
      <c r="K954" s="1" t="s">
        <v>2222</v>
      </c>
    </row>
    <row r="955" spans="1:11" x14ac:dyDescent="0.35">
      <c r="A955" s="1" t="s">
        <v>2208</v>
      </c>
      <c r="B955" s="1" t="s">
        <v>2286</v>
      </c>
      <c r="C955" s="1" t="s">
        <v>2296</v>
      </c>
      <c r="D955" s="1" t="str">
        <f>"2320"</f>
        <v>2320</v>
      </c>
      <c r="E955" s="1" t="str">
        <f>"004900857"</f>
        <v>004900857</v>
      </c>
      <c r="F955" s="1" t="s">
        <v>2297</v>
      </c>
      <c r="G955" s="1" t="s">
        <v>16</v>
      </c>
      <c r="H955" s="1" t="str">
        <f>"1"</f>
        <v>1</v>
      </c>
      <c r="I955" s="2" t="str">
        <f>"74753"</f>
        <v>74753</v>
      </c>
      <c r="J955" s="3">
        <v>46142</v>
      </c>
      <c r="K955" s="1" t="s">
        <v>2298</v>
      </c>
    </row>
    <row r="956" spans="1:11" x14ac:dyDescent="0.35">
      <c r="A956" s="1" t="s">
        <v>2208</v>
      </c>
      <c r="B956" s="1" t="s">
        <v>2286</v>
      </c>
      <c r="C956" s="1" t="s">
        <v>2302</v>
      </c>
      <c r="D956" s="1" t="str">
        <f>"2320"</f>
        <v>2320</v>
      </c>
      <c r="E956" s="1" t="str">
        <f>"010917826"</f>
        <v>010917826</v>
      </c>
      <c r="F956" s="1" t="s">
        <v>2303</v>
      </c>
      <c r="G956" s="1" t="s">
        <v>16</v>
      </c>
      <c r="H956" s="1" t="str">
        <f>"1"</f>
        <v>1</v>
      </c>
      <c r="I956" s="2" t="str">
        <f>"11481"</f>
        <v>11481</v>
      </c>
      <c r="J956" s="3">
        <v>46146</v>
      </c>
      <c r="K956" s="1" t="s">
        <v>2304</v>
      </c>
    </row>
    <row r="957" spans="1:11" x14ac:dyDescent="0.35">
      <c r="A957" s="1" t="s">
        <v>2208</v>
      </c>
      <c r="B957" s="1" t="s">
        <v>2286</v>
      </c>
      <c r="C957" s="1" t="s">
        <v>2317</v>
      </c>
      <c r="D957" s="1" t="str">
        <f>"2420"</f>
        <v>2420</v>
      </c>
      <c r="E957" s="1" t="str">
        <f>"010325533"</f>
        <v>010325533</v>
      </c>
      <c r="F957" s="1" t="s">
        <v>2318</v>
      </c>
      <c r="G957" s="1" t="s">
        <v>16</v>
      </c>
      <c r="H957" s="1" t="str">
        <f>"1"</f>
        <v>1</v>
      </c>
      <c r="I957" s="2">
        <v>21040.82</v>
      </c>
      <c r="J957" s="3">
        <v>46149</v>
      </c>
      <c r="K957" s="1" t="s">
        <v>2319</v>
      </c>
    </row>
    <row r="958" spans="1:11" x14ac:dyDescent="0.35">
      <c r="A958" s="1" t="s">
        <v>2208</v>
      </c>
      <c r="B958" s="1" t="s">
        <v>2209</v>
      </c>
      <c r="C958" s="1" t="s">
        <v>2210</v>
      </c>
      <c r="D958" s="1" t="str">
        <f>"1385"</f>
        <v>1385</v>
      </c>
      <c r="E958" s="1" t="str">
        <f>"016724286"</f>
        <v>016724286</v>
      </c>
      <c r="F958" s="1" t="s">
        <v>196</v>
      </c>
      <c r="G958" s="1" t="s">
        <v>16</v>
      </c>
      <c r="H958" s="1" t="str">
        <f>"2"</f>
        <v>2</v>
      </c>
      <c r="I958" s="2" t="str">
        <f>"83364"</f>
        <v>83364</v>
      </c>
      <c r="J958" s="3">
        <v>46150</v>
      </c>
      <c r="K958" s="1" t="s">
        <v>2211</v>
      </c>
    </row>
    <row r="959" spans="1:11" x14ac:dyDescent="0.35">
      <c r="A959" s="1" t="s">
        <v>2208</v>
      </c>
      <c r="B959" s="1" t="s">
        <v>2257</v>
      </c>
      <c r="C959" s="1" t="s">
        <v>2271</v>
      </c>
      <c r="D959" s="1" t="str">
        <f>"2420"</f>
        <v>2420</v>
      </c>
      <c r="E959" s="1" t="str">
        <f>"010630254"</f>
        <v>010630254</v>
      </c>
      <c r="F959" s="1" t="s">
        <v>98</v>
      </c>
      <c r="G959" s="1" t="s">
        <v>16</v>
      </c>
      <c r="H959" s="1" t="str">
        <f>"1"</f>
        <v>1</v>
      </c>
      <c r="I959" s="2" t="str">
        <f>"140000"</f>
        <v>140000</v>
      </c>
      <c r="J959" s="3">
        <v>46154</v>
      </c>
      <c r="K959" s="1" t="s">
        <v>2272</v>
      </c>
    </row>
    <row r="960" spans="1:11" x14ac:dyDescent="0.35">
      <c r="A960" s="1" t="s">
        <v>2208</v>
      </c>
      <c r="B960" s="1" t="s">
        <v>2257</v>
      </c>
      <c r="C960" s="1" t="s">
        <v>2276</v>
      </c>
      <c r="D960" s="1" t="str">
        <f>"8145"</f>
        <v>8145</v>
      </c>
      <c r="E960" s="1" t="str">
        <f>"014654187"</f>
        <v>014654187</v>
      </c>
      <c r="F960" s="1" t="s">
        <v>423</v>
      </c>
      <c r="G960" s="1" t="s">
        <v>16</v>
      </c>
      <c r="H960" s="1" t="str">
        <f>"1"</f>
        <v>1</v>
      </c>
      <c r="I960" s="2">
        <v>17477.91</v>
      </c>
      <c r="J960" s="3">
        <v>46154</v>
      </c>
      <c r="K960" s="1" t="s">
        <v>2277</v>
      </c>
    </row>
    <row r="961" spans="1:11" x14ac:dyDescent="0.35">
      <c r="A961" s="1" t="s">
        <v>2208</v>
      </c>
      <c r="B961" s="1" t="s">
        <v>2257</v>
      </c>
      <c r="C961" s="1" t="s">
        <v>2279</v>
      </c>
      <c r="D961" s="1" t="str">
        <f>"8145"</f>
        <v>8145</v>
      </c>
      <c r="E961" s="1" t="str">
        <f>"014654187"</f>
        <v>014654187</v>
      </c>
      <c r="F961" s="1" t="s">
        <v>423</v>
      </c>
      <c r="G961" s="1" t="s">
        <v>16</v>
      </c>
      <c r="H961" s="1" t="str">
        <f>"1"</f>
        <v>1</v>
      </c>
      <c r="I961" s="2">
        <v>17477.91</v>
      </c>
      <c r="J961" s="3">
        <v>46154</v>
      </c>
      <c r="K961" s="1" t="s">
        <v>2277</v>
      </c>
    </row>
    <row r="962" spans="1:11" x14ac:dyDescent="0.35">
      <c r="A962" s="1" t="s">
        <v>2208</v>
      </c>
      <c r="B962" s="1" t="s">
        <v>2257</v>
      </c>
      <c r="C962" s="1" t="s">
        <v>2283</v>
      </c>
      <c r="D962" s="1" t="str">
        <f>"8145"</f>
        <v>8145</v>
      </c>
      <c r="E962" s="1" t="str">
        <f>"014654187"</f>
        <v>014654187</v>
      </c>
      <c r="F962" s="1" t="s">
        <v>423</v>
      </c>
      <c r="G962" s="1" t="s">
        <v>16</v>
      </c>
      <c r="H962" s="1" t="str">
        <f>"1"</f>
        <v>1</v>
      </c>
      <c r="I962" s="2">
        <v>17477.91</v>
      </c>
      <c r="J962" s="3">
        <v>46154</v>
      </c>
      <c r="K962" s="1" t="s">
        <v>2277</v>
      </c>
    </row>
    <row r="963" spans="1:11" x14ac:dyDescent="0.35">
      <c r="A963" s="1" t="s">
        <v>2208</v>
      </c>
      <c r="B963" s="1" t="s">
        <v>2257</v>
      </c>
      <c r="C963" s="1" t="s">
        <v>2262</v>
      </c>
      <c r="D963" s="1" t="str">
        <f>"2320"</f>
        <v>2320</v>
      </c>
      <c r="E963" s="1" t="str">
        <f>"010948229"</f>
        <v>010948229</v>
      </c>
      <c r="F963" s="1" t="s">
        <v>271</v>
      </c>
      <c r="G963" s="1" t="s">
        <v>16</v>
      </c>
      <c r="H963" s="1" t="str">
        <f>"1"</f>
        <v>1</v>
      </c>
      <c r="I963" s="2">
        <v>9989.75</v>
      </c>
      <c r="J963" s="3">
        <v>46156</v>
      </c>
      <c r="K963" s="1" t="s">
        <v>2263</v>
      </c>
    </row>
    <row r="964" spans="1:11" x14ac:dyDescent="0.35">
      <c r="A964" s="1" t="s">
        <v>2208</v>
      </c>
      <c r="B964" s="1" t="s">
        <v>2257</v>
      </c>
      <c r="C964" s="1" t="s">
        <v>2278</v>
      </c>
      <c r="D964" s="1" t="str">
        <f>"8145"</f>
        <v>8145</v>
      </c>
      <c r="E964" s="1" t="str">
        <f>"014654187"</f>
        <v>014654187</v>
      </c>
      <c r="F964" s="1" t="s">
        <v>423</v>
      </c>
      <c r="G964" s="1" t="s">
        <v>16</v>
      </c>
      <c r="H964" s="1" t="str">
        <f>"1"</f>
        <v>1</v>
      </c>
      <c r="I964" s="2">
        <v>17477.91</v>
      </c>
      <c r="J964" s="3">
        <v>46156</v>
      </c>
      <c r="K964" s="1" t="s">
        <v>2277</v>
      </c>
    </row>
    <row r="965" spans="1:11" x14ac:dyDescent="0.35">
      <c r="A965" s="1" t="s">
        <v>2208</v>
      </c>
      <c r="B965" s="1" t="s">
        <v>2257</v>
      </c>
      <c r="C965" s="1" t="s">
        <v>2280</v>
      </c>
      <c r="D965" s="1" t="str">
        <f>"8145"</f>
        <v>8145</v>
      </c>
      <c r="E965" s="1" t="str">
        <f>"014654187"</f>
        <v>014654187</v>
      </c>
      <c r="F965" s="1" t="s">
        <v>423</v>
      </c>
      <c r="G965" s="1" t="s">
        <v>16</v>
      </c>
      <c r="H965" s="1" t="str">
        <f>"1"</f>
        <v>1</v>
      </c>
      <c r="I965" s="2">
        <v>17477.91</v>
      </c>
      <c r="J965" s="3">
        <v>46156</v>
      </c>
      <c r="K965" s="1" t="s">
        <v>2281</v>
      </c>
    </row>
    <row r="966" spans="1:11" x14ac:dyDescent="0.35">
      <c r="A966" s="1" t="s">
        <v>2208</v>
      </c>
      <c r="B966" s="1" t="s">
        <v>2257</v>
      </c>
      <c r="C966" s="1" t="s">
        <v>2282</v>
      </c>
      <c r="D966" s="1" t="str">
        <f>"8145"</f>
        <v>8145</v>
      </c>
      <c r="E966" s="1" t="str">
        <f>"014654187"</f>
        <v>014654187</v>
      </c>
      <c r="F966" s="1" t="s">
        <v>423</v>
      </c>
      <c r="G966" s="1" t="s">
        <v>16</v>
      </c>
      <c r="H966" s="1" t="str">
        <f>"1"</f>
        <v>1</v>
      </c>
      <c r="I966" s="2">
        <v>17477.91</v>
      </c>
      <c r="J966" s="3">
        <v>46156</v>
      </c>
      <c r="K966" s="1" t="s">
        <v>2281</v>
      </c>
    </row>
    <row r="967" spans="1:11" x14ac:dyDescent="0.35">
      <c r="A967" s="1" t="s">
        <v>2208</v>
      </c>
      <c r="B967" s="1" t="s">
        <v>2214</v>
      </c>
      <c r="C967" s="1" t="s">
        <v>2232</v>
      </c>
      <c r="D967" s="1" t="str">
        <f>"8145"</f>
        <v>8145</v>
      </c>
      <c r="E967" s="1" t="s">
        <v>408</v>
      </c>
      <c r="F967" s="1" t="s">
        <v>409</v>
      </c>
      <c r="G967" s="1" t="s">
        <v>16</v>
      </c>
      <c r="H967" s="1" t="str">
        <f>"2"</f>
        <v>2</v>
      </c>
      <c r="I967" s="2">
        <v>1177.6099999999999</v>
      </c>
      <c r="J967" s="3">
        <v>46162</v>
      </c>
      <c r="K967" s="1" t="s">
        <v>2233</v>
      </c>
    </row>
    <row r="968" spans="1:11" x14ac:dyDescent="0.35">
      <c r="A968" s="1" t="s">
        <v>2208</v>
      </c>
      <c r="B968" s="1" t="s">
        <v>2286</v>
      </c>
      <c r="C968" s="1" t="s">
        <v>2300</v>
      </c>
      <c r="D968" s="1" t="str">
        <f>"2320"</f>
        <v>2320</v>
      </c>
      <c r="E968" s="1" t="str">
        <f>"010907880"</f>
        <v>010907880</v>
      </c>
      <c r="F968" s="1" t="s">
        <v>271</v>
      </c>
      <c r="G968" s="1" t="s">
        <v>16</v>
      </c>
      <c r="H968" s="1" t="str">
        <f>"1"</f>
        <v>1</v>
      </c>
      <c r="I968" s="2" t="str">
        <f>"11198"</f>
        <v>11198</v>
      </c>
      <c r="J968" s="3">
        <v>46162</v>
      </c>
      <c r="K968" s="1" t="s">
        <v>2301</v>
      </c>
    </row>
    <row r="969" spans="1:11" x14ac:dyDescent="0.35">
      <c r="A969" s="1" t="s">
        <v>2208</v>
      </c>
      <c r="B969" s="1" t="s">
        <v>2286</v>
      </c>
      <c r="C969" s="1" t="s">
        <v>2323</v>
      </c>
      <c r="D969" s="1" t="str">
        <f>"2540"</f>
        <v>2540</v>
      </c>
      <c r="E969" s="1" t="str">
        <f>"014797911"</f>
        <v>014797911</v>
      </c>
      <c r="F969" s="1" t="s">
        <v>2324</v>
      </c>
      <c r="G969" s="1" t="s">
        <v>16</v>
      </c>
      <c r="H969" s="1" t="str">
        <f>"4"</f>
        <v>4</v>
      </c>
      <c r="I969" s="2">
        <v>1250.55</v>
      </c>
      <c r="J969" s="3">
        <v>46162</v>
      </c>
      <c r="K969" s="1" t="s">
        <v>2325</v>
      </c>
    </row>
    <row r="970" spans="1:11" x14ac:dyDescent="0.35">
      <c r="A970" s="1" t="s">
        <v>2208</v>
      </c>
      <c r="B970" s="1" t="s">
        <v>2286</v>
      </c>
      <c r="C970" s="1" t="s">
        <v>2331</v>
      </c>
      <c r="D970" s="1" t="str">
        <f>"5180"</f>
        <v>5180</v>
      </c>
      <c r="E970" s="1" t="str">
        <f>"005961474"</f>
        <v>005961474</v>
      </c>
      <c r="F970" s="1" t="s">
        <v>1174</v>
      </c>
      <c r="G970" s="1" t="s">
        <v>215</v>
      </c>
      <c r="H970" s="1" t="str">
        <f>"1"</f>
        <v>1</v>
      </c>
      <c r="I970" s="2" t="str">
        <f>"5688"</f>
        <v>5688</v>
      </c>
      <c r="J970" s="3">
        <v>46162</v>
      </c>
      <c r="K970" s="1" t="s">
        <v>2332</v>
      </c>
    </row>
    <row r="971" spans="1:11" x14ac:dyDescent="0.35">
      <c r="A971" s="1" t="s">
        <v>2208</v>
      </c>
      <c r="B971" s="1" t="s">
        <v>2286</v>
      </c>
      <c r="C971" s="1" t="s">
        <v>2287</v>
      </c>
      <c r="D971" s="1" t="str">
        <f>"2310"</f>
        <v>2310</v>
      </c>
      <c r="E971" s="1" t="str">
        <f>"013337416"</f>
        <v>013337416</v>
      </c>
      <c r="F971" s="1" t="s">
        <v>1566</v>
      </c>
      <c r="G971" s="1" t="s">
        <v>16</v>
      </c>
      <c r="H971" s="1" t="str">
        <f>"1"</f>
        <v>1</v>
      </c>
      <c r="I971" s="2" t="str">
        <f>"123197"</f>
        <v>123197</v>
      </c>
      <c r="J971" s="3">
        <v>46168</v>
      </c>
      <c r="K971" s="1" t="s">
        <v>2288</v>
      </c>
    </row>
    <row r="972" spans="1:11" x14ac:dyDescent="0.35">
      <c r="A972" s="1" t="s">
        <v>2208</v>
      </c>
      <c r="B972" s="1" t="s">
        <v>2214</v>
      </c>
      <c r="C972" s="1" t="s">
        <v>2234</v>
      </c>
      <c r="D972" s="1" t="str">
        <f>"8415"</f>
        <v>8415</v>
      </c>
      <c r="E972" s="1" t="str">
        <f>"015802497"</f>
        <v>015802497</v>
      </c>
      <c r="F972" s="1" t="s">
        <v>1988</v>
      </c>
      <c r="G972" s="1" t="s">
        <v>311</v>
      </c>
      <c r="H972" s="1" t="str">
        <f>"12"</f>
        <v>12</v>
      </c>
      <c r="I972" s="2">
        <v>120.1</v>
      </c>
      <c r="J972" s="3">
        <v>46169</v>
      </c>
      <c r="K972" s="1" t="s">
        <v>2235</v>
      </c>
    </row>
    <row r="973" spans="1:11" x14ac:dyDescent="0.35">
      <c r="A973" s="1" t="s">
        <v>2208</v>
      </c>
      <c r="B973" s="1" t="s">
        <v>2214</v>
      </c>
      <c r="C973" s="1" t="s">
        <v>2236</v>
      </c>
      <c r="D973" s="1" t="str">
        <f>"8415"</f>
        <v>8415</v>
      </c>
      <c r="E973" s="1" t="str">
        <f>"015802513"</f>
        <v>015802513</v>
      </c>
      <c r="F973" s="1" t="s">
        <v>1988</v>
      </c>
      <c r="G973" s="1" t="s">
        <v>311</v>
      </c>
      <c r="H973" s="1" t="str">
        <f>"12"</f>
        <v>12</v>
      </c>
      <c r="I973" s="2">
        <v>123.49</v>
      </c>
      <c r="J973" s="3">
        <v>46169</v>
      </c>
      <c r="K973" s="1" t="s">
        <v>2235</v>
      </c>
    </row>
    <row r="974" spans="1:11" x14ac:dyDescent="0.35">
      <c r="A974" s="1" t="s">
        <v>2208</v>
      </c>
      <c r="B974" s="1" t="s">
        <v>2214</v>
      </c>
      <c r="C974" s="1" t="s">
        <v>2237</v>
      </c>
      <c r="D974" s="1" t="str">
        <f>"8415"</f>
        <v>8415</v>
      </c>
      <c r="E974" s="1" t="str">
        <f>"015802854"</f>
        <v>015802854</v>
      </c>
      <c r="F974" s="1" t="s">
        <v>1892</v>
      </c>
      <c r="G974" s="1" t="s">
        <v>16</v>
      </c>
      <c r="H974" s="1" t="str">
        <f>"18"</f>
        <v>18</v>
      </c>
      <c r="I974" s="2">
        <v>146.83000000000001</v>
      </c>
      <c r="J974" s="3">
        <v>46169</v>
      </c>
      <c r="K974" s="1" t="s">
        <v>2235</v>
      </c>
    </row>
    <row r="975" spans="1:11" x14ac:dyDescent="0.35">
      <c r="A975" s="1" t="s">
        <v>2208</v>
      </c>
      <c r="B975" s="1" t="s">
        <v>2286</v>
      </c>
      <c r="C975" s="1" t="s">
        <v>2315</v>
      </c>
      <c r="D975" s="1" t="str">
        <f>"2340"</f>
        <v>2340</v>
      </c>
      <c r="E975" s="1" t="s">
        <v>1446</v>
      </c>
      <c r="F975" s="1" t="s">
        <v>1447</v>
      </c>
      <c r="G975" s="1" t="s">
        <v>16</v>
      </c>
      <c r="H975" s="1" t="str">
        <f>"2"</f>
        <v>2</v>
      </c>
      <c r="I975" s="2" t="str">
        <f>"1000"</f>
        <v>1000</v>
      </c>
      <c r="J975" s="3">
        <v>46169</v>
      </c>
      <c r="K975" s="1" t="s">
        <v>2316</v>
      </c>
    </row>
    <row r="976" spans="1:11" x14ac:dyDescent="0.35">
      <c r="A976" s="1" t="s">
        <v>2208</v>
      </c>
      <c r="B976" s="1" t="s">
        <v>2257</v>
      </c>
      <c r="C976" s="1" t="s">
        <v>2266</v>
      </c>
      <c r="D976" s="1" t="str">
        <f>"2320"</f>
        <v>2320</v>
      </c>
      <c r="E976" s="1" t="str">
        <f>"009651039"</f>
        <v>009651039</v>
      </c>
      <c r="F976" s="1" t="s">
        <v>271</v>
      </c>
      <c r="G976" s="1" t="s">
        <v>16</v>
      </c>
      <c r="H976" s="1" t="str">
        <f>"1"</f>
        <v>1</v>
      </c>
      <c r="I976" s="2" t="str">
        <f>"3123"</f>
        <v>3123</v>
      </c>
      <c r="J976" s="3">
        <v>46171</v>
      </c>
      <c r="K976" s="1" t="s">
        <v>2267</v>
      </c>
    </row>
    <row r="977" spans="1:11" x14ac:dyDescent="0.35">
      <c r="A977" s="1" t="s">
        <v>2208</v>
      </c>
      <c r="B977" s="1" t="s">
        <v>2339</v>
      </c>
      <c r="C977" s="1" t="s">
        <v>2342</v>
      </c>
      <c r="D977" s="1" t="str">
        <f>"5855"</f>
        <v>5855</v>
      </c>
      <c r="E977" s="1" t="str">
        <f>"015345931"</f>
        <v>015345931</v>
      </c>
      <c r="F977" s="1" t="s">
        <v>1379</v>
      </c>
      <c r="G977" s="1" t="s">
        <v>16</v>
      </c>
      <c r="H977" s="1" t="str">
        <f>"10"</f>
        <v>10</v>
      </c>
      <c r="I977" s="2" t="str">
        <f>"970"</f>
        <v>970</v>
      </c>
      <c r="J977" s="3">
        <v>46171</v>
      </c>
      <c r="K977" s="1" t="s">
        <v>2343</v>
      </c>
    </row>
    <row r="978" spans="1:11" x14ac:dyDescent="0.35">
      <c r="A978" s="1" t="s">
        <v>2208</v>
      </c>
      <c r="B978" s="1" t="s">
        <v>2286</v>
      </c>
      <c r="C978" s="1" t="s">
        <v>2289</v>
      </c>
      <c r="D978" s="1" t="str">
        <f>"2320"</f>
        <v>2320</v>
      </c>
      <c r="E978" s="1" t="s">
        <v>971</v>
      </c>
      <c r="F978" s="1" t="s">
        <v>972</v>
      </c>
      <c r="G978" s="1" t="s">
        <v>16</v>
      </c>
      <c r="H978" s="1" t="str">
        <f>"1"</f>
        <v>1</v>
      </c>
      <c r="I978" s="2" t="str">
        <f>"35000"</f>
        <v>35000</v>
      </c>
      <c r="J978" s="3">
        <v>46174</v>
      </c>
      <c r="K978" s="1" t="s">
        <v>2290</v>
      </c>
    </row>
    <row r="979" spans="1:11" x14ac:dyDescent="0.35">
      <c r="A979" s="1" t="s">
        <v>2208</v>
      </c>
      <c r="B979" s="1" t="s">
        <v>2286</v>
      </c>
      <c r="C979" s="1" t="s">
        <v>2299</v>
      </c>
      <c r="D979" s="1" t="str">
        <f>"2320"</f>
        <v>2320</v>
      </c>
      <c r="E979" s="1" t="s">
        <v>971</v>
      </c>
      <c r="F979" s="1" t="s">
        <v>972</v>
      </c>
      <c r="G979" s="1" t="s">
        <v>16</v>
      </c>
      <c r="H979" s="1" t="str">
        <f>"1"</f>
        <v>1</v>
      </c>
      <c r="I979" s="2" t="str">
        <f>"14000"</f>
        <v>14000</v>
      </c>
      <c r="J979" s="3">
        <v>46174</v>
      </c>
      <c r="K979" s="1" t="s">
        <v>2290</v>
      </c>
    </row>
    <row r="980" spans="1:11" x14ac:dyDescent="0.35">
      <c r="A980" s="1" t="s">
        <v>2208</v>
      </c>
      <c r="B980" s="1" t="s">
        <v>2286</v>
      </c>
      <c r="C980" s="1" t="s">
        <v>2320</v>
      </c>
      <c r="D980" s="1" t="str">
        <f>"2420"</f>
        <v>2420</v>
      </c>
      <c r="E980" s="1" t="str">
        <f>"015354061"</f>
        <v>015354061</v>
      </c>
      <c r="F980" s="1" t="s">
        <v>2321</v>
      </c>
      <c r="G980" s="1" t="s">
        <v>16</v>
      </c>
      <c r="H980" s="1" t="str">
        <f>"1"</f>
        <v>1</v>
      </c>
      <c r="I980" s="2" t="str">
        <f>"185000"</f>
        <v>185000</v>
      </c>
      <c r="J980" s="3">
        <v>46174</v>
      </c>
      <c r="K980" s="1" t="s">
        <v>2322</v>
      </c>
    </row>
    <row r="981" spans="1:11" x14ac:dyDescent="0.35">
      <c r="A981" s="1" t="s">
        <v>2208</v>
      </c>
      <c r="B981" s="1" t="s">
        <v>2286</v>
      </c>
      <c r="C981" s="1" t="s">
        <v>2291</v>
      </c>
      <c r="D981" s="1" t="str">
        <f>"2320"</f>
        <v>2320</v>
      </c>
      <c r="E981" s="1" t="str">
        <f>"015526889"</f>
        <v>015526889</v>
      </c>
      <c r="F981" s="1" t="s">
        <v>271</v>
      </c>
      <c r="G981" s="1" t="s">
        <v>16</v>
      </c>
      <c r="H981" s="1" t="str">
        <f>"1"</f>
        <v>1</v>
      </c>
      <c r="I981" s="2">
        <v>31019.46</v>
      </c>
      <c r="J981" s="3">
        <v>46175</v>
      </c>
      <c r="K981" s="1" t="s">
        <v>2292</v>
      </c>
    </row>
    <row r="982" spans="1:11" x14ac:dyDescent="0.35">
      <c r="A982" s="1" t="s">
        <v>2208</v>
      </c>
      <c r="B982" s="1" t="s">
        <v>2286</v>
      </c>
      <c r="C982" s="1" t="s">
        <v>2329</v>
      </c>
      <c r="D982" s="1" t="str">
        <f>"3805"</f>
        <v>3805</v>
      </c>
      <c r="E982" s="1" t="str">
        <f>"012575636"</f>
        <v>012575636</v>
      </c>
      <c r="F982" s="1" t="s">
        <v>132</v>
      </c>
      <c r="G982" s="1" t="s">
        <v>16</v>
      </c>
      <c r="H982" s="1" t="str">
        <f>"1"</f>
        <v>1</v>
      </c>
      <c r="I982" s="2" t="str">
        <f>"37532"</f>
        <v>37532</v>
      </c>
      <c r="J982" s="3">
        <v>46175</v>
      </c>
      <c r="K982" s="1" t="s">
        <v>2330</v>
      </c>
    </row>
    <row r="983" spans="1:11" x14ac:dyDescent="0.35">
      <c r="A983" s="1" t="s">
        <v>2208</v>
      </c>
      <c r="B983" s="1" t="s">
        <v>2286</v>
      </c>
      <c r="C983" s="1" t="s">
        <v>2333</v>
      </c>
      <c r="D983" s="1" t="str">
        <f>"8470"</f>
        <v>8470</v>
      </c>
      <c r="E983" s="1" t="str">
        <f>"013862970"</f>
        <v>013862970</v>
      </c>
      <c r="F983" s="1" t="s">
        <v>2334</v>
      </c>
      <c r="G983" s="1" t="s">
        <v>16</v>
      </c>
      <c r="H983" s="1" t="str">
        <f>"11"</f>
        <v>11</v>
      </c>
      <c r="I983" s="2">
        <v>1116.5899999999999</v>
      </c>
      <c r="J983" s="3">
        <v>46175</v>
      </c>
      <c r="K983" s="1" t="s">
        <v>2335</v>
      </c>
    </row>
    <row r="984" spans="1:11" x14ac:dyDescent="0.35">
      <c r="A984" s="1" t="s">
        <v>2208</v>
      </c>
      <c r="B984" s="1" t="s">
        <v>2214</v>
      </c>
      <c r="C984" s="1" t="s">
        <v>2238</v>
      </c>
      <c r="D984" s="1" t="str">
        <f>"8465"</f>
        <v>8465</v>
      </c>
      <c r="E984" s="1" t="s">
        <v>1758</v>
      </c>
      <c r="F984" s="1" t="s">
        <v>1759</v>
      </c>
      <c r="G984" s="1" t="s">
        <v>16</v>
      </c>
      <c r="H984" s="1" t="str">
        <f>"4"</f>
        <v>4</v>
      </c>
      <c r="I984" s="2">
        <v>95.99</v>
      </c>
      <c r="J984" s="3">
        <v>46177</v>
      </c>
      <c r="K984" s="1" t="s">
        <v>2239</v>
      </c>
    </row>
    <row r="985" spans="1:11" x14ac:dyDescent="0.35">
      <c r="A985" s="1" t="s">
        <v>2208</v>
      </c>
      <c r="B985" s="1" t="s">
        <v>2286</v>
      </c>
      <c r="C985" s="1" t="s">
        <v>2293</v>
      </c>
      <c r="D985" s="1" t="str">
        <f>"2320"</f>
        <v>2320</v>
      </c>
      <c r="E985" s="1" t="str">
        <f>"013701438"</f>
        <v>013701438</v>
      </c>
      <c r="F985" s="1" t="s">
        <v>2294</v>
      </c>
      <c r="G985" s="1" t="s">
        <v>16</v>
      </c>
      <c r="H985" s="1" t="str">
        <f>"1"</f>
        <v>1</v>
      </c>
      <c r="I985" s="2" t="str">
        <f>"36382"</f>
        <v>36382</v>
      </c>
      <c r="J985" s="3">
        <v>46177</v>
      </c>
      <c r="K985" s="1" t="s">
        <v>2295</v>
      </c>
    </row>
    <row r="986" spans="1:11" x14ac:dyDescent="0.35">
      <c r="A986" s="1" t="s">
        <v>2208</v>
      </c>
      <c r="B986" s="1" t="s">
        <v>2339</v>
      </c>
      <c r="C986" s="1" t="s">
        <v>2340</v>
      </c>
      <c r="D986" s="1" t="str">
        <f>"1385"</f>
        <v>1385</v>
      </c>
      <c r="E986" s="1" t="str">
        <f>"015936219"</f>
        <v>015936219</v>
      </c>
      <c r="F986" s="1" t="s">
        <v>1580</v>
      </c>
      <c r="G986" s="1" t="s">
        <v>16</v>
      </c>
      <c r="H986" s="1" t="str">
        <f>"1"</f>
        <v>1</v>
      </c>
      <c r="I986" s="2" t="str">
        <f>"77000"</f>
        <v>77000</v>
      </c>
      <c r="J986" s="3">
        <v>46177</v>
      </c>
      <c r="K986" s="1" t="s">
        <v>2341</v>
      </c>
    </row>
    <row r="987" spans="1:11" x14ac:dyDescent="0.35">
      <c r="A987" s="1" t="s">
        <v>2208</v>
      </c>
      <c r="B987" s="1" t="s">
        <v>2214</v>
      </c>
      <c r="C987" s="1" t="s">
        <v>2224</v>
      </c>
      <c r="D987" s="1" t="str">
        <f>"4210"</f>
        <v>4210</v>
      </c>
      <c r="E987" s="1" t="str">
        <f>"010262567"</f>
        <v>010262567</v>
      </c>
      <c r="F987" s="1" t="s">
        <v>2225</v>
      </c>
      <c r="G987" s="1" t="s">
        <v>16</v>
      </c>
      <c r="H987" s="1" t="str">
        <f>"1"</f>
        <v>1</v>
      </c>
      <c r="I987" s="2" t="str">
        <f>"39222"</f>
        <v>39222</v>
      </c>
      <c r="J987" s="3">
        <v>46182</v>
      </c>
      <c r="K987" s="1" t="s">
        <v>2226</v>
      </c>
    </row>
    <row r="988" spans="1:11" x14ac:dyDescent="0.35">
      <c r="A988" s="1" t="s">
        <v>2208</v>
      </c>
      <c r="B988" s="1" t="s">
        <v>2286</v>
      </c>
      <c r="C988" s="1" t="s">
        <v>2313</v>
      </c>
      <c r="D988" s="1" t="str">
        <f>"2330"</f>
        <v>2330</v>
      </c>
      <c r="E988" s="1" t="s">
        <v>70</v>
      </c>
      <c r="F988" s="1" t="s">
        <v>71</v>
      </c>
      <c r="G988" s="1" t="s">
        <v>16</v>
      </c>
      <c r="H988" s="1" t="str">
        <f>"1"</f>
        <v>1</v>
      </c>
      <c r="I988" s="2" t="str">
        <f>"1000"</f>
        <v>1000</v>
      </c>
      <c r="J988" s="3">
        <v>46182</v>
      </c>
      <c r="K988" s="1" t="s">
        <v>2314</v>
      </c>
    </row>
    <row r="989" spans="1:11" x14ac:dyDescent="0.35">
      <c r="A989" s="1" t="s">
        <v>2208</v>
      </c>
      <c r="B989" s="1" t="s">
        <v>2257</v>
      </c>
      <c r="C989" s="1" t="s">
        <v>2260</v>
      </c>
      <c r="D989" s="1" t="str">
        <f>"2320"</f>
        <v>2320</v>
      </c>
      <c r="E989" s="1" t="s">
        <v>975</v>
      </c>
      <c r="F989" s="1" t="s">
        <v>976</v>
      </c>
      <c r="G989" s="1" t="s">
        <v>16</v>
      </c>
      <c r="H989" s="1" t="str">
        <f>"1"</f>
        <v>1</v>
      </c>
      <c r="I989" s="2" t="str">
        <f>"54476"</f>
        <v>54476</v>
      </c>
      <c r="J989" s="3">
        <v>46184</v>
      </c>
      <c r="K989" s="1" t="s">
        <v>2261</v>
      </c>
    </row>
    <row r="990" spans="1:11" x14ac:dyDescent="0.35">
      <c r="A990" s="1" t="s">
        <v>2208</v>
      </c>
      <c r="B990" s="1" t="s">
        <v>2336</v>
      </c>
      <c r="C990" s="1" t="s">
        <v>2337</v>
      </c>
      <c r="D990" s="1" t="str">
        <f>"1095"</f>
        <v>1095</v>
      </c>
      <c r="E990" s="1" t="str">
        <f>"016030154"</f>
        <v>016030154</v>
      </c>
      <c r="F990" s="1" t="s">
        <v>2010</v>
      </c>
      <c r="G990" s="1" t="s">
        <v>16</v>
      </c>
      <c r="H990" s="1" t="str">
        <f>"2"</f>
        <v>2</v>
      </c>
      <c r="I990" s="2">
        <v>694.29</v>
      </c>
      <c r="J990" s="3">
        <v>46184</v>
      </c>
      <c r="K990" s="1" t="s">
        <v>2338</v>
      </c>
    </row>
    <row r="991" spans="1:11" x14ac:dyDescent="0.35">
      <c r="A991" s="1" t="s">
        <v>2208</v>
      </c>
      <c r="B991" s="1" t="s">
        <v>2209</v>
      </c>
      <c r="C991" s="1" t="s">
        <v>2212</v>
      </c>
      <c r="D991" s="1" t="str">
        <f>"5855"</f>
        <v>5855</v>
      </c>
      <c r="E991" s="1" t="str">
        <f>"015697816"</f>
        <v>015697816</v>
      </c>
      <c r="F991" s="1" t="s">
        <v>2121</v>
      </c>
      <c r="G991" s="1" t="s">
        <v>16</v>
      </c>
      <c r="H991" s="1" t="str">
        <f>"40"</f>
        <v>40</v>
      </c>
      <c r="I991" s="2">
        <v>751.58</v>
      </c>
      <c r="J991" s="3">
        <v>46188</v>
      </c>
      <c r="K991" s="1" t="s">
        <v>2213</v>
      </c>
    </row>
    <row r="992" spans="1:11" x14ac:dyDescent="0.35">
      <c r="A992" s="1" t="s">
        <v>2208</v>
      </c>
      <c r="B992" s="1" t="s">
        <v>2286</v>
      </c>
      <c r="C992" s="1" t="s">
        <v>2311</v>
      </c>
      <c r="D992" s="1" t="str">
        <f>"2330"</f>
        <v>2330</v>
      </c>
      <c r="E992" s="1" t="str">
        <f>"008925389"</f>
        <v>008925389</v>
      </c>
      <c r="F992" s="1" t="s">
        <v>122</v>
      </c>
      <c r="G992" s="1" t="s">
        <v>16</v>
      </c>
      <c r="H992" s="1" t="str">
        <f>"1"</f>
        <v>1</v>
      </c>
      <c r="I992" s="2" t="str">
        <f>"3295"</f>
        <v>3295</v>
      </c>
      <c r="J992" s="3">
        <v>46190</v>
      </c>
      <c r="K992" s="1" t="s">
        <v>2312</v>
      </c>
    </row>
    <row r="993" spans="1:11" x14ac:dyDescent="0.35">
      <c r="A993" s="1" t="s">
        <v>2208</v>
      </c>
      <c r="B993" s="1" t="s">
        <v>2245</v>
      </c>
      <c r="C993" s="1" t="s">
        <v>2246</v>
      </c>
      <c r="D993" s="1" t="str">
        <f>"1240"</f>
        <v>1240</v>
      </c>
      <c r="E993" s="1" t="str">
        <f>"014111265"</f>
        <v>014111265</v>
      </c>
      <c r="F993" s="1" t="s">
        <v>1103</v>
      </c>
      <c r="G993" s="1" t="s">
        <v>16</v>
      </c>
      <c r="H993" s="1" t="str">
        <f>"16"</f>
        <v>16</v>
      </c>
      <c r="I993" s="2" t="str">
        <f>"339"</f>
        <v>339</v>
      </c>
      <c r="J993" s="3">
        <v>46191</v>
      </c>
      <c r="K993" s="1" t="s">
        <v>2247</v>
      </c>
    </row>
    <row r="994" spans="1:11" x14ac:dyDescent="0.35">
      <c r="A994" s="1" t="s">
        <v>2208</v>
      </c>
      <c r="B994" s="1" t="s">
        <v>2286</v>
      </c>
      <c r="C994" s="1" t="s">
        <v>2326</v>
      </c>
      <c r="D994" s="1" t="str">
        <f>"3805"</f>
        <v>3805</v>
      </c>
      <c r="E994" s="1" t="str">
        <f>"014630997"</f>
        <v>014630997</v>
      </c>
      <c r="F994" s="1" t="s">
        <v>2327</v>
      </c>
      <c r="G994" s="1" t="s">
        <v>16</v>
      </c>
      <c r="H994" s="1" t="str">
        <f>"1"</f>
        <v>1</v>
      </c>
      <c r="I994" s="2" t="str">
        <f>"273001"</f>
        <v>273001</v>
      </c>
      <c r="J994" s="3">
        <v>46195</v>
      </c>
      <c r="K994" s="1" t="s">
        <v>2328</v>
      </c>
    </row>
    <row r="995" spans="1:11" x14ac:dyDescent="0.35">
      <c r="A995" s="1" t="s">
        <v>2208</v>
      </c>
      <c r="B995" s="1" t="s">
        <v>2248</v>
      </c>
      <c r="C995" s="1" t="s">
        <v>2249</v>
      </c>
      <c r="D995" s="1" t="str">
        <f>"6720"</f>
        <v>6720</v>
      </c>
      <c r="E995" s="1" t="s">
        <v>2250</v>
      </c>
      <c r="F995" s="1" t="s">
        <v>2251</v>
      </c>
      <c r="G995" s="1" t="s">
        <v>16</v>
      </c>
      <c r="H995" s="1" t="str">
        <f>"3"</f>
        <v>3</v>
      </c>
      <c r="I995" s="2">
        <v>849.99</v>
      </c>
      <c r="J995" s="3">
        <v>46197</v>
      </c>
      <c r="K995" s="1" t="s">
        <v>2252</v>
      </c>
    </row>
    <row r="996" spans="1:11" x14ac:dyDescent="0.35">
      <c r="A996" s="1" t="s">
        <v>2208</v>
      </c>
      <c r="B996" s="1" t="s">
        <v>2248</v>
      </c>
      <c r="C996" s="1" t="s">
        <v>2253</v>
      </c>
      <c r="D996" s="1" t="str">
        <f>"6720"</f>
        <v>6720</v>
      </c>
      <c r="E996" s="1" t="s">
        <v>2250</v>
      </c>
      <c r="F996" s="1" t="s">
        <v>2251</v>
      </c>
      <c r="G996" s="1" t="s">
        <v>16</v>
      </c>
      <c r="H996" s="1" t="str">
        <f>"2"</f>
        <v>2</v>
      </c>
      <c r="I996" s="2" t="str">
        <f>"1499"</f>
        <v>1499</v>
      </c>
      <c r="J996" s="3">
        <v>46197</v>
      </c>
      <c r="K996" s="1" t="s">
        <v>2252</v>
      </c>
    </row>
    <row r="997" spans="1:11" x14ac:dyDescent="0.35">
      <c r="A997" s="1" t="s">
        <v>2208</v>
      </c>
      <c r="B997" s="1" t="s">
        <v>2248</v>
      </c>
      <c r="C997" s="1" t="s">
        <v>2254</v>
      </c>
      <c r="D997" s="1" t="str">
        <f>"7360"</f>
        <v>7360</v>
      </c>
      <c r="E997" s="1" t="str">
        <f>"014817512"</f>
        <v>014817512</v>
      </c>
      <c r="F997" s="1" t="s">
        <v>2255</v>
      </c>
      <c r="G997" s="1" t="s">
        <v>16</v>
      </c>
      <c r="H997" s="1" t="str">
        <f>"12"</f>
        <v>12</v>
      </c>
      <c r="I997" s="2">
        <v>910.03</v>
      </c>
      <c r="J997" s="3">
        <v>46197</v>
      </c>
      <c r="K997" s="1" t="s">
        <v>2256</v>
      </c>
    </row>
    <row r="998" spans="1:11" x14ac:dyDescent="0.35">
      <c r="A998" s="1" t="s">
        <v>2208</v>
      </c>
      <c r="B998" s="1" t="s">
        <v>2286</v>
      </c>
      <c r="C998" s="1" t="s">
        <v>2305</v>
      </c>
      <c r="D998" s="1" t="str">
        <f>"2330"</f>
        <v>2330</v>
      </c>
      <c r="E998" s="1" t="s">
        <v>70</v>
      </c>
      <c r="F998" s="1" t="s">
        <v>71</v>
      </c>
      <c r="G998" s="1" t="s">
        <v>16</v>
      </c>
      <c r="H998" s="1" t="str">
        <f>"1"</f>
        <v>1</v>
      </c>
      <c r="I998" s="2" t="str">
        <f>"79455"</f>
        <v>79455</v>
      </c>
      <c r="J998" s="3">
        <v>46202</v>
      </c>
      <c r="K998" s="1" t="s">
        <v>2306</v>
      </c>
    </row>
    <row r="999" spans="1:11" x14ac:dyDescent="0.35">
      <c r="A999" s="1" t="s">
        <v>2208</v>
      </c>
      <c r="B999" s="1" t="s">
        <v>2286</v>
      </c>
      <c r="C999" s="1" t="s">
        <v>2307</v>
      </c>
      <c r="D999" s="1" t="str">
        <f>"2330"</f>
        <v>2330</v>
      </c>
      <c r="E999" s="1" t="s">
        <v>70</v>
      </c>
      <c r="F999" s="1" t="s">
        <v>71</v>
      </c>
      <c r="G999" s="1" t="s">
        <v>16</v>
      </c>
      <c r="H999" s="1" t="str">
        <f>"1"</f>
        <v>1</v>
      </c>
      <c r="I999" s="2" t="str">
        <f>"79455"</f>
        <v>79455</v>
      </c>
      <c r="J999" s="3">
        <v>46202</v>
      </c>
      <c r="K999" s="1" t="s">
        <v>2306</v>
      </c>
    </row>
    <row r="1000" spans="1:11" x14ac:dyDescent="0.35">
      <c r="A1000" s="1" t="s">
        <v>2208</v>
      </c>
      <c r="B1000" s="1" t="s">
        <v>2286</v>
      </c>
      <c r="C1000" s="1" t="s">
        <v>2308</v>
      </c>
      <c r="D1000" s="1" t="str">
        <f>"2330"</f>
        <v>2330</v>
      </c>
      <c r="E1000" s="1" t="s">
        <v>70</v>
      </c>
      <c r="F1000" s="1" t="s">
        <v>71</v>
      </c>
      <c r="G1000" s="1" t="s">
        <v>16</v>
      </c>
      <c r="H1000" s="1" t="str">
        <f>"1"</f>
        <v>1</v>
      </c>
      <c r="I1000" s="2" t="str">
        <f>"79455"</f>
        <v>79455</v>
      </c>
      <c r="J1000" s="3">
        <v>46202</v>
      </c>
      <c r="K1000" s="1" t="s">
        <v>2306</v>
      </c>
    </row>
    <row r="1001" spans="1:11" x14ac:dyDescent="0.35">
      <c r="A1001" s="1" t="s">
        <v>2208</v>
      </c>
      <c r="B1001" s="1" t="s">
        <v>2286</v>
      </c>
      <c r="C1001" s="1" t="s">
        <v>2309</v>
      </c>
      <c r="D1001" s="1" t="str">
        <f>"2330"</f>
        <v>2330</v>
      </c>
      <c r="E1001" s="1" t="s">
        <v>70</v>
      </c>
      <c r="F1001" s="1" t="s">
        <v>71</v>
      </c>
      <c r="G1001" s="1" t="s">
        <v>16</v>
      </c>
      <c r="H1001" s="1" t="str">
        <f>"1"</f>
        <v>1</v>
      </c>
      <c r="I1001" s="2" t="str">
        <f>"79455"</f>
        <v>79455</v>
      </c>
      <c r="J1001" s="3">
        <v>46202</v>
      </c>
      <c r="K1001" s="1" t="s">
        <v>2306</v>
      </c>
    </row>
    <row r="1002" spans="1:11" x14ac:dyDescent="0.35">
      <c r="A1002" s="1" t="s">
        <v>2208</v>
      </c>
      <c r="B1002" s="1" t="s">
        <v>2286</v>
      </c>
      <c r="C1002" s="1" t="s">
        <v>2310</v>
      </c>
      <c r="D1002" s="1" t="str">
        <f>"2330"</f>
        <v>2330</v>
      </c>
      <c r="E1002" s="1" t="s">
        <v>70</v>
      </c>
      <c r="F1002" s="1" t="s">
        <v>71</v>
      </c>
      <c r="G1002" s="1" t="s">
        <v>16</v>
      </c>
      <c r="H1002" s="1" t="str">
        <f>"1"</f>
        <v>1</v>
      </c>
      <c r="I1002" s="2" t="str">
        <f>"79455"</f>
        <v>79455</v>
      </c>
      <c r="J1002" s="3">
        <v>46202</v>
      </c>
      <c r="K1002" s="1" t="s">
        <v>2306</v>
      </c>
    </row>
    <row r="1003" spans="1:11" x14ac:dyDescent="0.35">
      <c r="A1003" s="1" t="s">
        <v>2344</v>
      </c>
      <c r="B1003" s="1" t="s">
        <v>2345</v>
      </c>
      <c r="C1003" s="1" t="s">
        <v>2346</v>
      </c>
      <c r="D1003" s="1" t="str">
        <f>"1385"</f>
        <v>1385</v>
      </c>
      <c r="E1003" s="1" t="str">
        <f>"015736046"</f>
        <v>015736046</v>
      </c>
      <c r="F1003" s="1" t="s">
        <v>540</v>
      </c>
      <c r="G1003" s="1" t="s">
        <v>16</v>
      </c>
      <c r="H1003" s="1" t="str">
        <f>"1"</f>
        <v>1</v>
      </c>
      <c r="I1003" s="2">
        <v>284528.08</v>
      </c>
      <c r="J1003" s="3">
        <v>46176</v>
      </c>
      <c r="K1003" s="1" t="s">
        <v>2347</v>
      </c>
    </row>
    <row r="1004" spans="1:11" x14ac:dyDescent="0.35">
      <c r="A1004" s="1" t="s">
        <v>2350</v>
      </c>
      <c r="B1004" s="1" t="s">
        <v>2439</v>
      </c>
      <c r="C1004" s="1" t="s">
        <v>2440</v>
      </c>
      <c r="D1004" s="1" t="str">
        <f>"6545"</f>
        <v>6545</v>
      </c>
      <c r="E1004" s="1" t="str">
        <f>"015841582"</f>
        <v>015841582</v>
      </c>
      <c r="F1004" s="1" t="s">
        <v>305</v>
      </c>
      <c r="G1004" s="1" t="s">
        <v>215</v>
      </c>
      <c r="H1004" s="1" t="str">
        <f>"10"</f>
        <v>10</v>
      </c>
      <c r="I1004" s="2">
        <v>103.24</v>
      </c>
      <c r="J1004" s="3">
        <v>46113</v>
      </c>
      <c r="K1004" s="1" t="s">
        <v>2441</v>
      </c>
    </row>
    <row r="1005" spans="1:11" x14ac:dyDescent="0.35">
      <c r="A1005" s="1" t="s">
        <v>2350</v>
      </c>
      <c r="B1005" s="1" t="s">
        <v>2419</v>
      </c>
      <c r="C1005" s="1" t="s">
        <v>2420</v>
      </c>
      <c r="D1005" s="1" t="str">
        <f>"2320"</f>
        <v>2320</v>
      </c>
      <c r="E1005" s="1" t="str">
        <f>"015187332"</f>
        <v>015187332</v>
      </c>
      <c r="F1005" s="1" t="s">
        <v>414</v>
      </c>
      <c r="G1005" s="1" t="s">
        <v>16</v>
      </c>
      <c r="H1005" s="1" t="str">
        <f>"1"</f>
        <v>1</v>
      </c>
      <c r="I1005" s="2" t="str">
        <f>"143579"</f>
        <v>143579</v>
      </c>
      <c r="J1005" s="3">
        <v>46114</v>
      </c>
      <c r="K1005" s="1" t="s">
        <v>2421</v>
      </c>
    </row>
    <row r="1006" spans="1:11" x14ac:dyDescent="0.35">
      <c r="A1006" s="1" t="s">
        <v>2350</v>
      </c>
      <c r="B1006" s="1" t="s">
        <v>2419</v>
      </c>
      <c r="C1006" s="1" t="s">
        <v>2422</v>
      </c>
      <c r="D1006" s="1" t="str">
        <f>"2320"</f>
        <v>2320</v>
      </c>
      <c r="E1006" s="1" t="str">
        <f>"015187332"</f>
        <v>015187332</v>
      </c>
      <c r="F1006" s="1" t="s">
        <v>414</v>
      </c>
      <c r="G1006" s="1" t="s">
        <v>16</v>
      </c>
      <c r="H1006" s="1" t="str">
        <f>"1"</f>
        <v>1</v>
      </c>
      <c r="I1006" s="2" t="str">
        <f>"143579"</f>
        <v>143579</v>
      </c>
      <c r="J1006" s="3">
        <v>46114</v>
      </c>
      <c r="K1006" s="1" t="s">
        <v>2423</v>
      </c>
    </row>
    <row r="1007" spans="1:11" x14ac:dyDescent="0.35">
      <c r="A1007" s="1" t="s">
        <v>2350</v>
      </c>
      <c r="B1007" s="1" t="s">
        <v>2646</v>
      </c>
      <c r="C1007" s="1" t="s">
        <v>2652</v>
      </c>
      <c r="D1007" s="1" t="str">
        <f>"6910"</f>
        <v>6910</v>
      </c>
      <c r="E1007" s="1" t="str">
        <f>"014178008"</f>
        <v>014178008</v>
      </c>
      <c r="F1007" s="1" t="s">
        <v>2653</v>
      </c>
      <c r="G1007" s="1" t="s">
        <v>16</v>
      </c>
      <c r="H1007" s="1" t="str">
        <f>"10"</f>
        <v>10</v>
      </c>
      <c r="I1007" s="2" t="str">
        <f>"5210"</f>
        <v>5210</v>
      </c>
      <c r="J1007" s="3">
        <v>46114</v>
      </c>
      <c r="K1007" s="1" t="s">
        <v>2654</v>
      </c>
    </row>
    <row r="1008" spans="1:11" x14ac:dyDescent="0.35">
      <c r="A1008" s="1" t="s">
        <v>2350</v>
      </c>
      <c r="B1008" s="1" t="s">
        <v>2646</v>
      </c>
      <c r="C1008" s="1" t="s">
        <v>2657</v>
      </c>
      <c r="D1008" s="1" t="str">
        <f>"8340"</f>
        <v>8340</v>
      </c>
      <c r="E1008" s="1" t="str">
        <f>"015455869"</f>
        <v>015455869</v>
      </c>
      <c r="F1008" s="1" t="s">
        <v>253</v>
      </c>
      <c r="G1008" s="1" t="s">
        <v>16</v>
      </c>
      <c r="H1008" s="1" t="str">
        <f>"1"</f>
        <v>1</v>
      </c>
      <c r="I1008" s="2">
        <v>19444.53</v>
      </c>
      <c r="J1008" s="3">
        <v>46114</v>
      </c>
      <c r="K1008" s="1" t="s">
        <v>2658</v>
      </c>
    </row>
    <row r="1009" spans="1:11" x14ac:dyDescent="0.35">
      <c r="A1009" s="1" t="s">
        <v>2350</v>
      </c>
      <c r="B1009" s="1" t="s">
        <v>2543</v>
      </c>
      <c r="C1009" s="1" t="s">
        <v>2551</v>
      </c>
      <c r="D1009" s="1" t="str">
        <f>"4310"</f>
        <v>4310</v>
      </c>
      <c r="E1009" s="1" t="s">
        <v>1941</v>
      </c>
      <c r="F1009" s="1" t="s">
        <v>1942</v>
      </c>
      <c r="G1009" s="1" t="s">
        <v>16</v>
      </c>
      <c r="H1009" s="1" t="str">
        <f>"1"</f>
        <v>1</v>
      </c>
      <c r="I1009" s="2" t="str">
        <f>"40245"</f>
        <v>40245</v>
      </c>
      <c r="J1009" s="3">
        <v>46118</v>
      </c>
      <c r="K1009" s="1" t="s">
        <v>2552</v>
      </c>
    </row>
    <row r="1010" spans="1:11" x14ac:dyDescent="0.35">
      <c r="A1010" s="1" t="s">
        <v>2350</v>
      </c>
      <c r="B1010" s="1" t="s">
        <v>2543</v>
      </c>
      <c r="C1010" s="1" t="s">
        <v>2553</v>
      </c>
      <c r="D1010" s="1" t="str">
        <f>"4310"</f>
        <v>4310</v>
      </c>
      <c r="E1010" s="1" t="s">
        <v>1941</v>
      </c>
      <c r="F1010" s="1" t="s">
        <v>1942</v>
      </c>
      <c r="G1010" s="1" t="s">
        <v>16</v>
      </c>
      <c r="H1010" s="1" t="str">
        <f>"1"</f>
        <v>1</v>
      </c>
      <c r="I1010" s="2" t="str">
        <f>"31200"</f>
        <v>31200</v>
      </c>
      <c r="J1010" s="3">
        <v>46118</v>
      </c>
      <c r="K1010" s="1" t="s">
        <v>2554</v>
      </c>
    </row>
    <row r="1011" spans="1:11" x14ac:dyDescent="0.35">
      <c r="A1011" s="1" t="s">
        <v>2350</v>
      </c>
      <c r="B1011" s="1" t="s">
        <v>2646</v>
      </c>
      <c r="C1011" s="1" t="s">
        <v>2649</v>
      </c>
      <c r="D1011" s="1" t="str">
        <f>"2340"</f>
        <v>2340</v>
      </c>
      <c r="E1011" s="1" t="s">
        <v>61</v>
      </c>
      <c r="F1011" s="1" t="s">
        <v>62</v>
      </c>
      <c r="G1011" s="1" t="s">
        <v>16</v>
      </c>
      <c r="H1011" s="1" t="str">
        <f>"1"</f>
        <v>1</v>
      </c>
      <c r="I1011" s="2" t="str">
        <f>"14251"</f>
        <v>14251</v>
      </c>
      <c r="J1011" s="3">
        <v>46120</v>
      </c>
      <c r="K1011" s="1" t="s">
        <v>2650</v>
      </c>
    </row>
    <row r="1012" spans="1:11" x14ac:dyDescent="0.35">
      <c r="A1012" s="1" t="s">
        <v>2350</v>
      </c>
      <c r="B1012" s="1" t="s">
        <v>2646</v>
      </c>
      <c r="C1012" s="1" t="s">
        <v>2651</v>
      </c>
      <c r="D1012" s="1" t="str">
        <f>"2340"</f>
        <v>2340</v>
      </c>
      <c r="E1012" s="1" t="s">
        <v>61</v>
      </c>
      <c r="F1012" s="1" t="s">
        <v>62</v>
      </c>
      <c r="G1012" s="1" t="s">
        <v>16</v>
      </c>
      <c r="H1012" s="1" t="str">
        <f>"1"</f>
        <v>1</v>
      </c>
      <c r="I1012" s="2" t="str">
        <f>"14251"</f>
        <v>14251</v>
      </c>
      <c r="J1012" s="3">
        <v>46120</v>
      </c>
      <c r="K1012" s="1" t="s">
        <v>2650</v>
      </c>
    </row>
    <row r="1013" spans="1:11" x14ac:dyDescent="0.35">
      <c r="A1013" s="1" t="s">
        <v>2350</v>
      </c>
      <c r="B1013" s="1" t="s">
        <v>2354</v>
      </c>
      <c r="C1013" s="1" t="s">
        <v>2355</v>
      </c>
      <c r="D1013" s="1" t="str">
        <f>"1240"</f>
        <v>1240</v>
      </c>
      <c r="E1013" s="1" t="str">
        <f>"016813209"</f>
        <v>016813209</v>
      </c>
      <c r="F1013" s="1" t="s">
        <v>2356</v>
      </c>
      <c r="G1013" s="1" t="s">
        <v>16</v>
      </c>
      <c r="H1013" s="1" t="str">
        <f>"9"</f>
        <v>9</v>
      </c>
      <c r="I1013" s="2" t="str">
        <f>"3269"</f>
        <v>3269</v>
      </c>
      <c r="J1013" s="3">
        <v>46121</v>
      </c>
      <c r="K1013" s="1" t="s">
        <v>2357</v>
      </c>
    </row>
    <row r="1014" spans="1:11" x14ac:dyDescent="0.35">
      <c r="A1014" s="1" t="s">
        <v>2350</v>
      </c>
      <c r="B1014" s="1" t="s">
        <v>2629</v>
      </c>
      <c r="C1014" s="1" t="s">
        <v>2636</v>
      </c>
      <c r="D1014" s="1" t="str">
        <f>"9905"</f>
        <v>9905</v>
      </c>
      <c r="E1014" s="1" t="str">
        <f>"005274997"</f>
        <v>005274997</v>
      </c>
      <c r="F1014" s="1" t="s">
        <v>2637</v>
      </c>
      <c r="G1014" s="1" t="s">
        <v>16</v>
      </c>
      <c r="H1014" s="1" t="str">
        <f>"35"</f>
        <v>35</v>
      </c>
      <c r="I1014" s="2">
        <v>23.58</v>
      </c>
      <c r="J1014" s="3">
        <v>46121</v>
      </c>
      <c r="K1014" s="1" t="s">
        <v>2638</v>
      </c>
    </row>
    <row r="1015" spans="1:11" x14ac:dyDescent="0.35">
      <c r="A1015" s="1" t="s">
        <v>2350</v>
      </c>
      <c r="B1015" s="1" t="s">
        <v>2419</v>
      </c>
      <c r="C1015" s="1" t="s">
        <v>2430</v>
      </c>
      <c r="D1015" s="1" t="str">
        <f>"6115"</f>
        <v>6115</v>
      </c>
      <c r="E1015" s="1" t="str">
        <f>"016122549"</f>
        <v>016122549</v>
      </c>
      <c r="F1015" s="1" t="s">
        <v>2431</v>
      </c>
      <c r="G1015" s="1" t="s">
        <v>16</v>
      </c>
      <c r="H1015" s="1" t="str">
        <f>"2"</f>
        <v>2</v>
      </c>
      <c r="I1015" s="2" t="str">
        <f>"7873"</f>
        <v>7873</v>
      </c>
      <c r="J1015" s="3">
        <v>46122</v>
      </c>
      <c r="K1015" s="1" t="s">
        <v>2432</v>
      </c>
    </row>
    <row r="1016" spans="1:11" x14ac:dyDescent="0.35">
      <c r="A1016" s="1" t="s">
        <v>2350</v>
      </c>
      <c r="B1016" s="1" t="s">
        <v>2629</v>
      </c>
      <c r="C1016" s="1" t="s">
        <v>2634</v>
      </c>
      <c r="D1016" s="1" t="str">
        <f>"8465"</f>
        <v>8465</v>
      </c>
      <c r="E1016" s="1" t="str">
        <f>"015726687"</f>
        <v>015726687</v>
      </c>
      <c r="F1016" s="1" t="s">
        <v>2241</v>
      </c>
      <c r="G1016" s="1" t="s">
        <v>16</v>
      </c>
      <c r="H1016" s="1" t="str">
        <f>"12"</f>
        <v>12</v>
      </c>
      <c r="I1016" s="2">
        <v>18.010000000000002</v>
      </c>
      <c r="J1016" s="3">
        <v>46122</v>
      </c>
      <c r="K1016" s="1" t="s">
        <v>2635</v>
      </c>
    </row>
    <row r="1017" spans="1:11" x14ac:dyDescent="0.35">
      <c r="A1017" s="1" t="s">
        <v>2350</v>
      </c>
      <c r="B1017" s="1" t="s">
        <v>2570</v>
      </c>
      <c r="C1017" s="1" t="s">
        <v>2582</v>
      </c>
      <c r="D1017" s="1" t="str">
        <f>"7010"</f>
        <v>7010</v>
      </c>
      <c r="E1017" s="1" t="str">
        <f>"016005812"</f>
        <v>016005812</v>
      </c>
      <c r="F1017" s="1" t="s">
        <v>2583</v>
      </c>
      <c r="G1017" s="1" t="s">
        <v>16</v>
      </c>
      <c r="H1017" s="1" t="str">
        <f>"20"</f>
        <v>20</v>
      </c>
      <c r="I1017" s="2" t="str">
        <f>"8790"</f>
        <v>8790</v>
      </c>
      <c r="J1017" s="3">
        <v>46125</v>
      </c>
      <c r="K1017" s="1" t="s">
        <v>2584</v>
      </c>
    </row>
    <row r="1018" spans="1:11" x14ac:dyDescent="0.35">
      <c r="A1018" s="1" t="s">
        <v>2350</v>
      </c>
      <c r="B1018" s="1" t="s">
        <v>2670</v>
      </c>
      <c r="C1018" s="1" t="s">
        <v>2675</v>
      </c>
      <c r="D1018" s="1" t="str">
        <f>"1240"</f>
        <v>1240</v>
      </c>
      <c r="E1018" s="1" t="str">
        <f>"014111265"</f>
        <v>014111265</v>
      </c>
      <c r="F1018" s="1" t="s">
        <v>1103</v>
      </c>
      <c r="G1018" s="1" t="s">
        <v>16</v>
      </c>
      <c r="H1018" s="1" t="str">
        <f>"1"</f>
        <v>1</v>
      </c>
      <c r="I1018" s="2" t="str">
        <f>"339"</f>
        <v>339</v>
      </c>
      <c r="J1018" s="3">
        <v>46125</v>
      </c>
      <c r="K1018" s="1" t="s">
        <v>2676</v>
      </c>
    </row>
    <row r="1019" spans="1:11" x14ac:dyDescent="0.35">
      <c r="A1019" s="1" t="s">
        <v>2350</v>
      </c>
      <c r="B1019" s="1" t="s">
        <v>2670</v>
      </c>
      <c r="C1019" s="1" t="s">
        <v>2684</v>
      </c>
      <c r="D1019" s="1" t="str">
        <f>"6230"</f>
        <v>6230</v>
      </c>
      <c r="E1019" s="1" t="str">
        <f>"015894822"</f>
        <v>015894822</v>
      </c>
      <c r="F1019" s="1" t="s">
        <v>2368</v>
      </c>
      <c r="G1019" s="1" t="s">
        <v>16</v>
      </c>
      <c r="H1019" s="1" t="str">
        <f>"33"</f>
        <v>33</v>
      </c>
      <c r="I1019" s="2">
        <v>647.44000000000005</v>
      </c>
      <c r="J1019" s="3">
        <v>46126</v>
      </c>
      <c r="K1019" s="1" t="s">
        <v>2685</v>
      </c>
    </row>
    <row r="1020" spans="1:11" x14ac:dyDescent="0.35">
      <c r="A1020" s="1" t="s">
        <v>2350</v>
      </c>
      <c r="B1020" s="1" t="s">
        <v>2589</v>
      </c>
      <c r="C1020" s="1" t="s">
        <v>2590</v>
      </c>
      <c r="D1020" s="1" t="str">
        <f>"2320"</f>
        <v>2320</v>
      </c>
      <c r="E1020" s="1" t="str">
        <f>"013469317"</f>
        <v>013469317</v>
      </c>
      <c r="F1020" s="1" t="s">
        <v>414</v>
      </c>
      <c r="G1020" s="1" t="s">
        <v>16</v>
      </c>
      <c r="H1020" s="1" t="str">
        <f>"1"</f>
        <v>1</v>
      </c>
      <c r="I1020" s="2" t="str">
        <f>"94171"</f>
        <v>94171</v>
      </c>
      <c r="J1020" s="3">
        <v>46127</v>
      </c>
      <c r="K1020" s="1" t="s">
        <v>2591</v>
      </c>
    </row>
    <row r="1021" spans="1:11" x14ac:dyDescent="0.35">
      <c r="A1021" s="1" t="s">
        <v>2350</v>
      </c>
      <c r="B1021" s="1" t="s">
        <v>2589</v>
      </c>
      <c r="C1021" s="1" t="s">
        <v>2592</v>
      </c>
      <c r="D1021" s="1" t="str">
        <f>"2320"</f>
        <v>2320</v>
      </c>
      <c r="E1021" s="1" t="str">
        <f>"013469317"</f>
        <v>013469317</v>
      </c>
      <c r="F1021" s="1" t="s">
        <v>414</v>
      </c>
      <c r="G1021" s="1" t="s">
        <v>16</v>
      </c>
      <c r="H1021" s="1" t="str">
        <f>"1"</f>
        <v>1</v>
      </c>
      <c r="I1021" s="2" t="str">
        <f>"94171"</f>
        <v>94171</v>
      </c>
      <c r="J1021" s="3">
        <v>46127</v>
      </c>
      <c r="K1021" s="1" t="s">
        <v>2591</v>
      </c>
    </row>
    <row r="1022" spans="1:11" x14ac:dyDescent="0.35">
      <c r="A1022" s="1" t="s">
        <v>2350</v>
      </c>
      <c r="B1022" s="1" t="s">
        <v>2589</v>
      </c>
      <c r="C1022" s="1" t="s">
        <v>2593</v>
      </c>
      <c r="D1022" s="1" t="str">
        <f>"2320"</f>
        <v>2320</v>
      </c>
      <c r="E1022" s="1" t="str">
        <f>"013469317"</f>
        <v>013469317</v>
      </c>
      <c r="F1022" s="1" t="s">
        <v>414</v>
      </c>
      <c r="G1022" s="1" t="s">
        <v>16</v>
      </c>
      <c r="H1022" s="1" t="str">
        <f>"1"</f>
        <v>1</v>
      </c>
      <c r="I1022" s="2" t="str">
        <f>"94171"</f>
        <v>94171</v>
      </c>
      <c r="J1022" s="3">
        <v>46127</v>
      </c>
      <c r="K1022" s="1" t="s">
        <v>2591</v>
      </c>
    </row>
    <row r="1023" spans="1:11" x14ac:dyDescent="0.35">
      <c r="A1023" s="1" t="s">
        <v>2350</v>
      </c>
      <c r="B1023" s="1" t="s">
        <v>2646</v>
      </c>
      <c r="C1023" s="1" t="s">
        <v>2655</v>
      </c>
      <c r="D1023" s="1" t="str">
        <f>"7025"</f>
        <v>7025</v>
      </c>
      <c r="E1023" s="1" t="s">
        <v>2495</v>
      </c>
      <c r="F1023" s="1" t="s">
        <v>2496</v>
      </c>
      <c r="G1023" s="1" t="s">
        <v>16</v>
      </c>
      <c r="H1023" s="1" t="str">
        <f>"1"</f>
        <v>1</v>
      </c>
      <c r="I1023" s="2" t="str">
        <f>"1200"</f>
        <v>1200</v>
      </c>
      <c r="J1023" s="3">
        <v>46127</v>
      </c>
      <c r="K1023" s="1" t="s">
        <v>2656</v>
      </c>
    </row>
    <row r="1024" spans="1:11" x14ac:dyDescent="0.35">
      <c r="A1024" s="1" t="s">
        <v>2350</v>
      </c>
      <c r="B1024" s="1" t="s">
        <v>2465</v>
      </c>
      <c r="C1024" s="1" t="s">
        <v>2466</v>
      </c>
      <c r="D1024" s="1" t="str">
        <f>"5855"</f>
        <v>5855</v>
      </c>
      <c r="E1024" s="1" t="str">
        <f>"016085809"</f>
        <v>016085809</v>
      </c>
      <c r="F1024" s="1" t="s">
        <v>2467</v>
      </c>
      <c r="G1024" s="1" t="s">
        <v>215</v>
      </c>
      <c r="H1024" s="1" t="str">
        <f>"2"</f>
        <v>2</v>
      </c>
      <c r="I1024" s="2" t="str">
        <f>"8979"</f>
        <v>8979</v>
      </c>
      <c r="J1024" s="3">
        <v>46128</v>
      </c>
      <c r="K1024" s="1" t="s">
        <v>2468</v>
      </c>
    </row>
    <row r="1025" spans="1:11" x14ac:dyDescent="0.35">
      <c r="A1025" s="1" t="s">
        <v>2350</v>
      </c>
      <c r="B1025" s="1" t="s">
        <v>2665</v>
      </c>
      <c r="C1025" s="1" t="s">
        <v>2666</v>
      </c>
      <c r="D1025" s="1" t="str">
        <f>"2320"</f>
        <v>2320</v>
      </c>
      <c r="E1025" s="1" t="str">
        <f>"013469317"</f>
        <v>013469317</v>
      </c>
      <c r="F1025" s="1" t="s">
        <v>414</v>
      </c>
      <c r="G1025" s="1" t="s">
        <v>16</v>
      </c>
      <c r="H1025" s="1" t="str">
        <f>"1"</f>
        <v>1</v>
      </c>
      <c r="I1025" s="2" t="str">
        <f>"94171"</f>
        <v>94171</v>
      </c>
      <c r="J1025" s="3">
        <v>46139</v>
      </c>
      <c r="K1025" s="1" t="s">
        <v>2667</v>
      </c>
    </row>
    <row r="1026" spans="1:11" x14ac:dyDescent="0.35">
      <c r="A1026" s="1" t="s">
        <v>2350</v>
      </c>
      <c r="B1026" s="1" t="s">
        <v>2665</v>
      </c>
      <c r="C1026" s="1" t="s">
        <v>2668</v>
      </c>
      <c r="D1026" s="1" t="str">
        <f>"2320"</f>
        <v>2320</v>
      </c>
      <c r="E1026" s="1" t="str">
        <f>"013469317"</f>
        <v>013469317</v>
      </c>
      <c r="F1026" s="1" t="s">
        <v>414</v>
      </c>
      <c r="G1026" s="1" t="s">
        <v>16</v>
      </c>
      <c r="H1026" s="1" t="str">
        <f>"1"</f>
        <v>1</v>
      </c>
      <c r="I1026" s="2" t="str">
        <f>"94171"</f>
        <v>94171</v>
      </c>
      <c r="J1026" s="3">
        <v>46139</v>
      </c>
      <c r="K1026" s="1" t="s">
        <v>2669</v>
      </c>
    </row>
    <row r="1027" spans="1:11" x14ac:dyDescent="0.35">
      <c r="A1027" s="1" t="s">
        <v>2350</v>
      </c>
      <c r="B1027" s="1" t="s">
        <v>2351</v>
      </c>
      <c r="C1027" s="1" t="s">
        <v>2352</v>
      </c>
      <c r="D1027" s="1" t="str">
        <f>"3805"</f>
        <v>3805</v>
      </c>
      <c r="E1027" s="1" t="str">
        <f>"015153766"</f>
        <v>015153766</v>
      </c>
      <c r="F1027" s="1" t="s">
        <v>132</v>
      </c>
      <c r="G1027" s="1" t="s">
        <v>16</v>
      </c>
      <c r="H1027" s="1" t="str">
        <f>"1"</f>
        <v>1</v>
      </c>
      <c r="I1027" s="2">
        <v>16100.91</v>
      </c>
      <c r="J1027" s="3">
        <v>46140</v>
      </c>
      <c r="K1027" s="1" t="s">
        <v>2353</v>
      </c>
    </row>
    <row r="1028" spans="1:11" x14ac:dyDescent="0.35">
      <c r="A1028" s="1" t="s">
        <v>2350</v>
      </c>
      <c r="B1028" s="1" t="s">
        <v>2639</v>
      </c>
      <c r="C1028" s="1" t="s">
        <v>2642</v>
      </c>
      <c r="D1028" s="1" t="str">
        <f>"7310"</f>
        <v>7310</v>
      </c>
      <c r="E1028" s="1" t="s">
        <v>2643</v>
      </c>
      <c r="F1028" s="1" t="s">
        <v>2644</v>
      </c>
      <c r="G1028" s="1" t="s">
        <v>16</v>
      </c>
      <c r="H1028" s="1" t="str">
        <f>"1"</f>
        <v>1</v>
      </c>
      <c r="I1028" s="2" t="str">
        <f>"500"</f>
        <v>500</v>
      </c>
      <c r="J1028" s="3">
        <v>46140</v>
      </c>
      <c r="K1028" s="1" t="s">
        <v>2645</v>
      </c>
    </row>
    <row r="1029" spans="1:11" x14ac:dyDescent="0.35">
      <c r="A1029" s="1" t="s">
        <v>2350</v>
      </c>
      <c r="B1029" s="1" t="s">
        <v>2453</v>
      </c>
      <c r="C1029" s="1" t="s">
        <v>2454</v>
      </c>
      <c r="D1029" s="1" t="str">
        <f>"7830"</f>
        <v>7830</v>
      </c>
      <c r="E1029" s="1" t="s">
        <v>1871</v>
      </c>
      <c r="F1029" s="1" t="s">
        <v>1872</v>
      </c>
      <c r="G1029" s="1" t="s">
        <v>16</v>
      </c>
      <c r="H1029" s="1" t="str">
        <f>"1"</f>
        <v>1</v>
      </c>
      <c r="I1029" s="2" t="str">
        <f>"4251"</f>
        <v>4251</v>
      </c>
      <c r="J1029" s="3">
        <v>46141</v>
      </c>
      <c r="K1029" s="1" t="s">
        <v>2455</v>
      </c>
    </row>
    <row r="1030" spans="1:11" x14ac:dyDescent="0.35">
      <c r="A1030" s="1" t="s">
        <v>2350</v>
      </c>
      <c r="B1030" s="1" t="s">
        <v>2543</v>
      </c>
      <c r="C1030" s="1" t="s">
        <v>2544</v>
      </c>
      <c r="D1030" s="1" t="str">
        <f>"1740"</f>
        <v>1740</v>
      </c>
      <c r="E1030" s="1" t="str">
        <f>"015382634"</f>
        <v>015382634</v>
      </c>
      <c r="F1030" s="1" t="s">
        <v>2545</v>
      </c>
      <c r="G1030" s="1" t="s">
        <v>16</v>
      </c>
      <c r="H1030" s="1" t="str">
        <f>"14"</f>
        <v>14</v>
      </c>
      <c r="I1030" s="2">
        <v>213.39</v>
      </c>
      <c r="J1030" s="3">
        <v>46141</v>
      </c>
      <c r="K1030" s="1" t="s">
        <v>2546</v>
      </c>
    </row>
    <row r="1031" spans="1:11" x14ac:dyDescent="0.35">
      <c r="A1031" s="1" t="s">
        <v>2350</v>
      </c>
      <c r="B1031" s="1" t="s">
        <v>2543</v>
      </c>
      <c r="C1031" s="1" t="s">
        <v>2557</v>
      </c>
      <c r="D1031" s="1" t="str">
        <f>"6260"</f>
        <v>6260</v>
      </c>
      <c r="E1031" s="1" t="s">
        <v>2558</v>
      </c>
      <c r="F1031" s="1" t="s">
        <v>2559</v>
      </c>
      <c r="G1031" s="1" t="s">
        <v>16</v>
      </c>
      <c r="H1031" s="1" t="str">
        <f>"11"</f>
        <v>11</v>
      </c>
      <c r="I1031" s="2" t="str">
        <f>"2562"</f>
        <v>2562</v>
      </c>
      <c r="J1031" s="3">
        <v>46141</v>
      </c>
      <c r="K1031" s="1" t="s">
        <v>2560</v>
      </c>
    </row>
    <row r="1032" spans="1:11" x14ac:dyDescent="0.35">
      <c r="A1032" s="1" t="s">
        <v>2350</v>
      </c>
      <c r="B1032" s="1" t="s">
        <v>2570</v>
      </c>
      <c r="C1032" s="1" t="s">
        <v>2573</v>
      </c>
      <c r="D1032" s="1" t="str">
        <f>"2310"</f>
        <v>2310</v>
      </c>
      <c r="E1032" s="1" t="s">
        <v>178</v>
      </c>
      <c r="F1032" s="1" t="s">
        <v>179</v>
      </c>
      <c r="G1032" s="1" t="s">
        <v>16</v>
      </c>
      <c r="H1032" s="1" t="str">
        <f>"1"</f>
        <v>1</v>
      </c>
      <c r="I1032" s="2">
        <v>26812.5</v>
      </c>
      <c r="J1032" s="3">
        <v>46141</v>
      </c>
      <c r="K1032" s="1" t="s">
        <v>2574</v>
      </c>
    </row>
    <row r="1033" spans="1:11" x14ac:dyDescent="0.35">
      <c r="A1033" s="1" t="s">
        <v>2350</v>
      </c>
      <c r="B1033" s="1" t="s">
        <v>2570</v>
      </c>
      <c r="C1033" s="1" t="s">
        <v>2578</v>
      </c>
      <c r="D1033" s="1" t="str">
        <f>"6720"</f>
        <v>6720</v>
      </c>
      <c r="E1033" s="1" t="s">
        <v>2250</v>
      </c>
      <c r="F1033" s="1" t="s">
        <v>2251</v>
      </c>
      <c r="G1033" s="1" t="s">
        <v>16</v>
      </c>
      <c r="H1033" s="1" t="str">
        <f>"2"</f>
        <v>2</v>
      </c>
      <c r="I1033" s="2" t="str">
        <f>"600"</f>
        <v>600</v>
      </c>
      <c r="J1033" s="3">
        <v>46141</v>
      </c>
      <c r="K1033" s="1" t="s">
        <v>2579</v>
      </c>
    </row>
    <row r="1034" spans="1:11" x14ac:dyDescent="0.35">
      <c r="A1034" s="1" t="s">
        <v>2350</v>
      </c>
      <c r="B1034" s="1" t="s">
        <v>2419</v>
      </c>
      <c r="C1034" s="1" t="s">
        <v>2428</v>
      </c>
      <c r="D1034" s="1" t="str">
        <f>"6115"</f>
        <v>6115</v>
      </c>
      <c r="E1034" s="1" t="str">
        <f>"012755061"</f>
        <v>012755061</v>
      </c>
      <c r="F1034" s="1" t="s">
        <v>1390</v>
      </c>
      <c r="G1034" s="1" t="s">
        <v>16</v>
      </c>
      <c r="H1034" s="1" t="str">
        <f>"1"</f>
        <v>1</v>
      </c>
      <c r="I1034" s="2" t="str">
        <f>"10700"</f>
        <v>10700</v>
      </c>
      <c r="J1034" s="3">
        <v>46143</v>
      </c>
      <c r="K1034" s="1" t="s">
        <v>2429</v>
      </c>
    </row>
    <row r="1035" spans="1:11" x14ac:dyDescent="0.35">
      <c r="A1035" s="1" t="s">
        <v>2350</v>
      </c>
      <c r="B1035" s="1" t="s">
        <v>2601</v>
      </c>
      <c r="C1035" s="1" t="s">
        <v>2606</v>
      </c>
      <c r="D1035" s="1" t="str">
        <f>"2330"</f>
        <v>2330</v>
      </c>
      <c r="E1035" s="1" t="s">
        <v>70</v>
      </c>
      <c r="F1035" s="1" t="s">
        <v>71</v>
      </c>
      <c r="G1035" s="1" t="s">
        <v>16</v>
      </c>
      <c r="H1035" s="1" t="str">
        <f>"1"</f>
        <v>1</v>
      </c>
      <c r="I1035" s="2" t="str">
        <f>"100"</f>
        <v>100</v>
      </c>
      <c r="J1035" s="3">
        <v>46146</v>
      </c>
      <c r="K1035" s="1" t="s">
        <v>2607</v>
      </c>
    </row>
    <row r="1036" spans="1:11" x14ac:dyDescent="0.35">
      <c r="A1036" s="1" t="s">
        <v>2350</v>
      </c>
      <c r="B1036" s="1" t="s">
        <v>2354</v>
      </c>
      <c r="C1036" s="1" t="s">
        <v>2365</v>
      </c>
      <c r="D1036" s="1" t="str">
        <f>"6230"</f>
        <v>6230</v>
      </c>
      <c r="E1036" s="1" t="str">
        <f>"016134312"</f>
        <v>016134312</v>
      </c>
      <c r="F1036" s="1" t="s">
        <v>230</v>
      </c>
      <c r="G1036" s="1" t="s">
        <v>16</v>
      </c>
      <c r="H1036" s="1" t="str">
        <f>"51"</f>
        <v>51</v>
      </c>
      <c r="I1036" s="2">
        <v>92.96</v>
      </c>
      <c r="J1036" s="3">
        <v>46148</v>
      </c>
      <c r="K1036" s="1" t="s">
        <v>2366</v>
      </c>
    </row>
    <row r="1037" spans="1:11" x14ac:dyDescent="0.35">
      <c r="A1037" s="1" t="s">
        <v>2350</v>
      </c>
      <c r="B1037" s="1" t="s">
        <v>2354</v>
      </c>
      <c r="C1037" s="1" t="s">
        <v>2407</v>
      </c>
      <c r="D1037" s="1" t="str">
        <f>"8460"</f>
        <v>8460</v>
      </c>
      <c r="E1037" s="1" t="str">
        <f>"006068366"</f>
        <v>006068366</v>
      </c>
      <c r="F1037" s="1" t="s">
        <v>2408</v>
      </c>
      <c r="G1037" s="1" t="s">
        <v>16</v>
      </c>
      <c r="H1037" s="1" t="str">
        <f>"30"</f>
        <v>30</v>
      </c>
      <c r="I1037" s="2">
        <v>41.55</v>
      </c>
      <c r="J1037" s="3">
        <v>46148</v>
      </c>
      <c r="K1037" s="1" t="s">
        <v>2409</v>
      </c>
    </row>
    <row r="1038" spans="1:11" x14ac:dyDescent="0.35">
      <c r="A1038" s="1" t="s">
        <v>2350</v>
      </c>
      <c r="B1038" s="1" t="s">
        <v>2354</v>
      </c>
      <c r="C1038" s="1" t="s">
        <v>2410</v>
      </c>
      <c r="D1038" s="1" t="str">
        <f>"8465"</f>
        <v>8465</v>
      </c>
      <c r="E1038" s="1" t="str">
        <f>"016779156"</f>
        <v>016779156</v>
      </c>
      <c r="F1038" s="1" t="s">
        <v>653</v>
      </c>
      <c r="G1038" s="1" t="s">
        <v>16</v>
      </c>
      <c r="H1038" s="1" t="str">
        <f>"2"</f>
        <v>2</v>
      </c>
      <c r="I1038" s="2" t="str">
        <f>"685"</f>
        <v>685</v>
      </c>
      <c r="J1038" s="3">
        <v>46148</v>
      </c>
      <c r="K1038" s="1" t="s">
        <v>2411</v>
      </c>
    </row>
    <row r="1039" spans="1:11" x14ac:dyDescent="0.35">
      <c r="A1039" s="1" t="s">
        <v>2350</v>
      </c>
      <c r="B1039" s="1" t="s">
        <v>2354</v>
      </c>
      <c r="C1039" s="1" t="s">
        <v>2414</v>
      </c>
      <c r="D1039" s="1" t="str">
        <f>"8465"</f>
        <v>8465</v>
      </c>
      <c r="E1039" s="1" t="str">
        <f>"015291712"</f>
        <v>015291712</v>
      </c>
      <c r="F1039" s="1" t="s">
        <v>1792</v>
      </c>
      <c r="G1039" s="1" t="s">
        <v>16</v>
      </c>
      <c r="H1039" s="1" t="str">
        <f>"14"</f>
        <v>14</v>
      </c>
      <c r="I1039" s="2">
        <v>79.790000000000006</v>
      </c>
      <c r="J1039" s="3">
        <v>46148</v>
      </c>
      <c r="K1039" s="1" t="s">
        <v>2415</v>
      </c>
    </row>
    <row r="1040" spans="1:11" x14ac:dyDescent="0.35">
      <c r="A1040" s="1" t="s">
        <v>2350</v>
      </c>
      <c r="B1040" s="1" t="s">
        <v>2475</v>
      </c>
      <c r="C1040" s="1" t="s">
        <v>2481</v>
      </c>
      <c r="D1040" s="1" t="str">
        <f>"2340"</f>
        <v>2340</v>
      </c>
      <c r="E1040" s="1" t="str">
        <f>"013954293"</f>
        <v>013954293</v>
      </c>
      <c r="F1040" s="1" t="s">
        <v>2482</v>
      </c>
      <c r="G1040" s="1" t="s">
        <v>16</v>
      </c>
      <c r="H1040" s="1" t="str">
        <f>"3"</f>
        <v>3</v>
      </c>
      <c r="I1040" s="2">
        <v>5694.11</v>
      </c>
      <c r="J1040" s="3">
        <v>46148</v>
      </c>
      <c r="K1040" s="1" t="s">
        <v>2483</v>
      </c>
    </row>
    <row r="1041" spans="1:11" x14ac:dyDescent="0.35">
      <c r="A1041" s="1" t="s">
        <v>2350</v>
      </c>
      <c r="B1041" s="1" t="s">
        <v>2456</v>
      </c>
      <c r="C1041" s="1" t="s">
        <v>2459</v>
      </c>
      <c r="D1041" s="1" t="str">
        <f>"6720"</f>
        <v>6720</v>
      </c>
      <c r="E1041" s="1" t="s">
        <v>2250</v>
      </c>
      <c r="F1041" s="1" t="s">
        <v>2251</v>
      </c>
      <c r="G1041" s="1" t="s">
        <v>16</v>
      </c>
      <c r="H1041" s="1" t="str">
        <f>"5"</f>
        <v>5</v>
      </c>
      <c r="I1041" s="2">
        <v>449.99</v>
      </c>
      <c r="J1041" s="3">
        <v>46149</v>
      </c>
      <c r="K1041" s="1" t="s">
        <v>2460</v>
      </c>
    </row>
    <row r="1042" spans="1:11" x14ac:dyDescent="0.35">
      <c r="A1042" s="1" t="s">
        <v>2350</v>
      </c>
      <c r="B1042" s="1" t="s">
        <v>2354</v>
      </c>
      <c r="C1042" s="1" t="s">
        <v>2367</v>
      </c>
      <c r="D1042" s="1" t="str">
        <f>"6230"</f>
        <v>6230</v>
      </c>
      <c r="E1042" s="1" t="str">
        <f>"015894822"</f>
        <v>015894822</v>
      </c>
      <c r="F1042" s="1" t="s">
        <v>2368</v>
      </c>
      <c r="G1042" s="1" t="s">
        <v>16</v>
      </c>
      <c r="H1042" s="1" t="str">
        <f>"36"</f>
        <v>36</v>
      </c>
      <c r="I1042" s="2">
        <v>647.44000000000005</v>
      </c>
      <c r="J1042" s="3">
        <v>46155</v>
      </c>
      <c r="K1042" s="1" t="s">
        <v>2369</v>
      </c>
    </row>
    <row r="1043" spans="1:11" x14ac:dyDescent="0.35">
      <c r="A1043" s="1" t="s">
        <v>2350</v>
      </c>
      <c r="B1043" s="1" t="s">
        <v>2601</v>
      </c>
      <c r="C1043" s="1" t="s">
        <v>2604</v>
      </c>
      <c r="D1043" s="1" t="str">
        <f>"2330"</f>
        <v>2330</v>
      </c>
      <c r="E1043" s="1" t="s">
        <v>70</v>
      </c>
      <c r="F1043" s="1" t="s">
        <v>71</v>
      </c>
      <c r="G1043" s="1" t="s">
        <v>16</v>
      </c>
      <c r="H1043" s="1" t="str">
        <f>"1"</f>
        <v>1</v>
      </c>
      <c r="I1043" s="2" t="str">
        <f>"17988"</f>
        <v>17988</v>
      </c>
      <c r="J1043" s="3">
        <v>46155</v>
      </c>
      <c r="K1043" s="1" t="s">
        <v>2605</v>
      </c>
    </row>
    <row r="1044" spans="1:11" x14ac:dyDescent="0.35">
      <c r="A1044" s="1" t="s">
        <v>2350</v>
      </c>
      <c r="B1044" s="1" t="s">
        <v>2461</v>
      </c>
      <c r="C1044" s="1" t="s">
        <v>2462</v>
      </c>
      <c r="D1044" s="1" t="str">
        <f>"2360"</f>
        <v>2360</v>
      </c>
      <c r="E1044" s="1" t="str">
        <f>"016033586"</f>
        <v>016033586</v>
      </c>
      <c r="F1044" s="1" t="s">
        <v>2463</v>
      </c>
      <c r="G1044" s="1" t="s">
        <v>16</v>
      </c>
      <c r="H1044" s="1" t="str">
        <f>"1"</f>
        <v>1</v>
      </c>
      <c r="I1044" s="2" t="str">
        <f>"135000"</f>
        <v>135000</v>
      </c>
      <c r="J1044" s="3">
        <v>46157</v>
      </c>
      <c r="K1044" s="1" t="s">
        <v>2464</v>
      </c>
    </row>
    <row r="1045" spans="1:11" x14ac:dyDescent="0.35">
      <c r="A1045" s="1" t="s">
        <v>2350</v>
      </c>
      <c r="B1045" s="1" t="s">
        <v>2465</v>
      </c>
      <c r="C1045" s="1" t="s">
        <v>2469</v>
      </c>
      <c r="D1045" s="1" t="str">
        <f>"6920"</f>
        <v>6920</v>
      </c>
      <c r="E1045" s="1" t="str">
        <f>"015320203"</f>
        <v>015320203</v>
      </c>
      <c r="F1045" s="1" t="s">
        <v>2470</v>
      </c>
      <c r="G1045" s="1" t="s">
        <v>16</v>
      </c>
      <c r="H1045" s="1" t="str">
        <f>"1"</f>
        <v>1</v>
      </c>
      <c r="I1045" s="2" t="str">
        <f>"26945"</f>
        <v>26945</v>
      </c>
      <c r="J1045" s="3">
        <v>46157</v>
      </c>
      <c r="K1045" s="1" t="s">
        <v>2471</v>
      </c>
    </row>
    <row r="1046" spans="1:11" x14ac:dyDescent="0.35">
      <c r="A1046" s="1" t="s">
        <v>2350</v>
      </c>
      <c r="B1046" s="1" t="s">
        <v>2475</v>
      </c>
      <c r="C1046" s="1" t="s">
        <v>2476</v>
      </c>
      <c r="D1046" s="1" t="str">
        <f>"1550"</f>
        <v>1550</v>
      </c>
      <c r="E1046" s="1" t="str">
        <f>"016215406"</f>
        <v>016215406</v>
      </c>
      <c r="F1046" s="1" t="s">
        <v>203</v>
      </c>
      <c r="G1046" s="1" t="s">
        <v>16</v>
      </c>
      <c r="H1046" s="1" t="str">
        <f>"3"</f>
        <v>3</v>
      </c>
      <c r="I1046" s="2" t="str">
        <f>"38373"</f>
        <v>38373</v>
      </c>
      <c r="J1046" s="3">
        <v>46161</v>
      </c>
      <c r="K1046" s="1" t="s">
        <v>2477</v>
      </c>
    </row>
    <row r="1047" spans="1:11" x14ac:dyDescent="0.35">
      <c r="A1047" s="1" t="s">
        <v>2350</v>
      </c>
      <c r="B1047" s="1" t="s">
        <v>2475</v>
      </c>
      <c r="C1047" s="1" t="s">
        <v>2492</v>
      </c>
      <c r="D1047" s="1" t="str">
        <f>"6545"</f>
        <v>6545</v>
      </c>
      <c r="E1047" s="1" t="str">
        <f>"015300929"</f>
        <v>015300929</v>
      </c>
      <c r="F1047" s="1" t="s">
        <v>236</v>
      </c>
      <c r="G1047" s="1" t="s">
        <v>215</v>
      </c>
      <c r="H1047" s="1" t="str">
        <f>"60"</f>
        <v>60</v>
      </c>
      <c r="I1047" s="2">
        <v>48.71</v>
      </c>
      <c r="J1047" s="3">
        <v>46161</v>
      </c>
      <c r="K1047" s="1" t="s">
        <v>2493</v>
      </c>
    </row>
    <row r="1048" spans="1:11" x14ac:dyDescent="0.35">
      <c r="A1048" s="1" t="s">
        <v>2350</v>
      </c>
      <c r="B1048" s="1" t="s">
        <v>2475</v>
      </c>
      <c r="C1048" s="1" t="s">
        <v>2494</v>
      </c>
      <c r="D1048" s="1" t="str">
        <f>"7025"</f>
        <v>7025</v>
      </c>
      <c r="E1048" s="1" t="s">
        <v>2495</v>
      </c>
      <c r="F1048" s="1" t="s">
        <v>2496</v>
      </c>
      <c r="G1048" s="1" t="s">
        <v>16</v>
      </c>
      <c r="H1048" s="1" t="str">
        <f>"5"</f>
        <v>5</v>
      </c>
      <c r="I1048" s="2" t="str">
        <f>"392"</f>
        <v>392</v>
      </c>
      <c r="J1048" s="3">
        <v>46161</v>
      </c>
      <c r="K1048" s="1" t="s">
        <v>2497</v>
      </c>
    </row>
    <row r="1049" spans="1:11" x14ac:dyDescent="0.35">
      <c r="A1049" s="1" t="s">
        <v>2350</v>
      </c>
      <c r="B1049" s="1" t="s">
        <v>2475</v>
      </c>
      <c r="C1049" s="1" t="s">
        <v>2511</v>
      </c>
      <c r="D1049" s="1" t="str">
        <f>"8465"</f>
        <v>8465</v>
      </c>
      <c r="E1049" s="1" t="str">
        <f>"015245285"</f>
        <v>015245285</v>
      </c>
      <c r="F1049" s="1" t="s">
        <v>2512</v>
      </c>
      <c r="G1049" s="1" t="s">
        <v>16</v>
      </c>
      <c r="H1049" s="1" t="str">
        <f>"95"</f>
        <v>95</v>
      </c>
      <c r="I1049" s="2" t="str">
        <f>"81"</f>
        <v>81</v>
      </c>
      <c r="J1049" s="3">
        <v>46161</v>
      </c>
      <c r="K1049" s="1" t="s">
        <v>2513</v>
      </c>
    </row>
    <row r="1050" spans="1:11" x14ac:dyDescent="0.35">
      <c r="A1050" s="1" t="s">
        <v>2350</v>
      </c>
      <c r="B1050" s="1" t="s">
        <v>2696</v>
      </c>
      <c r="C1050" s="1" t="s">
        <v>2697</v>
      </c>
      <c r="D1050" s="1" t="str">
        <f>"4910"</f>
        <v>4910</v>
      </c>
      <c r="E1050" s="1" t="s">
        <v>1171</v>
      </c>
      <c r="F1050" s="1" t="s">
        <v>1172</v>
      </c>
      <c r="G1050" s="1" t="s">
        <v>16</v>
      </c>
      <c r="H1050" s="1" t="str">
        <f>"2"</f>
        <v>2</v>
      </c>
      <c r="I1050" s="2" t="str">
        <f>"176"</f>
        <v>176</v>
      </c>
      <c r="J1050" s="3">
        <v>46161</v>
      </c>
      <c r="K1050" s="1" t="s">
        <v>2698</v>
      </c>
    </row>
    <row r="1051" spans="1:11" x14ac:dyDescent="0.35">
      <c r="A1051" s="1" t="s">
        <v>2350</v>
      </c>
      <c r="B1051" s="1" t="s">
        <v>2696</v>
      </c>
      <c r="C1051" s="1" t="s">
        <v>2699</v>
      </c>
      <c r="D1051" s="1" t="str">
        <f>"5120"</f>
        <v>5120</v>
      </c>
      <c r="E1051" s="1" t="str">
        <f>"014303123"</f>
        <v>014303123</v>
      </c>
      <c r="F1051" s="1" t="s">
        <v>2700</v>
      </c>
      <c r="G1051" s="1" t="s">
        <v>16</v>
      </c>
      <c r="H1051" s="1" t="str">
        <f>"1"</f>
        <v>1</v>
      </c>
      <c r="I1051" s="2">
        <v>165.25</v>
      </c>
      <c r="J1051" s="3">
        <v>46161</v>
      </c>
      <c r="K1051" s="1" t="s">
        <v>2701</v>
      </c>
    </row>
    <row r="1052" spans="1:11" x14ac:dyDescent="0.35">
      <c r="A1052" s="1" t="s">
        <v>2350</v>
      </c>
      <c r="B1052" s="1" t="s">
        <v>2696</v>
      </c>
      <c r="C1052" s="1" t="s">
        <v>2702</v>
      </c>
      <c r="D1052" s="1" t="str">
        <f>"5120"</f>
        <v>5120</v>
      </c>
      <c r="E1052" s="1" t="s">
        <v>2703</v>
      </c>
      <c r="F1052" s="1" t="s">
        <v>2704</v>
      </c>
      <c r="G1052" s="1" t="s">
        <v>16</v>
      </c>
      <c r="H1052" s="1" t="str">
        <f>"3"</f>
        <v>3</v>
      </c>
      <c r="I1052" s="2" t="str">
        <f>"138"</f>
        <v>138</v>
      </c>
      <c r="J1052" s="3">
        <v>46161</v>
      </c>
      <c r="K1052" s="1" t="s">
        <v>2705</v>
      </c>
    </row>
    <row r="1053" spans="1:11" x14ac:dyDescent="0.35">
      <c r="A1053" s="1" t="s">
        <v>2350</v>
      </c>
      <c r="B1053" s="1" t="s">
        <v>2696</v>
      </c>
      <c r="C1053" s="1" t="s">
        <v>2706</v>
      </c>
      <c r="D1053" s="1" t="str">
        <f>"5140"</f>
        <v>5140</v>
      </c>
      <c r="E1053" s="1" t="str">
        <f>"014296945"</f>
        <v>014296945</v>
      </c>
      <c r="F1053" s="1" t="s">
        <v>2707</v>
      </c>
      <c r="G1053" s="1" t="s">
        <v>16</v>
      </c>
      <c r="H1053" s="1" t="str">
        <f>"1"</f>
        <v>1</v>
      </c>
      <c r="I1053" s="2">
        <v>33.369999999999997</v>
      </c>
      <c r="J1053" s="3">
        <v>46161</v>
      </c>
      <c r="K1053" s="1" t="s">
        <v>2708</v>
      </c>
    </row>
    <row r="1054" spans="1:11" x14ac:dyDescent="0.35">
      <c r="A1054" s="1" t="s">
        <v>2350</v>
      </c>
      <c r="B1054" s="1" t="s">
        <v>2696</v>
      </c>
      <c r="C1054" s="1" t="s">
        <v>2709</v>
      </c>
      <c r="D1054" s="1" t="str">
        <f>"7025"</f>
        <v>7025</v>
      </c>
      <c r="E1054" s="1" t="s">
        <v>2495</v>
      </c>
      <c r="F1054" s="1" t="s">
        <v>2496</v>
      </c>
      <c r="G1054" s="1" t="s">
        <v>16</v>
      </c>
      <c r="H1054" s="1" t="str">
        <f>"20"</f>
        <v>20</v>
      </c>
      <c r="I1054" s="2" t="str">
        <f>"392"</f>
        <v>392</v>
      </c>
      <c r="J1054" s="3">
        <v>46161</v>
      </c>
      <c r="K1054" s="1" t="s">
        <v>2710</v>
      </c>
    </row>
    <row r="1055" spans="1:11" x14ac:dyDescent="0.35">
      <c r="A1055" s="1" t="s">
        <v>2350</v>
      </c>
      <c r="B1055" s="1" t="s">
        <v>2696</v>
      </c>
      <c r="C1055" s="1" t="s">
        <v>2711</v>
      </c>
      <c r="D1055" s="1" t="str">
        <f>"7810"</f>
        <v>7810</v>
      </c>
      <c r="E1055" s="1" t="s">
        <v>2712</v>
      </c>
      <c r="F1055" s="1" t="s">
        <v>2713</v>
      </c>
      <c r="G1055" s="1" t="s">
        <v>16</v>
      </c>
      <c r="H1055" s="1" t="str">
        <f>"7"</f>
        <v>7</v>
      </c>
      <c r="I1055" s="2" t="str">
        <f>"70"</f>
        <v>70</v>
      </c>
      <c r="J1055" s="3">
        <v>46161</v>
      </c>
      <c r="K1055" s="1" t="s">
        <v>2714</v>
      </c>
    </row>
    <row r="1056" spans="1:11" x14ac:dyDescent="0.35">
      <c r="A1056" s="1" t="s">
        <v>2350</v>
      </c>
      <c r="B1056" s="1" t="s">
        <v>2696</v>
      </c>
      <c r="C1056" s="1" t="s">
        <v>2715</v>
      </c>
      <c r="D1056" s="1" t="str">
        <f>"7810"</f>
        <v>7810</v>
      </c>
      <c r="E1056" s="1" t="s">
        <v>2712</v>
      </c>
      <c r="F1056" s="1" t="s">
        <v>2713</v>
      </c>
      <c r="G1056" s="1" t="s">
        <v>16</v>
      </c>
      <c r="H1056" s="1" t="str">
        <f>"2"</f>
        <v>2</v>
      </c>
      <c r="I1056" s="2" t="str">
        <f>"55"</f>
        <v>55</v>
      </c>
      <c r="J1056" s="3">
        <v>46161</v>
      </c>
      <c r="K1056" s="1" t="s">
        <v>2714</v>
      </c>
    </row>
    <row r="1057" spans="1:11" x14ac:dyDescent="0.35">
      <c r="A1057" s="1" t="s">
        <v>2350</v>
      </c>
      <c r="B1057" s="1" t="s">
        <v>2696</v>
      </c>
      <c r="C1057" s="1" t="s">
        <v>2716</v>
      </c>
      <c r="D1057" s="1" t="str">
        <f>"7810"</f>
        <v>7810</v>
      </c>
      <c r="E1057" s="1" t="s">
        <v>2712</v>
      </c>
      <c r="F1057" s="1" t="s">
        <v>2713</v>
      </c>
      <c r="G1057" s="1" t="s">
        <v>16</v>
      </c>
      <c r="H1057" s="1" t="str">
        <f>"1"</f>
        <v>1</v>
      </c>
      <c r="I1057" s="2" t="str">
        <f>"1429"</f>
        <v>1429</v>
      </c>
      <c r="J1057" s="3">
        <v>46161</v>
      </c>
      <c r="K1057" s="1" t="s">
        <v>2714</v>
      </c>
    </row>
    <row r="1058" spans="1:11" x14ac:dyDescent="0.35">
      <c r="A1058" s="1" t="s">
        <v>2350</v>
      </c>
      <c r="B1058" s="1" t="s">
        <v>2696</v>
      </c>
      <c r="C1058" s="1" t="s">
        <v>2717</v>
      </c>
      <c r="D1058" s="1" t="str">
        <f>"7830"</f>
        <v>7830</v>
      </c>
      <c r="E1058" s="1" t="s">
        <v>1867</v>
      </c>
      <c r="F1058" s="1" t="s">
        <v>1868</v>
      </c>
      <c r="G1058" s="1" t="s">
        <v>16</v>
      </c>
      <c r="H1058" s="1" t="str">
        <f>"1"</f>
        <v>1</v>
      </c>
      <c r="I1058" s="2" t="str">
        <f>"1395"</f>
        <v>1395</v>
      </c>
      <c r="J1058" s="3">
        <v>46161</v>
      </c>
      <c r="K1058" s="1" t="s">
        <v>2714</v>
      </c>
    </row>
    <row r="1059" spans="1:11" x14ac:dyDescent="0.35">
      <c r="A1059" s="1" t="s">
        <v>2350</v>
      </c>
      <c r="B1059" s="1" t="s">
        <v>2696</v>
      </c>
      <c r="C1059" s="1" t="s">
        <v>2718</v>
      </c>
      <c r="D1059" s="1" t="str">
        <f>"8340"</f>
        <v>8340</v>
      </c>
      <c r="E1059" s="1" t="str">
        <f>"016288864"</f>
        <v>016288864</v>
      </c>
      <c r="F1059" s="1" t="s">
        <v>253</v>
      </c>
      <c r="G1059" s="1" t="s">
        <v>16</v>
      </c>
      <c r="H1059" s="1" t="str">
        <f>"1"</f>
        <v>1</v>
      </c>
      <c r="I1059" s="2">
        <v>382.71</v>
      </c>
      <c r="J1059" s="3">
        <v>46161</v>
      </c>
      <c r="K1059" s="1" t="s">
        <v>2719</v>
      </c>
    </row>
    <row r="1060" spans="1:11" x14ac:dyDescent="0.35">
      <c r="A1060" s="1" t="s">
        <v>2350</v>
      </c>
      <c r="B1060" s="1" t="s">
        <v>2696</v>
      </c>
      <c r="C1060" s="1" t="s">
        <v>2720</v>
      </c>
      <c r="D1060" s="1" t="str">
        <f>"8340"</f>
        <v>8340</v>
      </c>
      <c r="E1060" s="1" t="s">
        <v>252</v>
      </c>
      <c r="F1060" s="1" t="s">
        <v>253</v>
      </c>
      <c r="G1060" s="1" t="s">
        <v>16</v>
      </c>
      <c r="H1060" s="1" t="str">
        <f>"1"</f>
        <v>1</v>
      </c>
      <c r="I1060" s="2">
        <v>272.99</v>
      </c>
      <c r="J1060" s="3">
        <v>46161</v>
      </c>
      <c r="K1060" s="1" t="s">
        <v>2721</v>
      </c>
    </row>
    <row r="1061" spans="1:11" x14ac:dyDescent="0.35">
      <c r="A1061" s="1" t="s">
        <v>2350</v>
      </c>
      <c r="B1061" s="1" t="s">
        <v>2354</v>
      </c>
      <c r="C1061" s="1" t="s">
        <v>2358</v>
      </c>
      <c r="D1061" s="1" t="str">
        <f>"1240"</f>
        <v>1240</v>
      </c>
      <c r="E1061" s="1" t="str">
        <f>"015065920"</f>
        <v>015065920</v>
      </c>
      <c r="F1061" s="1" t="s">
        <v>175</v>
      </c>
      <c r="G1061" s="1" t="s">
        <v>16</v>
      </c>
      <c r="H1061" s="1" t="str">
        <f>"4"</f>
        <v>4</v>
      </c>
      <c r="I1061" s="2">
        <v>1185.0999999999999</v>
      </c>
      <c r="J1061" s="3">
        <v>46162</v>
      </c>
      <c r="K1061" s="1" t="s">
        <v>2359</v>
      </c>
    </row>
    <row r="1062" spans="1:11" x14ac:dyDescent="0.35">
      <c r="A1062" s="1" t="s">
        <v>2350</v>
      </c>
      <c r="B1062" s="1" t="s">
        <v>2639</v>
      </c>
      <c r="C1062" s="1" t="s">
        <v>2640</v>
      </c>
      <c r="D1062" s="1" t="str">
        <f>"2320"</f>
        <v>2320</v>
      </c>
      <c r="E1062" s="1" t="s">
        <v>975</v>
      </c>
      <c r="F1062" s="1" t="s">
        <v>976</v>
      </c>
      <c r="G1062" s="1" t="s">
        <v>16</v>
      </c>
      <c r="H1062" s="1" t="str">
        <f>"1"</f>
        <v>1</v>
      </c>
      <c r="I1062" s="2" t="str">
        <f>"202199"</f>
        <v>202199</v>
      </c>
      <c r="J1062" s="3">
        <v>46162</v>
      </c>
      <c r="K1062" s="1" t="s">
        <v>2641</v>
      </c>
    </row>
    <row r="1063" spans="1:11" x14ac:dyDescent="0.35">
      <c r="A1063" s="1" t="s">
        <v>2350</v>
      </c>
      <c r="B1063" s="1" t="s">
        <v>2670</v>
      </c>
      <c r="C1063" s="1" t="s">
        <v>2677</v>
      </c>
      <c r="D1063" s="1" t="str">
        <f>"1240"</f>
        <v>1240</v>
      </c>
      <c r="E1063" s="1" t="str">
        <f>"015065920"</f>
        <v>015065920</v>
      </c>
      <c r="F1063" s="1" t="s">
        <v>175</v>
      </c>
      <c r="G1063" s="1" t="s">
        <v>16</v>
      </c>
      <c r="H1063" s="1" t="str">
        <f>"10"</f>
        <v>10</v>
      </c>
      <c r="I1063" s="2">
        <v>1185.0999999999999</v>
      </c>
      <c r="J1063" s="3">
        <v>46162</v>
      </c>
      <c r="K1063" s="1" t="s">
        <v>2678</v>
      </c>
    </row>
    <row r="1064" spans="1:11" x14ac:dyDescent="0.35">
      <c r="A1064" s="1" t="s">
        <v>2350</v>
      </c>
      <c r="B1064" s="1" t="s">
        <v>2354</v>
      </c>
      <c r="C1064" s="1" t="s">
        <v>2360</v>
      </c>
      <c r="D1064" s="1" t="str">
        <f>"1240"</f>
        <v>1240</v>
      </c>
      <c r="E1064" s="1" t="str">
        <f>"015331854"</f>
        <v>015331854</v>
      </c>
      <c r="F1064" s="1" t="s">
        <v>2361</v>
      </c>
      <c r="G1064" s="1" t="s">
        <v>16</v>
      </c>
      <c r="H1064" s="1" t="str">
        <f>"2"</f>
        <v>2</v>
      </c>
      <c r="I1064" s="2">
        <v>2669.6</v>
      </c>
      <c r="J1064" s="3">
        <v>46163</v>
      </c>
      <c r="K1064" s="1" t="s">
        <v>2362</v>
      </c>
    </row>
    <row r="1065" spans="1:11" x14ac:dyDescent="0.35">
      <c r="A1065" s="1" t="s">
        <v>2350</v>
      </c>
      <c r="B1065" s="1" t="s">
        <v>2629</v>
      </c>
      <c r="C1065" s="1" t="s">
        <v>2630</v>
      </c>
      <c r="D1065" s="1" t="str">
        <f>"6230"</f>
        <v>6230</v>
      </c>
      <c r="E1065" s="1" t="s">
        <v>2631</v>
      </c>
      <c r="F1065" s="1" t="s">
        <v>2632</v>
      </c>
      <c r="G1065" s="1" t="s">
        <v>16</v>
      </c>
      <c r="H1065" s="1" t="str">
        <f>"12"</f>
        <v>12</v>
      </c>
      <c r="I1065" s="2">
        <v>36.909999999999997</v>
      </c>
      <c r="J1065" s="3">
        <v>46163</v>
      </c>
      <c r="K1065" s="1" t="s">
        <v>2633</v>
      </c>
    </row>
    <row r="1066" spans="1:11" x14ac:dyDescent="0.35">
      <c r="A1066" s="1" t="s">
        <v>2350</v>
      </c>
      <c r="B1066" s="1" t="s">
        <v>2601</v>
      </c>
      <c r="C1066" s="1" t="s">
        <v>2613</v>
      </c>
      <c r="D1066" s="1" t="str">
        <f>"6720"</f>
        <v>6720</v>
      </c>
      <c r="E1066" s="1" t="s">
        <v>2250</v>
      </c>
      <c r="F1066" s="1" t="s">
        <v>2251</v>
      </c>
      <c r="G1066" s="1" t="s">
        <v>16</v>
      </c>
      <c r="H1066" s="1" t="str">
        <f>"1"</f>
        <v>1</v>
      </c>
      <c r="I1066" s="2" t="str">
        <f>"2300"</f>
        <v>2300</v>
      </c>
      <c r="J1066" s="3">
        <v>46168</v>
      </c>
      <c r="K1066" s="1" t="s">
        <v>2614</v>
      </c>
    </row>
    <row r="1067" spans="1:11" x14ac:dyDescent="0.35">
      <c r="A1067" s="1" t="s">
        <v>2350</v>
      </c>
      <c r="B1067" s="1" t="s">
        <v>2601</v>
      </c>
      <c r="C1067" s="1" t="s">
        <v>2615</v>
      </c>
      <c r="D1067" s="1" t="str">
        <f>"6720"</f>
        <v>6720</v>
      </c>
      <c r="E1067" s="1" t="s">
        <v>2250</v>
      </c>
      <c r="F1067" s="1" t="s">
        <v>2251</v>
      </c>
      <c r="G1067" s="1" t="s">
        <v>16</v>
      </c>
      <c r="H1067" s="1" t="str">
        <f>"1"</f>
        <v>1</v>
      </c>
      <c r="I1067" s="2" t="str">
        <f>"2000"</f>
        <v>2000</v>
      </c>
      <c r="J1067" s="3">
        <v>46168</v>
      </c>
      <c r="K1067" s="1" t="s">
        <v>2614</v>
      </c>
    </row>
    <row r="1068" spans="1:11" x14ac:dyDescent="0.35">
      <c r="A1068" s="1" t="s">
        <v>2350</v>
      </c>
      <c r="B1068" s="1" t="s">
        <v>2601</v>
      </c>
      <c r="C1068" s="1" t="s">
        <v>2616</v>
      </c>
      <c r="D1068" s="1" t="str">
        <f>"6720"</f>
        <v>6720</v>
      </c>
      <c r="E1068" s="1" t="s">
        <v>2250</v>
      </c>
      <c r="F1068" s="1" t="s">
        <v>2251</v>
      </c>
      <c r="G1068" s="1" t="s">
        <v>16</v>
      </c>
      <c r="H1068" s="1" t="str">
        <f>"1"</f>
        <v>1</v>
      </c>
      <c r="I1068" s="2" t="str">
        <f>"1800"</f>
        <v>1800</v>
      </c>
      <c r="J1068" s="3">
        <v>46168</v>
      </c>
      <c r="K1068" s="1" t="s">
        <v>2614</v>
      </c>
    </row>
    <row r="1069" spans="1:11" x14ac:dyDescent="0.35">
      <c r="A1069" s="1" t="s">
        <v>2350</v>
      </c>
      <c r="B1069" s="1" t="s">
        <v>2601</v>
      </c>
      <c r="C1069" s="1" t="s">
        <v>2617</v>
      </c>
      <c r="D1069" s="1" t="str">
        <f>"6720"</f>
        <v>6720</v>
      </c>
      <c r="E1069" s="1" t="s">
        <v>2250</v>
      </c>
      <c r="F1069" s="1" t="s">
        <v>2251</v>
      </c>
      <c r="G1069" s="1" t="s">
        <v>16</v>
      </c>
      <c r="H1069" s="1" t="str">
        <f>"5"</f>
        <v>5</v>
      </c>
      <c r="I1069" s="2" t="str">
        <f>"3000"</f>
        <v>3000</v>
      </c>
      <c r="J1069" s="3">
        <v>46168</v>
      </c>
      <c r="K1069" s="1" t="s">
        <v>2614</v>
      </c>
    </row>
    <row r="1070" spans="1:11" x14ac:dyDescent="0.35">
      <c r="A1070" s="1" t="s">
        <v>2350</v>
      </c>
      <c r="B1070" s="1" t="s">
        <v>2601</v>
      </c>
      <c r="C1070" s="1" t="s">
        <v>2618</v>
      </c>
      <c r="D1070" s="1" t="str">
        <f>"6760"</f>
        <v>6760</v>
      </c>
      <c r="E1070" s="1" t="s">
        <v>2444</v>
      </c>
      <c r="F1070" s="1" t="s">
        <v>2445</v>
      </c>
      <c r="G1070" s="1" t="s">
        <v>16</v>
      </c>
      <c r="H1070" s="1" t="str">
        <f>"2"</f>
        <v>2</v>
      </c>
      <c r="I1070" s="2" t="str">
        <f>"1500"</f>
        <v>1500</v>
      </c>
      <c r="J1070" s="3">
        <v>46168</v>
      </c>
      <c r="K1070" s="1" t="s">
        <v>2614</v>
      </c>
    </row>
    <row r="1071" spans="1:11" x14ac:dyDescent="0.35">
      <c r="A1071" s="1" t="s">
        <v>2350</v>
      </c>
      <c r="B1071" s="1" t="s">
        <v>2601</v>
      </c>
      <c r="C1071" s="1" t="s">
        <v>2619</v>
      </c>
      <c r="D1071" s="1" t="str">
        <f>"6760"</f>
        <v>6760</v>
      </c>
      <c r="E1071" s="1" t="s">
        <v>2444</v>
      </c>
      <c r="F1071" s="1" t="s">
        <v>2445</v>
      </c>
      <c r="G1071" s="1" t="s">
        <v>16</v>
      </c>
      <c r="H1071" s="1" t="str">
        <f>"5"</f>
        <v>5</v>
      </c>
      <c r="I1071" s="2" t="str">
        <f>"1100"</f>
        <v>1100</v>
      </c>
      <c r="J1071" s="3">
        <v>46168</v>
      </c>
      <c r="K1071" s="1" t="s">
        <v>2614</v>
      </c>
    </row>
    <row r="1072" spans="1:11" x14ac:dyDescent="0.35">
      <c r="A1072" s="1" t="s">
        <v>2350</v>
      </c>
      <c r="B1072" s="1" t="s">
        <v>2601</v>
      </c>
      <c r="C1072" s="1" t="s">
        <v>2620</v>
      </c>
      <c r="D1072" s="1" t="str">
        <f>"6760"</f>
        <v>6760</v>
      </c>
      <c r="E1072" s="1" t="s">
        <v>2621</v>
      </c>
      <c r="F1072" s="1" t="s">
        <v>2622</v>
      </c>
      <c r="G1072" s="1" t="s">
        <v>16</v>
      </c>
      <c r="H1072" s="1" t="str">
        <f>"5"</f>
        <v>5</v>
      </c>
      <c r="I1072" s="2" t="str">
        <f>"600"</f>
        <v>600</v>
      </c>
      <c r="J1072" s="3">
        <v>46168</v>
      </c>
      <c r="K1072" s="1" t="s">
        <v>2614</v>
      </c>
    </row>
    <row r="1073" spans="1:11" x14ac:dyDescent="0.35">
      <c r="A1073" s="1" t="s">
        <v>2350</v>
      </c>
      <c r="B1073" s="1" t="s">
        <v>2601</v>
      </c>
      <c r="C1073" s="1" t="s">
        <v>2623</v>
      </c>
      <c r="D1073" s="1" t="str">
        <f>"6760"</f>
        <v>6760</v>
      </c>
      <c r="E1073" s="1" t="s">
        <v>2444</v>
      </c>
      <c r="F1073" s="1" t="s">
        <v>2445</v>
      </c>
      <c r="G1073" s="1" t="s">
        <v>16</v>
      </c>
      <c r="H1073" s="1" t="str">
        <f>"1"</f>
        <v>1</v>
      </c>
      <c r="I1073" s="2" t="str">
        <f>"8000"</f>
        <v>8000</v>
      </c>
      <c r="J1073" s="3">
        <v>46168</v>
      </c>
      <c r="K1073" s="1" t="s">
        <v>2614</v>
      </c>
    </row>
    <row r="1074" spans="1:11" x14ac:dyDescent="0.35">
      <c r="A1074" s="1" t="s">
        <v>2350</v>
      </c>
      <c r="B1074" s="1" t="s">
        <v>2601</v>
      </c>
      <c r="C1074" s="1" t="s">
        <v>2624</v>
      </c>
      <c r="D1074" s="1" t="str">
        <f>"6760"</f>
        <v>6760</v>
      </c>
      <c r="E1074" s="1" t="s">
        <v>2444</v>
      </c>
      <c r="F1074" s="1" t="s">
        <v>2445</v>
      </c>
      <c r="G1074" s="1" t="s">
        <v>16</v>
      </c>
      <c r="H1074" s="1" t="str">
        <f>"1"</f>
        <v>1</v>
      </c>
      <c r="I1074" s="2" t="str">
        <f>"1700"</f>
        <v>1700</v>
      </c>
      <c r="J1074" s="3">
        <v>46168</v>
      </c>
      <c r="K1074" s="1" t="s">
        <v>2614</v>
      </c>
    </row>
    <row r="1075" spans="1:11" x14ac:dyDescent="0.35">
      <c r="A1075" s="1" t="s">
        <v>2350</v>
      </c>
      <c r="B1075" s="1" t="s">
        <v>2475</v>
      </c>
      <c r="C1075" s="1" t="s">
        <v>2487</v>
      </c>
      <c r="D1075" s="1" t="str">
        <f>"4940"</f>
        <v>4940</v>
      </c>
      <c r="E1075" s="1" t="str">
        <f>"015589744"</f>
        <v>015589744</v>
      </c>
      <c r="F1075" s="1" t="s">
        <v>2488</v>
      </c>
      <c r="G1075" s="1" t="s">
        <v>16</v>
      </c>
      <c r="H1075" s="1" t="str">
        <f>"1"</f>
        <v>1</v>
      </c>
      <c r="I1075" s="2">
        <v>3026.62</v>
      </c>
      <c r="J1075" s="3">
        <v>46170</v>
      </c>
      <c r="K1075" s="1" t="s">
        <v>2489</v>
      </c>
    </row>
    <row r="1076" spans="1:11" x14ac:dyDescent="0.35">
      <c r="A1076" s="1" t="s">
        <v>2350</v>
      </c>
      <c r="B1076" s="1" t="s">
        <v>2475</v>
      </c>
      <c r="C1076" s="1" t="s">
        <v>2504</v>
      </c>
      <c r="D1076" s="1" t="str">
        <f>"8405"</f>
        <v>8405</v>
      </c>
      <c r="E1076" s="1" t="str">
        <f>"015472559"</f>
        <v>015472559</v>
      </c>
      <c r="F1076" s="1" t="s">
        <v>1200</v>
      </c>
      <c r="G1076" s="1" t="s">
        <v>16</v>
      </c>
      <c r="H1076" s="1" t="str">
        <f>"33"</f>
        <v>33</v>
      </c>
      <c r="I1076" s="2">
        <v>38.4</v>
      </c>
      <c r="J1076" s="3">
        <v>46170</v>
      </c>
      <c r="K1076" s="1" t="s">
        <v>2505</v>
      </c>
    </row>
    <row r="1077" spans="1:11" x14ac:dyDescent="0.35">
      <c r="A1077" s="1" t="s">
        <v>2350</v>
      </c>
      <c r="B1077" s="1" t="s">
        <v>2475</v>
      </c>
      <c r="C1077" s="1" t="s">
        <v>2506</v>
      </c>
      <c r="D1077" s="1" t="str">
        <f>"8405"</f>
        <v>8405</v>
      </c>
      <c r="E1077" s="1" t="str">
        <f>"015472555"</f>
        <v>015472555</v>
      </c>
      <c r="F1077" s="1" t="s">
        <v>615</v>
      </c>
      <c r="G1077" s="1" t="s">
        <v>16</v>
      </c>
      <c r="H1077" s="1" t="str">
        <f>"16"</f>
        <v>16</v>
      </c>
      <c r="I1077" s="2">
        <v>63.02</v>
      </c>
      <c r="J1077" s="3">
        <v>46170</v>
      </c>
      <c r="K1077" s="1" t="s">
        <v>2505</v>
      </c>
    </row>
    <row r="1078" spans="1:11" x14ac:dyDescent="0.35">
      <c r="A1078" s="1" t="s">
        <v>2350</v>
      </c>
      <c r="B1078" s="1" t="s">
        <v>2475</v>
      </c>
      <c r="C1078" s="1" t="s">
        <v>2507</v>
      </c>
      <c r="D1078" s="1" t="str">
        <f>"8405"</f>
        <v>8405</v>
      </c>
      <c r="E1078" s="1" t="str">
        <f>"015472555"</f>
        <v>015472555</v>
      </c>
      <c r="F1078" s="1" t="s">
        <v>615</v>
      </c>
      <c r="G1078" s="1" t="s">
        <v>16</v>
      </c>
      <c r="H1078" s="1" t="str">
        <f>"36"</f>
        <v>36</v>
      </c>
      <c r="I1078" s="2">
        <v>63.02</v>
      </c>
      <c r="J1078" s="3">
        <v>46170</v>
      </c>
      <c r="K1078" s="1" t="s">
        <v>2505</v>
      </c>
    </row>
    <row r="1079" spans="1:11" x14ac:dyDescent="0.35">
      <c r="A1079" s="1" t="s">
        <v>2350</v>
      </c>
      <c r="B1079" s="1" t="s">
        <v>2475</v>
      </c>
      <c r="C1079" s="1" t="s">
        <v>2508</v>
      </c>
      <c r="D1079" s="1" t="str">
        <f>"8405"</f>
        <v>8405</v>
      </c>
      <c r="E1079" s="1" t="str">
        <f>"015472559"</f>
        <v>015472559</v>
      </c>
      <c r="F1079" s="1" t="s">
        <v>1200</v>
      </c>
      <c r="G1079" s="1" t="s">
        <v>16</v>
      </c>
      <c r="H1079" s="1" t="str">
        <f>"20"</f>
        <v>20</v>
      </c>
      <c r="I1079" s="2">
        <v>38.4</v>
      </c>
      <c r="J1079" s="3">
        <v>46170</v>
      </c>
      <c r="K1079" s="1" t="s">
        <v>2505</v>
      </c>
    </row>
    <row r="1080" spans="1:11" x14ac:dyDescent="0.35">
      <c r="A1080" s="1" t="s">
        <v>2350</v>
      </c>
      <c r="B1080" s="1" t="s">
        <v>2475</v>
      </c>
      <c r="C1080" s="1" t="s">
        <v>2509</v>
      </c>
      <c r="D1080" s="1" t="str">
        <f>"8465"</f>
        <v>8465</v>
      </c>
      <c r="E1080" s="1" t="str">
        <f>"013936515"</f>
        <v>013936515</v>
      </c>
      <c r="F1080" s="1" t="s">
        <v>1095</v>
      </c>
      <c r="G1080" s="1" t="s">
        <v>16</v>
      </c>
      <c r="H1080" s="1" t="str">
        <f>"65"</f>
        <v>65</v>
      </c>
      <c r="I1080" s="2">
        <v>68.81</v>
      </c>
      <c r="J1080" s="3">
        <v>46170</v>
      </c>
      <c r="K1080" s="1" t="s">
        <v>2510</v>
      </c>
    </row>
    <row r="1081" spans="1:11" x14ac:dyDescent="0.35">
      <c r="A1081" s="1" t="s">
        <v>2350</v>
      </c>
      <c r="B1081" s="1" t="s">
        <v>2475</v>
      </c>
      <c r="C1081" s="1" t="s">
        <v>2514</v>
      </c>
      <c r="D1081" s="1" t="str">
        <f>"8465"</f>
        <v>8465</v>
      </c>
      <c r="E1081" s="1" t="str">
        <f>"015472706"</f>
        <v>015472706</v>
      </c>
      <c r="F1081" s="1" t="s">
        <v>644</v>
      </c>
      <c r="G1081" s="1" t="s">
        <v>16</v>
      </c>
      <c r="H1081" s="1" t="str">
        <f>"80"</f>
        <v>80</v>
      </c>
      <c r="I1081" s="2">
        <v>68.84</v>
      </c>
      <c r="J1081" s="3">
        <v>46170</v>
      </c>
      <c r="K1081" s="1" t="s">
        <v>2510</v>
      </c>
    </row>
    <row r="1082" spans="1:11" x14ac:dyDescent="0.35">
      <c r="A1082" s="1" t="s">
        <v>2350</v>
      </c>
      <c r="B1082" s="1" t="s">
        <v>2475</v>
      </c>
      <c r="C1082" s="1" t="s">
        <v>2515</v>
      </c>
      <c r="D1082" s="1" t="str">
        <f>"8465"</f>
        <v>8465</v>
      </c>
      <c r="E1082" s="1" t="str">
        <f>"015247240"</f>
        <v>015247240</v>
      </c>
      <c r="F1082" s="1" t="s">
        <v>2516</v>
      </c>
      <c r="G1082" s="1" t="s">
        <v>16</v>
      </c>
      <c r="H1082" s="1" t="str">
        <f>"138"</f>
        <v>138</v>
      </c>
      <c r="I1082" s="2">
        <v>47.37</v>
      </c>
      <c r="J1082" s="3">
        <v>46170</v>
      </c>
      <c r="K1082" s="1" t="s">
        <v>2517</v>
      </c>
    </row>
    <row r="1083" spans="1:11" x14ac:dyDescent="0.35">
      <c r="A1083" s="1" t="s">
        <v>2350</v>
      </c>
      <c r="B1083" s="1" t="s">
        <v>2475</v>
      </c>
      <c r="C1083" s="1" t="s">
        <v>2518</v>
      </c>
      <c r="D1083" s="1" t="str">
        <f>"8465"</f>
        <v>8465</v>
      </c>
      <c r="E1083" s="1" t="str">
        <f>"016046541"</f>
        <v>016046541</v>
      </c>
      <c r="F1083" s="1" t="s">
        <v>660</v>
      </c>
      <c r="G1083" s="1" t="s">
        <v>16</v>
      </c>
      <c r="H1083" s="1" t="str">
        <f>"55"</f>
        <v>55</v>
      </c>
      <c r="I1083" s="2">
        <v>40.270000000000003</v>
      </c>
      <c r="J1083" s="3">
        <v>46170</v>
      </c>
      <c r="K1083" s="1" t="s">
        <v>2519</v>
      </c>
    </row>
    <row r="1084" spans="1:11" x14ac:dyDescent="0.35">
      <c r="A1084" s="1" t="s">
        <v>2350</v>
      </c>
      <c r="B1084" s="1" t="s">
        <v>2543</v>
      </c>
      <c r="C1084" s="1" t="s">
        <v>2547</v>
      </c>
      <c r="D1084" s="1" t="str">
        <f>"2340"</f>
        <v>2340</v>
      </c>
      <c r="E1084" s="1" t="s">
        <v>2548</v>
      </c>
      <c r="F1084" s="1" t="s">
        <v>2549</v>
      </c>
      <c r="G1084" s="1" t="s">
        <v>16</v>
      </c>
      <c r="H1084" s="1" t="str">
        <f>"1"</f>
        <v>1</v>
      </c>
      <c r="I1084" s="2" t="str">
        <f>"8799"</f>
        <v>8799</v>
      </c>
      <c r="J1084" s="3">
        <v>46170</v>
      </c>
      <c r="K1084" s="1" t="s">
        <v>2550</v>
      </c>
    </row>
    <row r="1085" spans="1:11" x14ac:dyDescent="0.35">
      <c r="A1085" s="1" t="s">
        <v>2350</v>
      </c>
      <c r="B1085" s="1" t="s">
        <v>2543</v>
      </c>
      <c r="C1085" s="1" t="s">
        <v>2555</v>
      </c>
      <c r="D1085" s="1" t="str">
        <f>"4940"</f>
        <v>4940</v>
      </c>
      <c r="E1085" s="1" t="str">
        <f>"015998421"</f>
        <v>015998421</v>
      </c>
      <c r="F1085" s="1" t="s">
        <v>1312</v>
      </c>
      <c r="G1085" s="1" t="s">
        <v>16</v>
      </c>
      <c r="H1085" s="1" t="str">
        <f>"1"</f>
        <v>1</v>
      </c>
      <c r="I1085" s="2" t="str">
        <f>"16000"</f>
        <v>16000</v>
      </c>
      <c r="J1085" s="3">
        <v>46170</v>
      </c>
      <c r="K1085" s="1" t="s">
        <v>2556</v>
      </c>
    </row>
    <row r="1086" spans="1:11" x14ac:dyDescent="0.35">
      <c r="A1086" s="1" t="s">
        <v>2350</v>
      </c>
      <c r="B1086" s="1" t="s">
        <v>2601</v>
      </c>
      <c r="C1086" s="1" t="s">
        <v>2608</v>
      </c>
      <c r="D1086" s="1" t="str">
        <f>"5830"</f>
        <v>5830</v>
      </c>
      <c r="E1086" s="1" t="str">
        <f>"016708863"</f>
        <v>016708863</v>
      </c>
      <c r="F1086" s="1" t="s">
        <v>1767</v>
      </c>
      <c r="G1086" s="1" t="s">
        <v>16</v>
      </c>
      <c r="H1086" s="1" t="str">
        <f>"2"</f>
        <v>2</v>
      </c>
      <c r="I1086" s="2" t="str">
        <f>"27775"</f>
        <v>27775</v>
      </c>
      <c r="J1086" s="3">
        <v>46171</v>
      </c>
      <c r="K1086" s="1" t="s">
        <v>2609</v>
      </c>
    </row>
    <row r="1087" spans="1:11" x14ac:dyDescent="0.35">
      <c r="A1087" s="1" t="s">
        <v>2350</v>
      </c>
      <c r="B1087" s="1" t="s">
        <v>2570</v>
      </c>
      <c r="C1087" s="1" t="s">
        <v>2575</v>
      </c>
      <c r="D1087" s="1" t="str">
        <f>"4110"</f>
        <v>4110</v>
      </c>
      <c r="E1087" s="1" t="str">
        <f>"012666187"</f>
        <v>012666187</v>
      </c>
      <c r="F1087" s="1" t="s">
        <v>2576</v>
      </c>
      <c r="G1087" s="1" t="s">
        <v>16</v>
      </c>
      <c r="H1087" s="1" t="str">
        <f>"1"</f>
        <v>1</v>
      </c>
      <c r="I1087" s="2">
        <v>1936.15</v>
      </c>
      <c r="J1087" s="3">
        <v>46174</v>
      </c>
      <c r="K1087" s="1" t="s">
        <v>2577</v>
      </c>
    </row>
    <row r="1088" spans="1:11" x14ac:dyDescent="0.35">
      <c r="A1088" s="1" t="s">
        <v>2350</v>
      </c>
      <c r="B1088" s="1" t="s">
        <v>2570</v>
      </c>
      <c r="C1088" s="1" t="s">
        <v>2580</v>
      </c>
      <c r="D1088" s="1" t="str">
        <f>"6720"</f>
        <v>6720</v>
      </c>
      <c r="E1088" s="1" t="s">
        <v>2250</v>
      </c>
      <c r="F1088" s="1" t="s">
        <v>2251</v>
      </c>
      <c r="G1088" s="1" t="s">
        <v>16</v>
      </c>
      <c r="H1088" s="1" t="str">
        <f>"1"</f>
        <v>1</v>
      </c>
      <c r="I1088" s="2" t="str">
        <f>"3000"</f>
        <v>3000</v>
      </c>
      <c r="J1088" s="3">
        <v>46174</v>
      </c>
      <c r="K1088" s="1" t="s">
        <v>2581</v>
      </c>
    </row>
    <row r="1089" spans="1:11" x14ac:dyDescent="0.35">
      <c r="A1089" s="1" t="s">
        <v>2350</v>
      </c>
      <c r="B1089" s="1" t="s">
        <v>2570</v>
      </c>
      <c r="C1089" s="1" t="s">
        <v>2585</v>
      </c>
      <c r="D1089" s="1" t="str">
        <f>"7530"</f>
        <v>7530</v>
      </c>
      <c r="E1089" s="1" t="str">
        <f>"000431194"</f>
        <v>000431194</v>
      </c>
      <c r="F1089" s="1" t="s">
        <v>2586</v>
      </c>
      <c r="G1089" s="1" t="s">
        <v>2587</v>
      </c>
      <c r="H1089" s="1" t="str">
        <f>"3"</f>
        <v>3</v>
      </c>
      <c r="I1089" s="2" t="str">
        <f>"121"</f>
        <v>121</v>
      </c>
      <c r="J1089" s="3">
        <v>46174</v>
      </c>
      <c r="K1089" s="1" t="s">
        <v>2588</v>
      </c>
    </row>
    <row r="1090" spans="1:11" x14ac:dyDescent="0.35">
      <c r="A1090" s="1" t="s">
        <v>2350</v>
      </c>
      <c r="B1090" s="1" t="s">
        <v>2354</v>
      </c>
      <c r="C1090" s="1" t="s">
        <v>2374</v>
      </c>
      <c r="D1090" s="1" t="str">
        <f>"6545"</f>
        <v>6545</v>
      </c>
      <c r="E1090" s="1" t="str">
        <f>"015300929"</f>
        <v>015300929</v>
      </c>
      <c r="F1090" s="1" t="s">
        <v>236</v>
      </c>
      <c r="G1090" s="1" t="s">
        <v>215</v>
      </c>
      <c r="H1090" s="1" t="str">
        <f>"35"</f>
        <v>35</v>
      </c>
      <c r="I1090" s="2">
        <v>48.71</v>
      </c>
      <c r="J1090" s="3">
        <v>46177</v>
      </c>
      <c r="K1090" s="1" t="s">
        <v>2375</v>
      </c>
    </row>
    <row r="1091" spans="1:11" x14ac:dyDescent="0.35">
      <c r="A1091" s="1" t="s">
        <v>2350</v>
      </c>
      <c r="B1091" s="1" t="s">
        <v>2354</v>
      </c>
      <c r="C1091" s="1" t="s">
        <v>2376</v>
      </c>
      <c r="D1091" s="1" t="str">
        <f>"6710"</f>
        <v>6710</v>
      </c>
      <c r="E1091" s="1" t="s">
        <v>1636</v>
      </c>
      <c r="F1091" s="1" t="s">
        <v>1637</v>
      </c>
      <c r="G1091" s="1" t="s">
        <v>16</v>
      </c>
      <c r="H1091" s="1" t="str">
        <f>"1"</f>
        <v>1</v>
      </c>
      <c r="I1091" s="2" t="str">
        <f>"70200"</f>
        <v>70200</v>
      </c>
      <c r="J1091" s="3">
        <v>46177</v>
      </c>
      <c r="K1091" s="1" t="s">
        <v>2377</v>
      </c>
    </row>
    <row r="1092" spans="1:11" x14ac:dyDescent="0.35">
      <c r="A1092" s="1" t="s">
        <v>2350</v>
      </c>
      <c r="B1092" s="1" t="s">
        <v>2354</v>
      </c>
      <c r="C1092" s="1" t="s">
        <v>2378</v>
      </c>
      <c r="D1092" s="1" t="str">
        <f>"8405"</f>
        <v>8405</v>
      </c>
      <c r="E1092" s="1" t="str">
        <f>"015430392"</f>
        <v>015430392</v>
      </c>
      <c r="F1092" s="1" t="s">
        <v>2379</v>
      </c>
      <c r="G1092" s="1" t="s">
        <v>16</v>
      </c>
      <c r="H1092" s="1" t="str">
        <f>"11"</f>
        <v>11</v>
      </c>
      <c r="I1092" s="2">
        <v>144.38</v>
      </c>
      <c r="J1092" s="3">
        <v>46177</v>
      </c>
      <c r="K1092" s="1" t="s">
        <v>2380</v>
      </c>
    </row>
    <row r="1093" spans="1:11" x14ac:dyDescent="0.35">
      <c r="A1093" s="1" t="s">
        <v>2350</v>
      </c>
      <c r="B1093" s="1" t="s">
        <v>2354</v>
      </c>
      <c r="C1093" s="1" t="s">
        <v>2381</v>
      </c>
      <c r="D1093" s="1" t="str">
        <f>"8405"</f>
        <v>8405</v>
      </c>
      <c r="E1093" s="1" t="str">
        <f>"015437044"</f>
        <v>015437044</v>
      </c>
      <c r="F1093" s="1" t="s">
        <v>2382</v>
      </c>
      <c r="G1093" s="1" t="s">
        <v>16</v>
      </c>
      <c r="H1093" s="1" t="str">
        <f>"6"</f>
        <v>6</v>
      </c>
      <c r="I1093" s="2">
        <v>65.28</v>
      </c>
      <c r="J1093" s="3">
        <v>46177</v>
      </c>
      <c r="K1093" s="1" t="s">
        <v>2380</v>
      </c>
    </row>
    <row r="1094" spans="1:11" x14ac:dyDescent="0.35">
      <c r="A1094" s="1" t="s">
        <v>2350</v>
      </c>
      <c r="B1094" s="1" t="s">
        <v>2354</v>
      </c>
      <c r="C1094" s="1" t="s">
        <v>2383</v>
      </c>
      <c r="D1094" s="1" t="str">
        <f>"8405"</f>
        <v>8405</v>
      </c>
      <c r="E1094" s="1" t="str">
        <f>"015430384"</f>
        <v>015430384</v>
      </c>
      <c r="F1094" s="1" t="s">
        <v>2379</v>
      </c>
      <c r="G1094" s="1" t="s">
        <v>16</v>
      </c>
      <c r="H1094" s="1" t="str">
        <f>"51"</f>
        <v>51</v>
      </c>
      <c r="I1094" s="2">
        <v>144.38</v>
      </c>
      <c r="J1094" s="3">
        <v>46177</v>
      </c>
      <c r="K1094" s="1" t="s">
        <v>2384</v>
      </c>
    </row>
    <row r="1095" spans="1:11" x14ac:dyDescent="0.35">
      <c r="A1095" s="1" t="s">
        <v>2350</v>
      </c>
      <c r="B1095" s="1" t="s">
        <v>2354</v>
      </c>
      <c r="C1095" s="1" t="s">
        <v>2385</v>
      </c>
      <c r="D1095" s="1" t="str">
        <f>"8415"</f>
        <v>8415</v>
      </c>
      <c r="E1095" s="1" t="str">
        <f>"015435040"</f>
        <v>015435040</v>
      </c>
      <c r="F1095" s="1" t="s">
        <v>2386</v>
      </c>
      <c r="G1095" s="1" t="s">
        <v>16</v>
      </c>
      <c r="H1095" s="1" t="str">
        <f>"41"</f>
        <v>41</v>
      </c>
      <c r="I1095" s="2">
        <v>94.15</v>
      </c>
      <c r="J1095" s="3">
        <v>46177</v>
      </c>
      <c r="K1095" s="1" t="s">
        <v>2387</v>
      </c>
    </row>
    <row r="1096" spans="1:11" x14ac:dyDescent="0.35">
      <c r="A1096" s="1" t="s">
        <v>2350</v>
      </c>
      <c r="B1096" s="1" t="s">
        <v>2354</v>
      </c>
      <c r="C1096" s="1" t="s">
        <v>2388</v>
      </c>
      <c r="D1096" s="1" t="str">
        <f>"8415"</f>
        <v>8415</v>
      </c>
      <c r="E1096" s="1" t="str">
        <f>"015430428"</f>
        <v>015430428</v>
      </c>
      <c r="F1096" s="1" t="s">
        <v>2389</v>
      </c>
      <c r="G1096" s="1" t="s">
        <v>16</v>
      </c>
      <c r="H1096" s="1" t="str">
        <f>"22"</f>
        <v>22</v>
      </c>
      <c r="I1096" s="2">
        <v>126.63</v>
      </c>
      <c r="J1096" s="3">
        <v>46177</v>
      </c>
      <c r="K1096" s="1" t="s">
        <v>2390</v>
      </c>
    </row>
    <row r="1097" spans="1:11" x14ac:dyDescent="0.35">
      <c r="A1097" s="1" t="s">
        <v>2350</v>
      </c>
      <c r="B1097" s="1" t="s">
        <v>2354</v>
      </c>
      <c r="C1097" s="1" t="s">
        <v>2391</v>
      </c>
      <c r="D1097" s="1" t="str">
        <f>"8415"</f>
        <v>8415</v>
      </c>
      <c r="E1097" s="1" t="str">
        <f>"015430424"</f>
        <v>015430424</v>
      </c>
      <c r="F1097" s="1" t="s">
        <v>2389</v>
      </c>
      <c r="G1097" s="1" t="s">
        <v>16</v>
      </c>
      <c r="H1097" s="1" t="str">
        <f>"2"</f>
        <v>2</v>
      </c>
      <c r="I1097" s="2">
        <v>126.63</v>
      </c>
      <c r="J1097" s="3">
        <v>46177</v>
      </c>
      <c r="K1097" s="1" t="s">
        <v>2392</v>
      </c>
    </row>
    <row r="1098" spans="1:11" x14ac:dyDescent="0.35">
      <c r="A1098" s="1" t="s">
        <v>2350</v>
      </c>
      <c r="B1098" s="1" t="s">
        <v>2354</v>
      </c>
      <c r="C1098" s="1" t="s">
        <v>2393</v>
      </c>
      <c r="D1098" s="1" t="str">
        <f>"8415"</f>
        <v>8415</v>
      </c>
      <c r="E1098" s="1" t="str">
        <f>"015435030"</f>
        <v>015435030</v>
      </c>
      <c r="F1098" s="1" t="s">
        <v>2386</v>
      </c>
      <c r="G1098" s="1" t="s">
        <v>16</v>
      </c>
      <c r="H1098" s="1" t="str">
        <f>"19"</f>
        <v>19</v>
      </c>
      <c r="I1098" s="2">
        <v>94.15</v>
      </c>
      <c r="J1098" s="3">
        <v>46177</v>
      </c>
      <c r="K1098" s="1" t="s">
        <v>2394</v>
      </c>
    </row>
    <row r="1099" spans="1:11" x14ac:dyDescent="0.35">
      <c r="A1099" s="1" t="s">
        <v>2350</v>
      </c>
      <c r="B1099" s="1" t="s">
        <v>2354</v>
      </c>
      <c r="C1099" s="1" t="s">
        <v>2395</v>
      </c>
      <c r="D1099" s="1" t="str">
        <f>"8415"</f>
        <v>8415</v>
      </c>
      <c r="E1099" s="1" t="str">
        <f>"015430428"</f>
        <v>015430428</v>
      </c>
      <c r="F1099" s="1" t="s">
        <v>2389</v>
      </c>
      <c r="G1099" s="1" t="s">
        <v>16</v>
      </c>
      <c r="H1099" s="1" t="str">
        <f>"13"</f>
        <v>13</v>
      </c>
      <c r="I1099" s="2">
        <v>126.63</v>
      </c>
      <c r="J1099" s="3">
        <v>46177</v>
      </c>
      <c r="K1099" s="1" t="s">
        <v>2392</v>
      </c>
    </row>
    <row r="1100" spans="1:11" x14ac:dyDescent="0.35">
      <c r="A1100" s="1" t="s">
        <v>2350</v>
      </c>
      <c r="B1100" s="1" t="s">
        <v>2354</v>
      </c>
      <c r="C1100" s="1" t="s">
        <v>2396</v>
      </c>
      <c r="D1100" s="1" t="str">
        <f>"8415"</f>
        <v>8415</v>
      </c>
      <c r="E1100" s="1" t="str">
        <f>"015437090"</f>
        <v>015437090</v>
      </c>
      <c r="F1100" s="1" t="s">
        <v>2167</v>
      </c>
      <c r="G1100" s="1" t="s">
        <v>16</v>
      </c>
      <c r="H1100" s="1" t="str">
        <f>"10"</f>
        <v>10</v>
      </c>
      <c r="I1100" s="2">
        <v>72.94</v>
      </c>
      <c r="J1100" s="3">
        <v>46177</v>
      </c>
      <c r="K1100" s="1" t="s">
        <v>2397</v>
      </c>
    </row>
    <row r="1101" spans="1:11" x14ac:dyDescent="0.35">
      <c r="A1101" s="1" t="s">
        <v>2350</v>
      </c>
      <c r="B1101" s="1" t="s">
        <v>2354</v>
      </c>
      <c r="C1101" s="1" t="s">
        <v>2398</v>
      </c>
      <c r="D1101" s="1" t="str">
        <f>"8415"</f>
        <v>8415</v>
      </c>
      <c r="E1101" s="1" t="str">
        <f>"015437104"</f>
        <v>015437104</v>
      </c>
      <c r="F1101" s="1" t="s">
        <v>2167</v>
      </c>
      <c r="G1101" s="1" t="s">
        <v>16</v>
      </c>
      <c r="H1101" s="1" t="str">
        <f>"36"</f>
        <v>36</v>
      </c>
      <c r="I1101" s="2">
        <v>72.94</v>
      </c>
      <c r="J1101" s="3">
        <v>46177</v>
      </c>
      <c r="K1101" s="1" t="s">
        <v>2399</v>
      </c>
    </row>
    <row r="1102" spans="1:11" x14ac:dyDescent="0.35">
      <c r="A1102" s="1" t="s">
        <v>2350</v>
      </c>
      <c r="B1102" s="1" t="s">
        <v>2354</v>
      </c>
      <c r="C1102" s="1" t="s">
        <v>2400</v>
      </c>
      <c r="D1102" s="1" t="str">
        <f>"8415"</f>
        <v>8415</v>
      </c>
      <c r="E1102" s="1" t="str">
        <f>"015430431"</f>
        <v>015430431</v>
      </c>
      <c r="F1102" s="1" t="s">
        <v>2389</v>
      </c>
      <c r="G1102" s="1" t="s">
        <v>16</v>
      </c>
      <c r="H1102" s="1" t="str">
        <f>"4"</f>
        <v>4</v>
      </c>
      <c r="I1102" s="2">
        <v>126.63</v>
      </c>
      <c r="J1102" s="3">
        <v>46177</v>
      </c>
      <c r="K1102" s="1" t="s">
        <v>2401</v>
      </c>
    </row>
    <row r="1103" spans="1:11" x14ac:dyDescent="0.35">
      <c r="A1103" s="1" t="s">
        <v>2350</v>
      </c>
      <c r="B1103" s="1" t="s">
        <v>2354</v>
      </c>
      <c r="C1103" s="1" t="s">
        <v>2402</v>
      </c>
      <c r="D1103" s="1" t="str">
        <f>"8415"</f>
        <v>8415</v>
      </c>
      <c r="E1103" s="1" t="str">
        <f>"015437004"</f>
        <v>015437004</v>
      </c>
      <c r="F1103" s="1" t="s">
        <v>2403</v>
      </c>
      <c r="G1103" s="1" t="s">
        <v>16</v>
      </c>
      <c r="H1103" s="1" t="str">
        <f>"6"</f>
        <v>6</v>
      </c>
      <c r="I1103" s="2">
        <v>108.14</v>
      </c>
      <c r="J1103" s="3">
        <v>46177</v>
      </c>
      <c r="K1103" s="1" t="s">
        <v>2397</v>
      </c>
    </row>
    <row r="1104" spans="1:11" x14ac:dyDescent="0.35">
      <c r="A1104" s="1" t="s">
        <v>2350</v>
      </c>
      <c r="B1104" s="1" t="s">
        <v>2354</v>
      </c>
      <c r="C1104" s="1" t="s">
        <v>2404</v>
      </c>
      <c r="D1104" s="1" t="str">
        <f>"8415"</f>
        <v>8415</v>
      </c>
      <c r="E1104" s="1" t="str">
        <f>"015437104"</f>
        <v>015437104</v>
      </c>
      <c r="F1104" s="1" t="s">
        <v>2167</v>
      </c>
      <c r="G1104" s="1" t="s">
        <v>16</v>
      </c>
      <c r="H1104" s="1" t="str">
        <f>"9"</f>
        <v>9</v>
      </c>
      <c r="I1104" s="2">
        <v>72.94</v>
      </c>
      <c r="J1104" s="3">
        <v>46177</v>
      </c>
      <c r="K1104" s="1" t="s">
        <v>2405</v>
      </c>
    </row>
    <row r="1105" spans="1:11" x14ac:dyDescent="0.35">
      <c r="A1105" s="1" t="s">
        <v>2350</v>
      </c>
      <c r="B1105" s="1" t="s">
        <v>2354</v>
      </c>
      <c r="C1105" s="1" t="s">
        <v>2406</v>
      </c>
      <c r="D1105" s="1" t="str">
        <f>"8415"</f>
        <v>8415</v>
      </c>
      <c r="E1105" s="1" t="str">
        <f>"015430416"</f>
        <v>015430416</v>
      </c>
      <c r="F1105" s="1" t="s">
        <v>2403</v>
      </c>
      <c r="G1105" s="1" t="s">
        <v>16</v>
      </c>
      <c r="H1105" s="1" t="str">
        <f>"14"</f>
        <v>14</v>
      </c>
      <c r="I1105" s="2">
        <v>108.14</v>
      </c>
      <c r="J1105" s="3">
        <v>46177</v>
      </c>
      <c r="K1105" s="1" t="s">
        <v>2397</v>
      </c>
    </row>
    <row r="1106" spans="1:11" x14ac:dyDescent="0.35">
      <c r="A1106" s="1" t="s">
        <v>2350</v>
      </c>
      <c r="B1106" s="1" t="s">
        <v>2354</v>
      </c>
      <c r="C1106" s="1" t="s">
        <v>2412</v>
      </c>
      <c r="D1106" s="1" t="str">
        <f>"8465"</f>
        <v>8465</v>
      </c>
      <c r="E1106" s="1" t="str">
        <f>"016007830"</f>
        <v>016007830</v>
      </c>
      <c r="F1106" s="1" t="s">
        <v>259</v>
      </c>
      <c r="G1106" s="1" t="s">
        <v>16</v>
      </c>
      <c r="H1106" s="1" t="str">
        <f>"8"</f>
        <v>8</v>
      </c>
      <c r="I1106" s="2">
        <v>123.43</v>
      </c>
      <c r="J1106" s="3">
        <v>46177</v>
      </c>
      <c r="K1106" s="1" t="s">
        <v>2413</v>
      </c>
    </row>
    <row r="1107" spans="1:11" x14ac:dyDescent="0.35">
      <c r="A1107" s="1" t="s">
        <v>2350</v>
      </c>
      <c r="B1107" s="1" t="s">
        <v>2354</v>
      </c>
      <c r="C1107" s="1" t="s">
        <v>2416</v>
      </c>
      <c r="D1107" s="1" t="str">
        <f>"8465"</f>
        <v>8465</v>
      </c>
      <c r="E1107" s="1" t="str">
        <f>"016200920"</f>
        <v>016200920</v>
      </c>
      <c r="F1107" s="1" t="s">
        <v>2417</v>
      </c>
      <c r="G1107" s="1" t="s">
        <v>16</v>
      </c>
      <c r="H1107" s="1" t="str">
        <f>"3"</f>
        <v>3</v>
      </c>
      <c r="I1107" s="2">
        <v>383.23</v>
      </c>
      <c r="J1107" s="3">
        <v>46177</v>
      </c>
      <c r="K1107" s="1" t="s">
        <v>2418</v>
      </c>
    </row>
    <row r="1108" spans="1:11" x14ac:dyDescent="0.35">
      <c r="A1108" s="1" t="s">
        <v>2350</v>
      </c>
      <c r="B1108" s="1" t="s">
        <v>2419</v>
      </c>
      <c r="C1108" s="1" t="s">
        <v>2433</v>
      </c>
      <c r="D1108" s="1" t="str">
        <f>"6515"</f>
        <v>6515</v>
      </c>
      <c r="E1108" s="1" t="s">
        <v>2434</v>
      </c>
      <c r="F1108" s="1" t="s">
        <v>2435</v>
      </c>
      <c r="G1108" s="1" t="s">
        <v>16</v>
      </c>
      <c r="H1108" s="1" t="str">
        <f>"2"</f>
        <v>2</v>
      </c>
      <c r="I1108" s="2" t="str">
        <f>"6600"</f>
        <v>6600</v>
      </c>
      <c r="J1108" s="3">
        <v>46177</v>
      </c>
      <c r="K1108" s="1" t="s">
        <v>2436</v>
      </c>
    </row>
    <row r="1109" spans="1:11" x14ac:dyDescent="0.35">
      <c r="A1109" s="1" t="s">
        <v>2350</v>
      </c>
      <c r="B1109" s="1" t="s">
        <v>2419</v>
      </c>
      <c r="C1109" s="1" t="s">
        <v>2437</v>
      </c>
      <c r="D1109" s="1" t="str">
        <f>"6545"</f>
        <v>6545</v>
      </c>
      <c r="E1109" s="1" t="str">
        <f>"015300929"</f>
        <v>015300929</v>
      </c>
      <c r="F1109" s="1" t="s">
        <v>236</v>
      </c>
      <c r="G1109" s="1" t="s">
        <v>215</v>
      </c>
      <c r="H1109" s="1" t="str">
        <f>"17"</f>
        <v>17</v>
      </c>
      <c r="I1109" s="2">
        <v>48.71</v>
      </c>
      <c r="J1109" s="3">
        <v>46177</v>
      </c>
      <c r="K1109" s="1" t="s">
        <v>2438</v>
      </c>
    </row>
    <row r="1110" spans="1:11" x14ac:dyDescent="0.35">
      <c r="A1110" s="1" t="s">
        <v>2350</v>
      </c>
      <c r="B1110" s="1" t="s">
        <v>2601</v>
      </c>
      <c r="C1110" s="1" t="s">
        <v>2610</v>
      </c>
      <c r="D1110" s="1" t="str">
        <f>"6720"</f>
        <v>6720</v>
      </c>
      <c r="E1110" s="1" t="str">
        <f>"015908228"</f>
        <v>015908228</v>
      </c>
      <c r="F1110" s="1" t="s">
        <v>2611</v>
      </c>
      <c r="G1110" s="1" t="s">
        <v>16</v>
      </c>
      <c r="H1110" s="1" t="str">
        <f>"1"</f>
        <v>1</v>
      </c>
      <c r="I1110" s="2" t="str">
        <f>"1699"</f>
        <v>1699</v>
      </c>
      <c r="J1110" s="3">
        <v>46177</v>
      </c>
      <c r="K1110" s="1" t="s">
        <v>2612</v>
      </c>
    </row>
    <row r="1111" spans="1:11" x14ac:dyDescent="0.35">
      <c r="A1111" s="1" t="s">
        <v>2350</v>
      </c>
      <c r="B1111" s="1" t="s">
        <v>2601</v>
      </c>
      <c r="C1111" s="1" t="s">
        <v>2625</v>
      </c>
      <c r="D1111" s="1" t="str">
        <f>"6910"</f>
        <v>6910</v>
      </c>
      <c r="E1111" s="1" t="s">
        <v>1124</v>
      </c>
      <c r="F1111" s="1" t="s">
        <v>1125</v>
      </c>
      <c r="G1111" s="1" t="s">
        <v>16</v>
      </c>
      <c r="H1111" s="1" t="str">
        <f>"2"</f>
        <v>2</v>
      </c>
      <c r="I1111" s="2" t="str">
        <f>"6080"</f>
        <v>6080</v>
      </c>
      <c r="J1111" s="3">
        <v>46177</v>
      </c>
      <c r="K1111" s="1" t="s">
        <v>2626</v>
      </c>
    </row>
    <row r="1112" spans="1:11" x14ac:dyDescent="0.35">
      <c r="A1112" s="1" t="s">
        <v>2350</v>
      </c>
      <c r="B1112" s="1" t="s">
        <v>2442</v>
      </c>
      <c r="C1112" s="1" t="s">
        <v>2447</v>
      </c>
      <c r="D1112" s="1" t="str">
        <f>"6760"</f>
        <v>6760</v>
      </c>
      <c r="E1112" s="1" t="s">
        <v>2448</v>
      </c>
      <c r="F1112" s="1" t="s">
        <v>2449</v>
      </c>
      <c r="G1112" s="1" t="s">
        <v>16</v>
      </c>
      <c r="H1112" s="1" t="str">
        <f>"1"</f>
        <v>1</v>
      </c>
      <c r="I1112" s="2">
        <v>539.88</v>
      </c>
      <c r="J1112" s="3">
        <v>46178</v>
      </c>
      <c r="K1112" s="1" t="s">
        <v>2450</v>
      </c>
    </row>
    <row r="1113" spans="1:11" x14ac:dyDescent="0.35">
      <c r="A1113" s="1" t="s">
        <v>2350</v>
      </c>
      <c r="B1113" s="1" t="s">
        <v>2442</v>
      </c>
      <c r="C1113" s="1" t="s">
        <v>2451</v>
      </c>
      <c r="D1113" s="1" t="str">
        <f>"6760"</f>
        <v>6760</v>
      </c>
      <c r="E1113" s="1" t="s">
        <v>2448</v>
      </c>
      <c r="F1113" s="1" t="s">
        <v>2449</v>
      </c>
      <c r="G1113" s="1" t="s">
        <v>16</v>
      </c>
      <c r="H1113" s="1" t="str">
        <f>"1"</f>
        <v>1</v>
      </c>
      <c r="I1113" s="2">
        <v>124.95</v>
      </c>
      <c r="J1113" s="3">
        <v>46178</v>
      </c>
      <c r="K1113" s="1" t="s">
        <v>2452</v>
      </c>
    </row>
    <row r="1114" spans="1:11" x14ac:dyDescent="0.35">
      <c r="A1114" s="1" t="s">
        <v>2350</v>
      </c>
      <c r="B1114" s="1" t="s">
        <v>2627</v>
      </c>
      <c r="C1114" s="1" t="s">
        <v>2628</v>
      </c>
      <c r="D1114" s="1" t="str">
        <f>"2330"</f>
        <v>2330</v>
      </c>
      <c r="E1114" s="1" t="s">
        <v>70</v>
      </c>
      <c r="F1114" s="1" t="s">
        <v>71</v>
      </c>
      <c r="G1114" s="1" t="s">
        <v>16</v>
      </c>
      <c r="H1114" s="1" t="str">
        <f>"1"</f>
        <v>1</v>
      </c>
      <c r="I1114" s="2" t="str">
        <f>"5000"</f>
        <v>5000</v>
      </c>
      <c r="J1114" s="3">
        <v>46178</v>
      </c>
      <c r="K1114" s="1" t="s">
        <v>5165</v>
      </c>
    </row>
    <row r="1115" spans="1:11" x14ac:dyDescent="0.35">
      <c r="A1115" s="1" t="s">
        <v>2350</v>
      </c>
      <c r="B1115" s="1" t="s">
        <v>2646</v>
      </c>
      <c r="C1115" s="1" t="s">
        <v>2647</v>
      </c>
      <c r="D1115" s="1" t="str">
        <f>"2330"</f>
        <v>2330</v>
      </c>
      <c r="E1115" s="1" t="s">
        <v>70</v>
      </c>
      <c r="F1115" s="1" t="s">
        <v>71</v>
      </c>
      <c r="G1115" s="1" t="s">
        <v>16</v>
      </c>
      <c r="H1115" s="1" t="str">
        <f>"3"</f>
        <v>3</v>
      </c>
      <c r="I1115" s="2" t="str">
        <f>"9295"</f>
        <v>9295</v>
      </c>
      <c r="J1115" s="3">
        <v>46178</v>
      </c>
      <c r="K1115" s="1" t="s">
        <v>2648</v>
      </c>
    </row>
    <row r="1116" spans="1:11" x14ac:dyDescent="0.35">
      <c r="A1116" s="1" t="s">
        <v>2350</v>
      </c>
      <c r="B1116" s="1" t="s">
        <v>2354</v>
      </c>
      <c r="C1116" s="1" t="s">
        <v>2370</v>
      </c>
      <c r="D1116" s="1" t="str">
        <f>"6310"</f>
        <v>6310</v>
      </c>
      <c r="E1116" s="1" t="s">
        <v>2371</v>
      </c>
      <c r="F1116" s="1" t="s">
        <v>2372</v>
      </c>
      <c r="G1116" s="1" t="s">
        <v>16</v>
      </c>
      <c r="H1116" s="1" t="str">
        <f>"2"</f>
        <v>2</v>
      </c>
      <c r="I1116" s="2" t="str">
        <f>"14300"</f>
        <v>14300</v>
      </c>
      <c r="J1116" s="3">
        <v>46181</v>
      </c>
      <c r="K1116" s="1" t="s">
        <v>2373</v>
      </c>
    </row>
    <row r="1117" spans="1:11" x14ac:dyDescent="0.35">
      <c r="A1117" s="1" t="s">
        <v>2350</v>
      </c>
      <c r="B1117" s="1" t="s">
        <v>2475</v>
      </c>
      <c r="C1117" s="1" t="s">
        <v>2484</v>
      </c>
      <c r="D1117" s="1" t="str">
        <f>"4240"</f>
        <v>4240</v>
      </c>
      <c r="E1117" s="1" t="str">
        <f>"016786131"</f>
        <v>016786131</v>
      </c>
      <c r="F1117" s="1" t="s">
        <v>557</v>
      </c>
      <c r="G1117" s="1" t="s">
        <v>16</v>
      </c>
      <c r="H1117" s="1" t="str">
        <f>"39"</f>
        <v>39</v>
      </c>
      <c r="I1117" s="2">
        <v>79.040000000000006</v>
      </c>
      <c r="J1117" s="3">
        <v>46181</v>
      </c>
      <c r="K1117" s="1" t="s">
        <v>2485</v>
      </c>
    </row>
    <row r="1118" spans="1:11" x14ac:dyDescent="0.35">
      <c r="A1118" s="1" t="s">
        <v>2350</v>
      </c>
      <c r="B1118" s="1" t="s">
        <v>2475</v>
      </c>
      <c r="C1118" s="1" t="s">
        <v>2486</v>
      </c>
      <c r="D1118" s="1" t="str">
        <f>"4240"</f>
        <v>4240</v>
      </c>
      <c r="E1118" s="1" t="str">
        <f>"016307259"</f>
        <v>016307259</v>
      </c>
      <c r="F1118" s="1" t="s">
        <v>557</v>
      </c>
      <c r="G1118" s="1" t="s">
        <v>16</v>
      </c>
      <c r="H1118" s="1" t="str">
        <f>"16"</f>
        <v>16</v>
      </c>
      <c r="I1118" s="2">
        <v>67.94</v>
      </c>
      <c r="J1118" s="3">
        <v>46181</v>
      </c>
      <c r="K1118" s="1" t="s">
        <v>2485</v>
      </c>
    </row>
    <row r="1119" spans="1:11" x14ac:dyDescent="0.35">
      <c r="A1119" s="1" t="s">
        <v>2350</v>
      </c>
      <c r="B1119" s="1" t="s">
        <v>2475</v>
      </c>
      <c r="C1119" s="1" t="s">
        <v>2502</v>
      </c>
      <c r="D1119" s="1" t="str">
        <f>"8145"</f>
        <v>8145</v>
      </c>
      <c r="E1119" s="1" t="str">
        <f>"014653621"</f>
        <v>014653621</v>
      </c>
      <c r="F1119" s="1" t="s">
        <v>423</v>
      </c>
      <c r="G1119" s="1" t="s">
        <v>16</v>
      </c>
      <c r="H1119" s="1" t="str">
        <f>"3"</f>
        <v>3</v>
      </c>
      <c r="I1119" s="2">
        <v>17477.91</v>
      </c>
      <c r="J1119" s="3">
        <v>46184</v>
      </c>
      <c r="K1119" s="1" t="s">
        <v>2503</v>
      </c>
    </row>
    <row r="1120" spans="1:11" x14ac:dyDescent="0.35">
      <c r="A1120" s="1" t="s">
        <v>2350</v>
      </c>
      <c r="B1120" s="1" t="s">
        <v>2561</v>
      </c>
      <c r="C1120" s="1" t="s">
        <v>2562</v>
      </c>
      <c r="D1120" s="1" t="str">
        <f>"5120"</f>
        <v>5120</v>
      </c>
      <c r="E1120" s="1" t="str">
        <f>"014000319"</f>
        <v>014000319</v>
      </c>
      <c r="F1120" s="1" t="s">
        <v>431</v>
      </c>
      <c r="G1120" s="1" t="s">
        <v>16</v>
      </c>
      <c r="H1120" s="1" t="str">
        <f>"1"</f>
        <v>1</v>
      </c>
      <c r="I1120" s="2">
        <v>725.43</v>
      </c>
      <c r="J1120" s="3">
        <v>46184</v>
      </c>
      <c r="K1120" s="1" t="s">
        <v>2563</v>
      </c>
    </row>
    <row r="1121" spans="1:11" x14ac:dyDescent="0.35">
      <c r="A1121" s="1" t="s">
        <v>2350</v>
      </c>
      <c r="B1121" s="1" t="s">
        <v>2561</v>
      </c>
      <c r="C1121" s="1" t="s">
        <v>2564</v>
      </c>
      <c r="D1121" s="1" t="str">
        <f>"5130"</f>
        <v>5130</v>
      </c>
      <c r="E1121" s="1" t="str">
        <f>"003575136"</f>
        <v>003575136</v>
      </c>
      <c r="F1121" s="1" t="s">
        <v>2565</v>
      </c>
      <c r="G1121" s="1" t="s">
        <v>458</v>
      </c>
      <c r="H1121" s="1" t="str">
        <f>"1"</f>
        <v>1</v>
      </c>
      <c r="I1121" s="2">
        <v>863.57</v>
      </c>
      <c r="J1121" s="3">
        <v>46184</v>
      </c>
      <c r="K1121" s="1" t="s">
        <v>2563</v>
      </c>
    </row>
    <row r="1122" spans="1:11" x14ac:dyDescent="0.35">
      <c r="A1122" s="1" t="s">
        <v>2350</v>
      </c>
      <c r="B1122" s="1" t="s">
        <v>2561</v>
      </c>
      <c r="C1122" s="1" t="s">
        <v>2569</v>
      </c>
      <c r="D1122" s="1" t="str">
        <f>"6115"</f>
        <v>6115</v>
      </c>
      <c r="E1122" s="1" t="str">
        <f>"016287993"</f>
        <v>016287993</v>
      </c>
      <c r="F1122" s="1" t="s">
        <v>2567</v>
      </c>
      <c r="G1122" s="1" t="s">
        <v>16</v>
      </c>
      <c r="H1122" s="1" t="str">
        <f>"1"</f>
        <v>1</v>
      </c>
      <c r="I1122" s="2">
        <v>1481.42</v>
      </c>
      <c r="J1122" s="3">
        <v>46184</v>
      </c>
      <c r="K1122" s="1" t="s">
        <v>2563</v>
      </c>
    </row>
    <row r="1123" spans="1:11" x14ac:dyDescent="0.35">
      <c r="A1123" s="1" t="s">
        <v>2350</v>
      </c>
      <c r="B1123" s="1" t="s">
        <v>2659</v>
      </c>
      <c r="C1123" s="1" t="s">
        <v>2660</v>
      </c>
      <c r="D1123" s="1" t="str">
        <f>"2360"</f>
        <v>2360</v>
      </c>
      <c r="E1123" s="1" t="str">
        <f>"015900772"</f>
        <v>015900772</v>
      </c>
      <c r="F1123" s="1" t="s">
        <v>1695</v>
      </c>
      <c r="G1123" s="1" t="s">
        <v>16</v>
      </c>
      <c r="H1123" s="1" t="str">
        <f>"3"</f>
        <v>3</v>
      </c>
      <c r="I1123" s="2" t="str">
        <f>"232404"</f>
        <v>232404</v>
      </c>
      <c r="J1123" s="3">
        <v>46184</v>
      </c>
      <c r="K1123" s="1" t="s">
        <v>2661</v>
      </c>
    </row>
    <row r="1124" spans="1:11" x14ac:dyDescent="0.35">
      <c r="A1124" s="1" t="s">
        <v>2350</v>
      </c>
      <c r="B1124" s="1" t="s">
        <v>2659</v>
      </c>
      <c r="C1124" s="1" t="s">
        <v>2662</v>
      </c>
      <c r="D1124" s="1" t="str">
        <f>"2360"</f>
        <v>2360</v>
      </c>
      <c r="E1124" s="1" t="str">
        <f>"015900772"</f>
        <v>015900772</v>
      </c>
      <c r="F1124" s="1" t="s">
        <v>1695</v>
      </c>
      <c r="G1124" s="1" t="s">
        <v>16</v>
      </c>
      <c r="H1124" s="1" t="str">
        <f>"2"</f>
        <v>2</v>
      </c>
      <c r="I1124" s="2" t="str">
        <f>"232404"</f>
        <v>232404</v>
      </c>
      <c r="J1124" s="3">
        <v>46184</v>
      </c>
      <c r="K1124" s="1" t="s">
        <v>2661</v>
      </c>
    </row>
    <row r="1125" spans="1:11" x14ac:dyDescent="0.35">
      <c r="A1125" s="1" t="s">
        <v>2350</v>
      </c>
      <c r="B1125" s="1" t="s">
        <v>2670</v>
      </c>
      <c r="C1125" s="1" t="s">
        <v>2679</v>
      </c>
      <c r="D1125" s="1" t="str">
        <f>"5855"</f>
        <v>5855</v>
      </c>
      <c r="E1125" s="1" t="str">
        <f>"015333888"</f>
        <v>015333888</v>
      </c>
      <c r="F1125" s="1" t="s">
        <v>1817</v>
      </c>
      <c r="G1125" s="1" t="s">
        <v>16</v>
      </c>
      <c r="H1125" s="1" t="str">
        <f>"1"</f>
        <v>1</v>
      </c>
      <c r="I1125" s="2">
        <v>3751.16</v>
      </c>
      <c r="J1125" s="3">
        <v>46184</v>
      </c>
      <c r="K1125" s="1" t="s">
        <v>2680</v>
      </c>
    </row>
    <row r="1126" spans="1:11" x14ac:dyDescent="0.35">
      <c r="A1126" s="1" t="s">
        <v>2350</v>
      </c>
      <c r="B1126" s="1" t="s">
        <v>2670</v>
      </c>
      <c r="C1126" s="1" t="s">
        <v>2681</v>
      </c>
      <c r="D1126" s="1" t="str">
        <f>"5855"</f>
        <v>5855</v>
      </c>
      <c r="E1126" s="1" t="str">
        <f>"013867136"</f>
        <v>013867136</v>
      </c>
      <c r="F1126" s="1" t="s">
        <v>1770</v>
      </c>
      <c r="G1126" s="1" t="s">
        <v>16</v>
      </c>
      <c r="H1126" s="1" t="str">
        <f>"1"</f>
        <v>1</v>
      </c>
      <c r="I1126" s="2">
        <v>6624.96</v>
      </c>
      <c r="J1126" s="3">
        <v>46184</v>
      </c>
      <c r="K1126" s="1" t="s">
        <v>2680</v>
      </c>
    </row>
    <row r="1127" spans="1:11" x14ac:dyDescent="0.35">
      <c r="A1127" s="1" t="s">
        <v>2350</v>
      </c>
      <c r="B1127" s="1" t="s">
        <v>2670</v>
      </c>
      <c r="C1127" s="1" t="s">
        <v>2682</v>
      </c>
      <c r="D1127" s="1" t="str">
        <f>"5855"</f>
        <v>5855</v>
      </c>
      <c r="E1127" s="1" t="str">
        <f>"015675510"</f>
        <v>015675510</v>
      </c>
      <c r="F1127" s="1" t="s">
        <v>1770</v>
      </c>
      <c r="G1127" s="1" t="s">
        <v>16</v>
      </c>
      <c r="H1127" s="1" t="str">
        <f>"20"</f>
        <v>20</v>
      </c>
      <c r="I1127" s="2" t="str">
        <f>"10756"</f>
        <v>10756</v>
      </c>
      <c r="J1127" s="3">
        <v>46184</v>
      </c>
      <c r="K1127" s="1" t="s">
        <v>2683</v>
      </c>
    </row>
    <row r="1128" spans="1:11" x14ac:dyDescent="0.35">
      <c r="A1128" s="1" t="s">
        <v>2350</v>
      </c>
      <c r="B1128" s="1" t="s">
        <v>2475</v>
      </c>
      <c r="C1128" s="1" t="s">
        <v>2490</v>
      </c>
      <c r="D1128" s="1" t="str">
        <f>"6115"</f>
        <v>6115</v>
      </c>
      <c r="E1128" s="1" t="str">
        <f>"012755061"</f>
        <v>012755061</v>
      </c>
      <c r="F1128" s="1" t="s">
        <v>1390</v>
      </c>
      <c r="G1128" s="1" t="s">
        <v>16</v>
      </c>
      <c r="H1128" s="1" t="str">
        <f>"1"</f>
        <v>1</v>
      </c>
      <c r="I1128" s="2" t="str">
        <f>"10700"</f>
        <v>10700</v>
      </c>
      <c r="J1128" s="3">
        <v>46185</v>
      </c>
      <c r="K1128" s="1" t="s">
        <v>2491</v>
      </c>
    </row>
    <row r="1129" spans="1:11" x14ac:dyDescent="0.35">
      <c r="A1129" s="1" t="s">
        <v>2350</v>
      </c>
      <c r="B1129" s="1" t="s">
        <v>2561</v>
      </c>
      <c r="C1129" s="1" t="s">
        <v>2566</v>
      </c>
      <c r="D1129" s="1" t="str">
        <f>"6115"</f>
        <v>6115</v>
      </c>
      <c r="E1129" s="1" t="str">
        <f>"016287993"</f>
        <v>016287993</v>
      </c>
      <c r="F1129" s="1" t="s">
        <v>2567</v>
      </c>
      <c r="G1129" s="1" t="s">
        <v>16</v>
      </c>
      <c r="H1129" s="1" t="str">
        <f>"5"</f>
        <v>5</v>
      </c>
      <c r="I1129" s="2">
        <v>1481.42</v>
      </c>
      <c r="J1129" s="3">
        <v>46185</v>
      </c>
      <c r="K1129" s="1" t="s">
        <v>2568</v>
      </c>
    </row>
    <row r="1130" spans="1:11" x14ac:dyDescent="0.35">
      <c r="A1130" s="1" t="s">
        <v>2350</v>
      </c>
      <c r="B1130" s="1" t="s">
        <v>2475</v>
      </c>
      <c r="C1130" s="1" t="s">
        <v>2478</v>
      </c>
      <c r="D1130" s="1" t="str">
        <f>"1940"</f>
        <v>1940</v>
      </c>
      <c r="E1130" s="1" t="str">
        <f>"015991756"</f>
        <v>015991756</v>
      </c>
      <c r="F1130" s="1" t="s">
        <v>2479</v>
      </c>
      <c r="G1130" s="1" t="s">
        <v>16</v>
      </c>
      <c r="H1130" s="1" t="str">
        <f>"2"</f>
        <v>2</v>
      </c>
      <c r="I1130" s="2" t="str">
        <f>"10500"</f>
        <v>10500</v>
      </c>
      <c r="J1130" s="3">
        <v>46188</v>
      </c>
      <c r="K1130" s="1" t="s">
        <v>2480</v>
      </c>
    </row>
    <row r="1131" spans="1:11" x14ac:dyDescent="0.35">
      <c r="A1131" s="1" t="s">
        <v>2350</v>
      </c>
      <c r="B1131" s="1" t="s">
        <v>2475</v>
      </c>
      <c r="C1131" s="1" t="s">
        <v>2498</v>
      </c>
      <c r="D1131" s="1" t="str">
        <f>"7035"</f>
        <v>7035</v>
      </c>
      <c r="E1131" s="1" t="s">
        <v>2499</v>
      </c>
      <c r="F1131" s="1" t="s">
        <v>2500</v>
      </c>
      <c r="G1131" s="1" t="s">
        <v>16</v>
      </c>
      <c r="H1131" s="1" t="str">
        <f>"3"</f>
        <v>3</v>
      </c>
      <c r="I1131" s="2" t="str">
        <f>"1000"</f>
        <v>1000</v>
      </c>
      <c r="J1131" s="3">
        <v>46188</v>
      </c>
      <c r="K1131" s="1" t="s">
        <v>2501</v>
      </c>
    </row>
    <row r="1132" spans="1:11" x14ac:dyDescent="0.35">
      <c r="A1132" s="1" t="s">
        <v>2350</v>
      </c>
      <c r="B1132" s="1" t="s">
        <v>2456</v>
      </c>
      <c r="C1132" s="1" t="s">
        <v>2457</v>
      </c>
      <c r="D1132" s="1" t="str">
        <f>"2320"</f>
        <v>2320</v>
      </c>
      <c r="E1132" s="1" t="str">
        <f>"016234991"</f>
        <v>016234991</v>
      </c>
      <c r="F1132" s="1" t="s">
        <v>370</v>
      </c>
      <c r="G1132" s="1" t="s">
        <v>16</v>
      </c>
      <c r="H1132" s="1" t="str">
        <f>"1"</f>
        <v>1</v>
      </c>
      <c r="I1132" s="2" t="str">
        <f>"144500"</f>
        <v>144500</v>
      </c>
      <c r="J1132" s="3">
        <v>46189</v>
      </c>
      <c r="K1132" s="1" t="s">
        <v>2458</v>
      </c>
    </row>
    <row r="1133" spans="1:11" x14ac:dyDescent="0.35">
      <c r="A1133" s="1" t="s">
        <v>2350</v>
      </c>
      <c r="B1133" s="1" t="s">
        <v>2419</v>
      </c>
      <c r="C1133" s="1" t="s">
        <v>2424</v>
      </c>
      <c r="D1133" s="1" t="str">
        <f>"4910"</f>
        <v>4910</v>
      </c>
      <c r="E1133" s="1" t="s">
        <v>2425</v>
      </c>
      <c r="F1133" s="1" t="s">
        <v>2426</v>
      </c>
      <c r="G1133" s="1" t="s">
        <v>16</v>
      </c>
      <c r="H1133" s="1" t="str">
        <f>"8"</f>
        <v>8</v>
      </c>
      <c r="I1133" s="2">
        <v>9707.36</v>
      </c>
      <c r="J1133" s="3">
        <v>46190</v>
      </c>
      <c r="K1133" s="1" t="s">
        <v>2427</v>
      </c>
    </row>
    <row r="1134" spans="1:11" x14ac:dyDescent="0.35">
      <c r="A1134" s="1" t="s">
        <v>2350</v>
      </c>
      <c r="B1134" s="1" t="s">
        <v>2523</v>
      </c>
      <c r="C1134" s="1" t="s">
        <v>2524</v>
      </c>
      <c r="D1134" s="1" t="str">
        <f>"1240"</f>
        <v>1240</v>
      </c>
      <c r="E1134" s="1" t="str">
        <f>"014111265"</f>
        <v>014111265</v>
      </c>
      <c r="F1134" s="1" t="s">
        <v>1103</v>
      </c>
      <c r="G1134" s="1" t="s">
        <v>16</v>
      </c>
      <c r="H1134" s="1" t="str">
        <f>"18"</f>
        <v>18</v>
      </c>
      <c r="I1134" s="2" t="str">
        <f>"339"</f>
        <v>339</v>
      </c>
      <c r="J1134" s="3">
        <v>46190</v>
      </c>
      <c r="K1134" s="1" t="s">
        <v>2525</v>
      </c>
    </row>
    <row r="1135" spans="1:11" x14ac:dyDescent="0.35">
      <c r="A1135" s="1" t="s">
        <v>2350</v>
      </c>
      <c r="B1135" s="1" t="s">
        <v>2523</v>
      </c>
      <c r="C1135" s="1" t="s">
        <v>2526</v>
      </c>
      <c r="D1135" s="1" t="str">
        <f>"5855"</f>
        <v>5855</v>
      </c>
      <c r="E1135" s="1" t="str">
        <f>"015356166"</f>
        <v>015356166</v>
      </c>
      <c r="F1135" s="1" t="s">
        <v>1379</v>
      </c>
      <c r="G1135" s="1" t="s">
        <v>16</v>
      </c>
      <c r="H1135" s="1" t="str">
        <f>"1"</f>
        <v>1</v>
      </c>
      <c r="I1135" s="2" t="str">
        <f>"898"</f>
        <v>898</v>
      </c>
      <c r="J1135" s="3">
        <v>46190</v>
      </c>
      <c r="K1135" s="1" t="s">
        <v>2527</v>
      </c>
    </row>
    <row r="1136" spans="1:11" x14ac:dyDescent="0.35">
      <c r="A1136" s="1" t="s">
        <v>2350</v>
      </c>
      <c r="B1136" s="1" t="s">
        <v>2523</v>
      </c>
      <c r="C1136" s="1" t="s">
        <v>2528</v>
      </c>
      <c r="D1136" s="1" t="str">
        <f>"5855"</f>
        <v>5855</v>
      </c>
      <c r="E1136" s="1" t="str">
        <f>"015356166"</f>
        <v>015356166</v>
      </c>
      <c r="F1136" s="1" t="s">
        <v>1379</v>
      </c>
      <c r="G1136" s="1" t="s">
        <v>16</v>
      </c>
      <c r="H1136" s="1" t="str">
        <f>"1"</f>
        <v>1</v>
      </c>
      <c r="I1136" s="2" t="str">
        <f>"898"</f>
        <v>898</v>
      </c>
      <c r="J1136" s="3">
        <v>46190</v>
      </c>
      <c r="K1136" s="1" t="s">
        <v>2527</v>
      </c>
    </row>
    <row r="1137" spans="1:11" x14ac:dyDescent="0.35">
      <c r="A1137" s="1" t="s">
        <v>2350</v>
      </c>
      <c r="B1137" s="1" t="s">
        <v>2523</v>
      </c>
      <c r="C1137" s="1" t="s">
        <v>2529</v>
      </c>
      <c r="D1137" s="1" t="str">
        <f>"6545"</f>
        <v>6545</v>
      </c>
      <c r="E1137" s="1" t="str">
        <f>"015300929"</f>
        <v>015300929</v>
      </c>
      <c r="F1137" s="1" t="s">
        <v>236</v>
      </c>
      <c r="G1137" s="1" t="s">
        <v>215</v>
      </c>
      <c r="H1137" s="1" t="str">
        <f>"25"</f>
        <v>25</v>
      </c>
      <c r="I1137" s="2">
        <v>48.71</v>
      </c>
      <c r="J1137" s="3">
        <v>46190</v>
      </c>
      <c r="K1137" s="1" t="s">
        <v>2530</v>
      </c>
    </row>
    <row r="1138" spans="1:11" x14ac:dyDescent="0.35">
      <c r="A1138" s="1" t="s">
        <v>2350</v>
      </c>
      <c r="B1138" s="1" t="s">
        <v>2523</v>
      </c>
      <c r="C1138" s="1" t="s">
        <v>2531</v>
      </c>
      <c r="D1138" s="1" t="str">
        <f>"8415"</f>
        <v>8415</v>
      </c>
      <c r="E1138" s="1" t="str">
        <f>"015269181"</f>
        <v>015269181</v>
      </c>
      <c r="F1138" s="1" t="s">
        <v>1203</v>
      </c>
      <c r="G1138" s="1" t="s">
        <v>16</v>
      </c>
      <c r="H1138" s="1" t="str">
        <f>"3"</f>
        <v>3</v>
      </c>
      <c r="I1138" s="2">
        <v>171.72</v>
      </c>
      <c r="J1138" s="3">
        <v>46190</v>
      </c>
      <c r="K1138" s="1" t="s">
        <v>2532</v>
      </c>
    </row>
    <row r="1139" spans="1:11" x14ac:dyDescent="0.35">
      <c r="A1139" s="1" t="s">
        <v>2350</v>
      </c>
      <c r="B1139" s="1" t="s">
        <v>2523</v>
      </c>
      <c r="C1139" s="1" t="s">
        <v>2533</v>
      </c>
      <c r="D1139" s="1" t="str">
        <f>"8415"</f>
        <v>8415</v>
      </c>
      <c r="E1139" s="1" t="str">
        <f>"015386747"</f>
        <v>015386747</v>
      </c>
      <c r="F1139" s="1" t="s">
        <v>493</v>
      </c>
      <c r="G1139" s="1" t="s">
        <v>16</v>
      </c>
      <c r="H1139" s="1" t="str">
        <f>"9"</f>
        <v>9</v>
      </c>
      <c r="I1139" s="2">
        <v>63.88</v>
      </c>
      <c r="J1139" s="3">
        <v>46190</v>
      </c>
      <c r="K1139" s="1" t="s">
        <v>2534</v>
      </c>
    </row>
    <row r="1140" spans="1:11" x14ac:dyDescent="0.35">
      <c r="A1140" s="1" t="s">
        <v>2350</v>
      </c>
      <c r="B1140" s="1" t="s">
        <v>2523</v>
      </c>
      <c r="C1140" s="1" t="s">
        <v>2535</v>
      </c>
      <c r="D1140" s="1" t="str">
        <f>"8415"</f>
        <v>8415</v>
      </c>
      <c r="E1140" s="1" t="str">
        <f>"015269184"</f>
        <v>015269184</v>
      </c>
      <c r="F1140" s="1" t="s">
        <v>1203</v>
      </c>
      <c r="G1140" s="1" t="s">
        <v>16</v>
      </c>
      <c r="H1140" s="1" t="str">
        <f>"8"</f>
        <v>8</v>
      </c>
      <c r="I1140" s="2">
        <v>171.72</v>
      </c>
      <c r="J1140" s="3">
        <v>46190</v>
      </c>
      <c r="K1140" s="1" t="s">
        <v>2536</v>
      </c>
    </row>
    <row r="1141" spans="1:11" x14ac:dyDescent="0.35">
      <c r="A1141" s="1" t="s">
        <v>2350</v>
      </c>
      <c r="B1141" s="1" t="s">
        <v>2523</v>
      </c>
      <c r="C1141" s="1" t="s">
        <v>2537</v>
      </c>
      <c r="D1141" s="1" t="str">
        <f>"8415"</f>
        <v>8415</v>
      </c>
      <c r="E1141" s="1" t="str">
        <f>"015386742"</f>
        <v>015386742</v>
      </c>
      <c r="F1141" s="1" t="s">
        <v>493</v>
      </c>
      <c r="G1141" s="1" t="s">
        <v>16</v>
      </c>
      <c r="H1141" s="1" t="str">
        <f>"4"</f>
        <v>4</v>
      </c>
      <c r="I1141" s="2">
        <v>63.88</v>
      </c>
      <c r="J1141" s="3">
        <v>46190</v>
      </c>
      <c r="K1141" s="1" t="s">
        <v>2534</v>
      </c>
    </row>
    <row r="1142" spans="1:11" x14ac:dyDescent="0.35">
      <c r="A1142" s="1" t="s">
        <v>2350</v>
      </c>
      <c r="B1142" s="1" t="s">
        <v>2523</v>
      </c>
      <c r="C1142" s="1" t="s">
        <v>2538</v>
      </c>
      <c r="D1142" s="1" t="str">
        <f>"8465"</f>
        <v>8465</v>
      </c>
      <c r="E1142" s="1" t="str">
        <f>"015245250"</f>
        <v>015245250</v>
      </c>
      <c r="F1142" s="1" t="s">
        <v>529</v>
      </c>
      <c r="G1142" s="1" t="s">
        <v>16</v>
      </c>
      <c r="H1142" s="1" t="str">
        <f>"8"</f>
        <v>8</v>
      </c>
      <c r="I1142" s="2">
        <v>75.150000000000006</v>
      </c>
      <c r="J1142" s="3">
        <v>46190</v>
      </c>
      <c r="K1142" s="1" t="s">
        <v>2539</v>
      </c>
    </row>
    <row r="1143" spans="1:11" x14ac:dyDescent="0.35">
      <c r="A1143" s="1" t="s">
        <v>2350</v>
      </c>
      <c r="B1143" s="1" t="s">
        <v>2523</v>
      </c>
      <c r="C1143" s="1" t="s">
        <v>2540</v>
      </c>
      <c r="D1143" s="1" t="str">
        <f>"8465"</f>
        <v>8465</v>
      </c>
      <c r="E1143" s="1" t="str">
        <f>"015250598"</f>
        <v>015250598</v>
      </c>
      <c r="F1143" s="1" t="s">
        <v>2541</v>
      </c>
      <c r="G1143" s="1" t="s">
        <v>16</v>
      </c>
      <c r="H1143" s="1" t="str">
        <f>"16"</f>
        <v>16</v>
      </c>
      <c r="I1143" s="2">
        <v>22.9</v>
      </c>
      <c r="J1143" s="3">
        <v>46190</v>
      </c>
      <c r="K1143" s="1" t="s">
        <v>2542</v>
      </c>
    </row>
    <row r="1144" spans="1:11" x14ac:dyDescent="0.35">
      <c r="A1144" s="1" t="s">
        <v>2350</v>
      </c>
      <c r="B1144" s="1" t="s">
        <v>2670</v>
      </c>
      <c r="C1144" s="1" t="s">
        <v>2671</v>
      </c>
      <c r="D1144" s="1" t="str">
        <f>"1095"</f>
        <v>1095</v>
      </c>
      <c r="E1144" s="1" t="str">
        <f>"015267860"</f>
        <v>015267860</v>
      </c>
      <c r="F1144" s="1" t="s">
        <v>25</v>
      </c>
      <c r="G1144" s="1" t="s">
        <v>16</v>
      </c>
      <c r="H1144" s="1" t="str">
        <f>"2"</f>
        <v>2</v>
      </c>
      <c r="I1144" s="2" t="str">
        <f>"1107"</f>
        <v>1107</v>
      </c>
      <c r="J1144" s="3">
        <v>46191</v>
      </c>
      <c r="K1144" s="1" t="s">
        <v>2672</v>
      </c>
    </row>
    <row r="1145" spans="1:11" x14ac:dyDescent="0.35">
      <c r="A1145" s="1" t="s">
        <v>2350</v>
      </c>
      <c r="B1145" s="1" t="s">
        <v>2670</v>
      </c>
      <c r="C1145" s="1" t="s">
        <v>2686</v>
      </c>
      <c r="D1145" s="1" t="str">
        <f>"6515"</f>
        <v>6515</v>
      </c>
      <c r="E1145" s="1" t="str">
        <f>"015162527"</f>
        <v>015162527</v>
      </c>
      <c r="F1145" s="1" t="s">
        <v>2687</v>
      </c>
      <c r="G1145" s="1" t="s">
        <v>16</v>
      </c>
      <c r="H1145" s="1" t="str">
        <f>"1"</f>
        <v>1</v>
      </c>
      <c r="I1145" s="2">
        <v>915.88</v>
      </c>
      <c r="J1145" s="3">
        <v>46191</v>
      </c>
      <c r="K1145" s="1" t="s">
        <v>2688</v>
      </c>
    </row>
    <row r="1146" spans="1:11" x14ac:dyDescent="0.35">
      <c r="A1146" s="1" t="s">
        <v>2350</v>
      </c>
      <c r="B1146" s="1" t="s">
        <v>2670</v>
      </c>
      <c r="C1146" s="1" t="s">
        <v>2689</v>
      </c>
      <c r="D1146" s="1" t="str">
        <f>"6515"</f>
        <v>6515</v>
      </c>
      <c r="E1146" s="1" t="str">
        <f>"016059429"</f>
        <v>016059429</v>
      </c>
      <c r="F1146" s="1" t="s">
        <v>2690</v>
      </c>
      <c r="G1146" s="1" t="s">
        <v>16</v>
      </c>
      <c r="H1146" s="1" t="str">
        <f>"1"</f>
        <v>1</v>
      </c>
      <c r="I1146" s="2" t="str">
        <f>"31973"</f>
        <v>31973</v>
      </c>
      <c r="J1146" s="3">
        <v>46191</v>
      </c>
      <c r="K1146" s="1" t="s">
        <v>2691</v>
      </c>
    </row>
    <row r="1147" spans="1:11" x14ac:dyDescent="0.35">
      <c r="A1147" s="1" t="s">
        <v>2350</v>
      </c>
      <c r="B1147" s="1" t="s">
        <v>2670</v>
      </c>
      <c r="C1147" s="1" t="s">
        <v>2692</v>
      </c>
      <c r="D1147" s="1" t="str">
        <f>"6515"</f>
        <v>6515</v>
      </c>
      <c r="E1147" s="1" t="str">
        <f>"016059429"</f>
        <v>016059429</v>
      </c>
      <c r="F1147" s="1" t="s">
        <v>2690</v>
      </c>
      <c r="G1147" s="1" t="s">
        <v>16</v>
      </c>
      <c r="H1147" s="1" t="str">
        <f>"1"</f>
        <v>1</v>
      </c>
      <c r="I1147" s="2" t="str">
        <f>"31973"</f>
        <v>31973</v>
      </c>
      <c r="J1147" s="3">
        <v>46191</v>
      </c>
      <c r="K1147" s="1" t="s">
        <v>2691</v>
      </c>
    </row>
    <row r="1148" spans="1:11" x14ac:dyDescent="0.35">
      <c r="A1148" s="1" t="s">
        <v>2350</v>
      </c>
      <c r="B1148" s="1" t="s">
        <v>2670</v>
      </c>
      <c r="C1148" s="1" t="s">
        <v>2693</v>
      </c>
      <c r="D1148" s="1" t="str">
        <f>"6720"</f>
        <v>6720</v>
      </c>
      <c r="E1148" s="1" t="str">
        <f>"016685573"</f>
        <v>016685573</v>
      </c>
      <c r="F1148" s="1" t="s">
        <v>2694</v>
      </c>
      <c r="G1148" s="1" t="s">
        <v>16</v>
      </c>
      <c r="H1148" s="1" t="str">
        <f>"2"</f>
        <v>2</v>
      </c>
      <c r="I1148" s="2">
        <v>3031.79</v>
      </c>
      <c r="J1148" s="3">
        <v>46191</v>
      </c>
      <c r="K1148" s="1" t="s">
        <v>2695</v>
      </c>
    </row>
    <row r="1149" spans="1:11" x14ac:dyDescent="0.35">
      <c r="A1149" s="1" t="s">
        <v>2350</v>
      </c>
      <c r="B1149" s="1" t="s">
        <v>2570</v>
      </c>
      <c r="C1149" s="1" t="s">
        <v>2571</v>
      </c>
      <c r="D1149" s="1" t="str">
        <f>"1385"</f>
        <v>1385</v>
      </c>
      <c r="E1149" s="1" t="str">
        <f>"015936219"</f>
        <v>015936219</v>
      </c>
      <c r="F1149" s="1" t="s">
        <v>1580</v>
      </c>
      <c r="G1149" s="1" t="s">
        <v>16</v>
      </c>
      <c r="H1149" s="1" t="str">
        <f>"1"</f>
        <v>1</v>
      </c>
      <c r="I1149" s="2" t="str">
        <f>"77000"</f>
        <v>77000</v>
      </c>
      <c r="J1149" s="3">
        <v>46197</v>
      </c>
      <c r="K1149" s="1" t="s">
        <v>2572</v>
      </c>
    </row>
    <row r="1150" spans="1:11" x14ac:dyDescent="0.35">
      <c r="A1150" s="1" t="s">
        <v>2350</v>
      </c>
      <c r="B1150" s="1" t="s">
        <v>2354</v>
      </c>
      <c r="C1150" s="1" t="s">
        <v>2363</v>
      </c>
      <c r="D1150" s="1" t="str">
        <f>"2330"</f>
        <v>2330</v>
      </c>
      <c r="E1150" s="1" t="s">
        <v>70</v>
      </c>
      <c r="F1150" s="1" t="s">
        <v>71</v>
      </c>
      <c r="G1150" s="1" t="s">
        <v>16</v>
      </c>
      <c r="H1150" s="1" t="str">
        <f>"1"</f>
        <v>1</v>
      </c>
      <c r="I1150" s="2" t="str">
        <f>"79455"</f>
        <v>79455</v>
      </c>
      <c r="J1150" s="3">
        <v>46198</v>
      </c>
      <c r="K1150" s="1" t="s">
        <v>2364</v>
      </c>
    </row>
    <row r="1151" spans="1:11" x14ac:dyDescent="0.35">
      <c r="A1151" s="1" t="s">
        <v>2350</v>
      </c>
      <c r="B1151" s="1" t="s">
        <v>2472</v>
      </c>
      <c r="C1151" s="1" t="s">
        <v>2473</v>
      </c>
      <c r="D1151" s="1" t="str">
        <f>"2360"</f>
        <v>2360</v>
      </c>
      <c r="E1151" s="1" t="str">
        <f>"015900772"</f>
        <v>015900772</v>
      </c>
      <c r="F1151" s="1" t="s">
        <v>1695</v>
      </c>
      <c r="G1151" s="1" t="s">
        <v>16</v>
      </c>
      <c r="H1151" s="1" t="str">
        <f>"2"</f>
        <v>2</v>
      </c>
      <c r="I1151" s="2" t="str">
        <f>"232404"</f>
        <v>232404</v>
      </c>
      <c r="J1151" s="3">
        <v>46198</v>
      </c>
      <c r="K1151" s="1" t="s">
        <v>2474</v>
      </c>
    </row>
    <row r="1152" spans="1:11" x14ac:dyDescent="0.35">
      <c r="A1152" s="1" t="s">
        <v>2350</v>
      </c>
      <c r="B1152" s="1" t="s">
        <v>2601</v>
      </c>
      <c r="C1152" s="1" t="s">
        <v>2602</v>
      </c>
      <c r="D1152" s="1" t="str">
        <f>"1240"</f>
        <v>1240</v>
      </c>
      <c r="E1152" s="1" t="str">
        <f>"015766134"</f>
        <v>015766134</v>
      </c>
      <c r="F1152" s="1" t="s">
        <v>1103</v>
      </c>
      <c r="G1152" s="1" t="s">
        <v>16</v>
      </c>
      <c r="H1152" s="1" t="str">
        <f>"10"</f>
        <v>10</v>
      </c>
      <c r="I1152" s="2" t="str">
        <f>"589"</f>
        <v>589</v>
      </c>
      <c r="J1152" s="3">
        <v>46198</v>
      </c>
      <c r="K1152" s="1" t="s">
        <v>2603</v>
      </c>
    </row>
    <row r="1153" spans="1:11" x14ac:dyDescent="0.35">
      <c r="A1153" s="1" t="s">
        <v>2350</v>
      </c>
      <c r="B1153" s="1" t="s">
        <v>2442</v>
      </c>
      <c r="C1153" s="1" t="s">
        <v>2443</v>
      </c>
      <c r="D1153" s="1" t="str">
        <f>"6760"</f>
        <v>6760</v>
      </c>
      <c r="E1153" s="1" t="s">
        <v>2444</v>
      </c>
      <c r="F1153" s="1" t="s">
        <v>2445</v>
      </c>
      <c r="G1153" s="1" t="s">
        <v>16</v>
      </c>
      <c r="H1153" s="1" t="str">
        <f>"1"</f>
        <v>1</v>
      </c>
      <c r="I1153" s="2" t="str">
        <f>"975"</f>
        <v>975</v>
      </c>
      <c r="J1153" s="3">
        <v>46199</v>
      </c>
      <c r="K1153" s="1" t="s">
        <v>2446</v>
      </c>
    </row>
    <row r="1154" spans="1:11" x14ac:dyDescent="0.35">
      <c r="A1154" s="1" t="s">
        <v>2350</v>
      </c>
      <c r="B1154" s="1" t="s">
        <v>2520</v>
      </c>
      <c r="C1154" s="1" t="s">
        <v>2521</v>
      </c>
      <c r="D1154" s="1" t="str">
        <f>"1240"</f>
        <v>1240</v>
      </c>
      <c r="E1154" s="1" t="str">
        <f>"014111265"</f>
        <v>014111265</v>
      </c>
      <c r="F1154" s="1" t="s">
        <v>1103</v>
      </c>
      <c r="G1154" s="1" t="s">
        <v>16</v>
      </c>
      <c r="H1154" s="1" t="str">
        <f>"52"</f>
        <v>52</v>
      </c>
      <c r="I1154" s="2" t="str">
        <f>"339"</f>
        <v>339</v>
      </c>
      <c r="J1154" s="3">
        <v>46199</v>
      </c>
      <c r="K1154" s="1" t="s">
        <v>2522</v>
      </c>
    </row>
    <row r="1155" spans="1:11" x14ac:dyDescent="0.35">
      <c r="A1155" s="1" t="s">
        <v>2350</v>
      </c>
      <c r="B1155" s="1" t="s">
        <v>2659</v>
      </c>
      <c r="C1155" s="1" t="s">
        <v>2663</v>
      </c>
      <c r="D1155" s="1" t="str">
        <f>"5855"</f>
        <v>5855</v>
      </c>
      <c r="E1155" s="1" t="str">
        <f>"015345931"</f>
        <v>015345931</v>
      </c>
      <c r="F1155" s="1" t="s">
        <v>1379</v>
      </c>
      <c r="G1155" s="1" t="s">
        <v>16</v>
      </c>
      <c r="H1155" s="1" t="str">
        <f>"85"</f>
        <v>85</v>
      </c>
      <c r="I1155" s="2" t="str">
        <f>"970"</f>
        <v>970</v>
      </c>
      <c r="J1155" s="3">
        <v>46199</v>
      </c>
      <c r="K1155" s="1" t="s">
        <v>2664</v>
      </c>
    </row>
    <row r="1156" spans="1:11" x14ac:dyDescent="0.35">
      <c r="A1156" s="1" t="s">
        <v>2350</v>
      </c>
      <c r="B1156" s="1" t="s">
        <v>2594</v>
      </c>
      <c r="C1156" s="1" t="s">
        <v>2595</v>
      </c>
      <c r="D1156" s="1" t="str">
        <f>"4230"</f>
        <v>4230</v>
      </c>
      <c r="E1156" s="1" t="s">
        <v>2596</v>
      </c>
      <c r="F1156" s="1" t="s">
        <v>2597</v>
      </c>
      <c r="G1156" s="1" t="s">
        <v>16</v>
      </c>
      <c r="H1156" s="1" t="str">
        <f>"1"</f>
        <v>1</v>
      </c>
      <c r="I1156" s="2" t="str">
        <f>"5000"</f>
        <v>5000</v>
      </c>
      <c r="J1156" s="3">
        <v>46203</v>
      </c>
      <c r="K1156" s="1" t="s">
        <v>2598</v>
      </c>
    </row>
    <row r="1157" spans="1:11" x14ac:dyDescent="0.35">
      <c r="A1157" s="1" t="s">
        <v>2350</v>
      </c>
      <c r="B1157" s="1" t="s">
        <v>2594</v>
      </c>
      <c r="C1157" s="1" t="s">
        <v>2599</v>
      </c>
      <c r="D1157" s="1" t="str">
        <f>"5180"</f>
        <v>5180</v>
      </c>
      <c r="E1157" s="1" t="str">
        <f>"016055146"</f>
        <v>016055146</v>
      </c>
      <c r="F1157" s="1" t="s">
        <v>214</v>
      </c>
      <c r="G1157" s="1" t="s">
        <v>458</v>
      </c>
      <c r="H1157" s="1" t="str">
        <f>"1"</f>
        <v>1</v>
      </c>
      <c r="I1157" s="2" t="str">
        <f>"2048"</f>
        <v>2048</v>
      </c>
      <c r="J1157" s="3">
        <v>46203</v>
      </c>
      <c r="K1157" s="1" t="s">
        <v>2600</v>
      </c>
    </row>
    <row r="1158" spans="1:11" x14ac:dyDescent="0.35">
      <c r="A1158" s="1" t="s">
        <v>2350</v>
      </c>
      <c r="B1158" s="1" t="s">
        <v>2670</v>
      </c>
      <c r="C1158" s="1" t="s">
        <v>2673</v>
      </c>
      <c r="D1158" s="1" t="str">
        <f>"1240"</f>
        <v>1240</v>
      </c>
      <c r="E1158" s="1" t="str">
        <f>"015766134"</f>
        <v>015766134</v>
      </c>
      <c r="F1158" s="1" t="s">
        <v>1103</v>
      </c>
      <c r="G1158" s="1" t="s">
        <v>16</v>
      </c>
      <c r="H1158" s="1" t="str">
        <f>"16"</f>
        <v>16</v>
      </c>
      <c r="I1158" s="2" t="str">
        <f>"589"</f>
        <v>589</v>
      </c>
      <c r="J1158" s="3">
        <v>46203</v>
      </c>
      <c r="K1158" s="1" t="s">
        <v>2674</v>
      </c>
    </row>
    <row r="1159" spans="1:11" x14ac:dyDescent="0.35">
      <c r="A1159" s="1" t="s">
        <v>2722</v>
      </c>
      <c r="B1159" s="1" t="s">
        <v>2723</v>
      </c>
      <c r="C1159" s="1" t="s">
        <v>2745</v>
      </c>
      <c r="D1159" s="1" t="str">
        <f>"6605"</f>
        <v>6605</v>
      </c>
      <c r="E1159" s="1" t="s">
        <v>2746</v>
      </c>
      <c r="F1159" s="1" t="s">
        <v>2747</v>
      </c>
      <c r="G1159" s="1" t="s">
        <v>16</v>
      </c>
      <c r="H1159" s="1" t="str">
        <f>"4"</f>
        <v>4</v>
      </c>
      <c r="I1159" s="2" t="str">
        <f>"50"</f>
        <v>50</v>
      </c>
      <c r="J1159" s="3">
        <v>46153</v>
      </c>
      <c r="K1159" s="1" t="s">
        <v>2748</v>
      </c>
    </row>
    <row r="1160" spans="1:11" x14ac:dyDescent="0.35">
      <c r="A1160" s="1" t="s">
        <v>2722</v>
      </c>
      <c r="B1160" s="1" t="s">
        <v>2723</v>
      </c>
      <c r="C1160" s="1" t="s">
        <v>2766</v>
      </c>
      <c r="D1160" s="1" t="str">
        <f>"8415"</f>
        <v>8415</v>
      </c>
      <c r="E1160" s="1" t="str">
        <f>"015802782"</f>
        <v>015802782</v>
      </c>
      <c r="F1160" s="1" t="s">
        <v>1892</v>
      </c>
      <c r="G1160" s="1" t="s">
        <v>16</v>
      </c>
      <c r="H1160" s="1" t="str">
        <f>"3"</f>
        <v>3</v>
      </c>
      <c r="I1160" s="2">
        <v>146.81</v>
      </c>
      <c r="J1160" s="3">
        <v>46153</v>
      </c>
      <c r="K1160" s="1" t="s">
        <v>2757</v>
      </c>
    </row>
    <row r="1161" spans="1:11" x14ac:dyDescent="0.35">
      <c r="A1161" s="1" t="s">
        <v>2722</v>
      </c>
      <c r="B1161" s="1" t="s">
        <v>2723</v>
      </c>
      <c r="C1161" s="1" t="s">
        <v>2767</v>
      </c>
      <c r="D1161" s="1" t="str">
        <f>"8415"</f>
        <v>8415</v>
      </c>
      <c r="E1161" s="1" t="str">
        <f>"015802778"</f>
        <v>015802778</v>
      </c>
      <c r="F1161" s="1" t="s">
        <v>1892</v>
      </c>
      <c r="G1161" s="1" t="s">
        <v>16</v>
      </c>
      <c r="H1161" s="1" t="str">
        <f>"1"</f>
        <v>1</v>
      </c>
      <c r="I1161" s="2">
        <v>150.29</v>
      </c>
      <c r="J1161" s="3">
        <v>46153</v>
      </c>
      <c r="K1161" s="1" t="s">
        <v>2768</v>
      </c>
    </row>
    <row r="1162" spans="1:11" x14ac:dyDescent="0.35">
      <c r="A1162" s="1" t="s">
        <v>2722</v>
      </c>
      <c r="B1162" s="1" t="s">
        <v>2723</v>
      </c>
      <c r="C1162" s="1" t="s">
        <v>2769</v>
      </c>
      <c r="D1162" s="1" t="str">
        <f>"8415"</f>
        <v>8415</v>
      </c>
      <c r="E1162" s="1" t="str">
        <f>"015802497"</f>
        <v>015802497</v>
      </c>
      <c r="F1162" s="1" t="s">
        <v>1988</v>
      </c>
      <c r="G1162" s="1" t="s">
        <v>311</v>
      </c>
      <c r="H1162" s="1" t="str">
        <f>"1"</f>
        <v>1</v>
      </c>
      <c r="I1162" s="2">
        <v>120.1</v>
      </c>
      <c r="J1162" s="3">
        <v>46153</v>
      </c>
      <c r="K1162" s="1" t="s">
        <v>2754</v>
      </c>
    </row>
    <row r="1163" spans="1:11" x14ac:dyDescent="0.35">
      <c r="A1163" s="1" t="s">
        <v>2722</v>
      </c>
      <c r="B1163" s="1" t="s">
        <v>2723</v>
      </c>
      <c r="C1163" s="1" t="s">
        <v>2770</v>
      </c>
      <c r="D1163" s="1" t="str">
        <f>"8415"</f>
        <v>8415</v>
      </c>
      <c r="E1163" s="1" t="str">
        <f>"015802984"</f>
        <v>015802984</v>
      </c>
      <c r="F1163" s="1" t="s">
        <v>668</v>
      </c>
      <c r="G1163" s="1" t="s">
        <v>311</v>
      </c>
      <c r="H1163" s="1" t="str">
        <f>"1"</f>
        <v>1</v>
      </c>
      <c r="I1163" s="2">
        <v>113.3</v>
      </c>
      <c r="J1163" s="3">
        <v>46153</v>
      </c>
      <c r="K1163" s="1" t="s">
        <v>2754</v>
      </c>
    </row>
    <row r="1164" spans="1:11" x14ac:dyDescent="0.35">
      <c r="A1164" s="1" t="s">
        <v>2722</v>
      </c>
      <c r="B1164" s="1" t="s">
        <v>2723</v>
      </c>
      <c r="C1164" s="1" t="s">
        <v>2786</v>
      </c>
      <c r="D1164" s="1" t="str">
        <f>"8415"</f>
        <v>8415</v>
      </c>
      <c r="E1164" s="1" t="str">
        <f>"015802502"</f>
        <v>015802502</v>
      </c>
      <c r="F1164" s="1" t="s">
        <v>1988</v>
      </c>
      <c r="G1164" s="1" t="s">
        <v>311</v>
      </c>
      <c r="H1164" s="1" t="str">
        <f>"1"</f>
        <v>1</v>
      </c>
      <c r="I1164" s="2">
        <v>120.1</v>
      </c>
      <c r="J1164" s="3">
        <v>46153</v>
      </c>
      <c r="K1164" s="1" t="s">
        <v>2754</v>
      </c>
    </row>
    <row r="1165" spans="1:11" x14ac:dyDescent="0.35">
      <c r="A1165" s="1" t="s">
        <v>2722</v>
      </c>
      <c r="B1165" s="1" t="s">
        <v>2723</v>
      </c>
      <c r="C1165" s="1" t="s">
        <v>2732</v>
      </c>
      <c r="D1165" s="1" t="str">
        <f>"1005"</f>
        <v>1005</v>
      </c>
      <c r="E1165" s="1" t="str">
        <f>"016171775"</f>
        <v>016171775</v>
      </c>
      <c r="F1165" s="1" t="s">
        <v>2733</v>
      </c>
      <c r="G1165" s="1" t="s">
        <v>16</v>
      </c>
      <c r="H1165" s="1" t="str">
        <f>"2"</f>
        <v>2</v>
      </c>
      <c r="I1165" s="2">
        <v>402.93</v>
      </c>
      <c r="J1165" s="3">
        <v>46157</v>
      </c>
      <c r="K1165" s="1" t="s">
        <v>2734</v>
      </c>
    </row>
    <row r="1166" spans="1:11" x14ac:dyDescent="0.35">
      <c r="A1166" s="1" t="s">
        <v>2722</v>
      </c>
      <c r="B1166" s="1" t="s">
        <v>2723</v>
      </c>
      <c r="C1166" s="1" t="s">
        <v>2753</v>
      </c>
      <c r="D1166" s="1" t="str">
        <f>"8415"</f>
        <v>8415</v>
      </c>
      <c r="E1166" s="1" t="str">
        <f>"015802497"</f>
        <v>015802497</v>
      </c>
      <c r="F1166" s="1" t="s">
        <v>1988</v>
      </c>
      <c r="G1166" s="1" t="s">
        <v>311</v>
      </c>
      <c r="H1166" s="1" t="str">
        <f>"1"</f>
        <v>1</v>
      </c>
      <c r="I1166" s="2">
        <v>120.1</v>
      </c>
      <c r="J1166" s="3">
        <v>46157</v>
      </c>
      <c r="K1166" s="1" t="s">
        <v>2754</v>
      </c>
    </row>
    <row r="1167" spans="1:11" x14ac:dyDescent="0.35">
      <c r="A1167" s="1" t="s">
        <v>2722</v>
      </c>
      <c r="B1167" s="1" t="s">
        <v>2723</v>
      </c>
      <c r="C1167" s="1" t="s">
        <v>2755</v>
      </c>
      <c r="D1167" s="1" t="str">
        <f>"8415"</f>
        <v>8415</v>
      </c>
      <c r="E1167" s="1" t="str">
        <f>"015802988"</f>
        <v>015802988</v>
      </c>
      <c r="F1167" s="1" t="s">
        <v>668</v>
      </c>
      <c r="G1167" s="1" t="s">
        <v>311</v>
      </c>
      <c r="H1167" s="1" t="str">
        <f>"1"</f>
        <v>1</v>
      </c>
      <c r="I1167" s="2">
        <v>113.3</v>
      </c>
      <c r="J1167" s="3">
        <v>46157</v>
      </c>
      <c r="K1167" s="1" t="s">
        <v>2754</v>
      </c>
    </row>
    <row r="1168" spans="1:11" x14ac:dyDescent="0.35">
      <c r="A1168" s="1" t="s">
        <v>2722</v>
      </c>
      <c r="B1168" s="1" t="s">
        <v>2723</v>
      </c>
      <c r="C1168" s="1" t="s">
        <v>2756</v>
      </c>
      <c r="D1168" s="1" t="str">
        <f>"8415"</f>
        <v>8415</v>
      </c>
      <c r="E1168" s="1" t="str">
        <f>"015802788"</f>
        <v>015802788</v>
      </c>
      <c r="F1168" s="1" t="s">
        <v>1892</v>
      </c>
      <c r="G1168" s="1" t="s">
        <v>16</v>
      </c>
      <c r="H1168" s="1" t="str">
        <f>"1"</f>
        <v>1</v>
      </c>
      <c r="I1168" s="2">
        <v>146.81</v>
      </c>
      <c r="J1168" s="3">
        <v>46157</v>
      </c>
      <c r="K1168" s="1" t="s">
        <v>2757</v>
      </c>
    </row>
    <row r="1169" spans="1:11" x14ac:dyDescent="0.35">
      <c r="A1169" s="1" t="s">
        <v>2722</v>
      </c>
      <c r="B1169" s="1" t="s">
        <v>2723</v>
      </c>
      <c r="C1169" s="1" t="s">
        <v>2758</v>
      </c>
      <c r="D1169" s="1" t="str">
        <f>"8415"</f>
        <v>8415</v>
      </c>
      <c r="E1169" s="1" t="str">
        <f>"015802861"</f>
        <v>015802861</v>
      </c>
      <c r="F1169" s="1" t="s">
        <v>1892</v>
      </c>
      <c r="G1169" s="1" t="s">
        <v>16</v>
      </c>
      <c r="H1169" s="1" t="str">
        <f>"1"</f>
        <v>1</v>
      </c>
      <c r="I1169" s="2">
        <v>146.81</v>
      </c>
      <c r="J1169" s="3">
        <v>46157</v>
      </c>
      <c r="K1169" s="1" t="s">
        <v>2757</v>
      </c>
    </row>
    <row r="1170" spans="1:11" x14ac:dyDescent="0.35">
      <c r="A1170" s="1" t="s">
        <v>2722</v>
      </c>
      <c r="B1170" s="1" t="s">
        <v>2723</v>
      </c>
      <c r="C1170" s="1" t="s">
        <v>2759</v>
      </c>
      <c r="D1170" s="1" t="str">
        <f>"8415"</f>
        <v>8415</v>
      </c>
      <c r="E1170" s="1" t="str">
        <f>"015802782"</f>
        <v>015802782</v>
      </c>
      <c r="F1170" s="1" t="s">
        <v>1892</v>
      </c>
      <c r="G1170" s="1" t="s">
        <v>16</v>
      </c>
      <c r="H1170" s="1" t="str">
        <f>"1"</f>
        <v>1</v>
      </c>
      <c r="I1170" s="2">
        <v>146.81</v>
      </c>
      <c r="J1170" s="3">
        <v>46157</v>
      </c>
      <c r="K1170" s="1" t="s">
        <v>2757</v>
      </c>
    </row>
    <row r="1171" spans="1:11" x14ac:dyDescent="0.35">
      <c r="A1171" s="1" t="s">
        <v>2722</v>
      </c>
      <c r="B1171" s="1" t="s">
        <v>2723</v>
      </c>
      <c r="C1171" s="1" t="s">
        <v>2760</v>
      </c>
      <c r="D1171" s="1" t="str">
        <f>"8415"</f>
        <v>8415</v>
      </c>
      <c r="E1171" s="1" t="str">
        <f>"016411685"</f>
        <v>016411685</v>
      </c>
      <c r="F1171" s="1" t="s">
        <v>668</v>
      </c>
      <c r="G1171" s="1" t="s">
        <v>311</v>
      </c>
      <c r="H1171" s="1" t="str">
        <f>"1"</f>
        <v>1</v>
      </c>
      <c r="I1171" s="2">
        <v>100.61</v>
      </c>
      <c r="J1171" s="3">
        <v>46157</v>
      </c>
      <c r="K1171" s="1" t="s">
        <v>2754</v>
      </c>
    </row>
    <row r="1172" spans="1:11" x14ac:dyDescent="0.35">
      <c r="A1172" s="1" t="s">
        <v>2722</v>
      </c>
      <c r="B1172" s="1" t="s">
        <v>2723</v>
      </c>
      <c r="C1172" s="1" t="s">
        <v>2761</v>
      </c>
      <c r="D1172" s="1" t="str">
        <f>"8415"</f>
        <v>8415</v>
      </c>
      <c r="E1172" s="1" t="str">
        <f>"016411799"</f>
        <v>016411799</v>
      </c>
      <c r="F1172" s="1" t="s">
        <v>672</v>
      </c>
      <c r="G1172" s="1" t="s">
        <v>311</v>
      </c>
      <c r="H1172" s="1" t="str">
        <f>"2"</f>
        <v>2</v>
      </c>
      <c r="I1172" s="2">
        <v>108.96</v>
      </c>
      <c r="J1172" s="3">
        <v>46157</v>
      </c>
      <c r="K1172" s="1" t="s">
        <v>2754</v>
      </c>
    </row>
    <row r="1173" spans="1:11" x14ac:dyDescent="0.35">
      <c r="A1173" s="1" t="s">
        <v>2722</v>
      </c>
      <c r="B1173" s="1" t="s">
        <v>2723</v>
      </c>
      <c r="C1173" s="1" t="s">
        <v>2762</v>
      </c>
      <c r="D1173" s="1" t="str">
        <f>"8415"</f>
        <v>8415</v>
      </c>
      <c r="E1173" s="1" t="str">
        <f>"015802497"</f>
        <v>015802497</v>
      </c>
      <c r="F1173" s="1" t="s">
        <v>1988</v>
      </c>
      <c r="G1173" s="1" t="s">
        <v>311</v>
      </c>
      <c r="H1173" s="1" t="str">
        <f>"2"</f>
        <v>2</v>
      </c>
      <c r="I1173" s="2">
        <v>120.1</v>
      </c>
      <c r="J1173" s="3">
        <v>46157</v>
      </c>
      <c r="K1173" s="1" t="s">
        <v>2754</v>
      </c>
    </row>
    <row r="1174" spans="1:11" x14ac:dyDescent="0.35">
      <c r="A1174" s="1" t="s">
        <v>2722</v>
      </c>
      <c r="B1174" s="1" t="s">
        <v>2723</v>
      </c>
      <c r="C1174" s="1" t="s">
        <v>2763</v>
      </c>
      <c r="D1174" s="1" t="str">
        <f>"8415"</f>
        <v>8415</v>
      </c>
      <c r="E1174" s="1" t="str">
        <f>"002237625"</f>
        <v>002237625</v>
      </c>
      <c r="F1174" s="1" t="s">
        <v>2764</v>
      </c>
      <c r="G1174" s="1" t="s">
        <v>16</v>
      </c>
      <c r="H1174" s="1" t="str">
        <f>"5"</f>
        <v>5</v>
      </c>
      <c r="I1174" s="2">
        <v>55.27</v>
      </c>
      <c r="J1174" s="3">
        <v>46157</v>
      </c>
      <c r="K1174" s="1" t="s">
        <v>2765</v>
      </c>
    </row>
    <row r="1175" spans="1:11" x14ac:dyDescent="0.35">
      <c r="A1175" s="1" t="s">
        <v>2722</v>
      </c>
      <c r="B1175" s="1" t="s">
        <v>2723</v>
      </c>
      <c r="C1175" s="1" t="s">
        <v>2726</v>
      </c>
      <c r="D1175" s="1" t="str">
        <f>"1005"</f>
        <v>1005</v>
      </c>
      <c r="E1175" s="1" t="str">
        <f>"015920663"</f>
        <v>015920663</v>
      </c>
      <c r="F1175" s="1" t="s">
        <v>2727</v>
      </c>
      <c r="G1175" s="1" t="s">
        <v>16</v>
      </c>
      <c r="H1175" s="1" t="str">
        <f>"1"</f>
        <v>1</v>
      </c>
      <c r="I1175" s="2">
        <v>312.86</v>
      </c>
      <c r="J1175" s="3">
        <v>46162</v>
      </c>
      <c r="K1175" s="1" t="s">
        <v>2728</v>
      </c>
    </row>
    <row r="1176" spans="1:11" x14ac:dyDescent="0.35">
      <c r="A1176" s="1" t="s">
        <v>2722</v>
      </c>
      <c r="B1176" s="1" t="s">
        <v>2723</v>
      </c>
      <c r="C1176" s="1" t="s">
        <v>2729</v>
      </c>
      <c r="D1176" s="1" t="str">
        <f>"1005"</f>
        <v>1005</v>
      </c>
      <c r="E1176" s="1" t="str">
        <f>"015921163"</f>
        <v>015921163</v>
      </c>
      <c r="F1176" s="1" t="s">
        <v>2730</v>
      </c>
      <c r="G1176" s="1" t="s">
        <v>16</v>
      </c>
      <c r="H1176" s="1" t="str">
        <f>"1"</f>
        <v>1</v>
      </c>
      <c r="I1176" s="2">
        <v>376.41</v>
      </c>
      <c r="J1176" s="3">
        <v>46162</v>
      </c>
      <c r="K1176" s="1" t="s">
        <v>2731</v>
      </c>
    </row>
    <row r="1177" spans="1:11" x14ac:dyDescent="0.35">
      <c r="A1177" s="1" t="s">
        <v>2722</v>
      </c>
      <c r="B1177" s="1" t="s">
        <v>2723</v>
      </c>
      <c r="C1177" s="1" t="s">
        <v>2738</v>
      </c>
      <c r="D1177" s="1" t="str">
        <f>"1005"</f>
        <v>1005</v>
      </c>
      <c r="E1177" s="1" t="str">
        <f>"015921273"</f>
        <v>015921273</v>
      </c>
      <c r="F1177" s="1" t="s">
        <v>2739</v>
      </c>
      <c r="G1177" s="1" t="s">
        <v>16</v>
      </c>
      <c r="H1177" s="1" t="str">
        <f>"3"</f>
        <v>3</v>
      </c>
      <c r="I1177" s="2">
        <v>210.88</v>
      </c>
      <c r="J1177" s="3">
        <v>46162</v>
      </c>
      <c r="K1177" s="1" t="s">
        <v>2728</v>
      </c>
    </row>
    <row r="1178" spans="1:11" x14ac:dyDescent="0.35">
      <c r="A1178" s="1" t="s">
        <v>2722</v>
      </c>
      <c r="B1178" s="1" t="s">
        <v>2723</v>
      </c>
      <c r="C1178" s="1" t="s">
        <v>2724</v>
      </c>
      <c r="D1178" s="1" t="str">
        <f>"1005"</f>
        <v>1005</v>
      </c>
      <c r="E1178" s="1" t="str">
        <f>"016309508"</f>
        <v>016309508</v>
      </c>
      <c r="F1178" s="1" t="s">
        <v>183</v>
      </c>
      <c r="G1178" s="1" t="s">
        <v>16</v>
      </c>
      <c r="H1178" s="1" t="str">
        <f>"68"</f>
        <v>68</v>
      </c>
      <c r="I1178" s="2">
        <v>13.87</v>
      </c>
      <c r="J1178" s="3">
        <v>46168</v>
      </c>
      <c r="K1178" s="1" t="s">
        <v>2725</v>
      </c>
    </row>
    <row r="1179" spans="1:11" x14ac:dyDescent="0.35">
      <c r="A1179" s="1" t="s">
        <v>2722</v>
      </c>
      <c r="B1179" s="1" t="s">
        <v>2723</v>
      </c>
      <c r="C1179" s="1" t="s">
        <v>2787</v>
      </c>
      <c r="D1179" s="1" t="str">
        <f>"8465"</f>
        <v>8465</v>
      </c>
      <c r="E1179" s="1" t="str">
        <f>"016330972"</f>
        <v>016330972</v>
      </c>
      <c r="F1179" s="1" t="s">
        <v>2198</v>
      </c>
      <c r="G1179" s="1" t="s">
        <v>16</v>
      </c>
      <c r="H1179" s="1" t="str">
        <f>"2"</f>
        <v>2</v>
      </c>
      <c r="I1179" s="2">
        <v>254.47</v>
      </c>
      <c r="J1179" s="3">
        <v>46182</v>
      </c>
      <c r="K1179" s="1" t="s">
        <v>2788</v>
      </c>
    </row>
    <row r="1180" spans="1:11" x14ac:dyDescent="0.35">
      <c r="A1180" s="1" t="s">
        <v>2722</v>
      </c>
      <c r="B1180" s="1" t="s">
        <v>2723</v>
      </c>
      <c r="C1180" s="1" t="s">
        <v>2789</v>
      </c>
      <c r="D1180" s="1" t="str">
        <f>"8465"</f>
        <v>8465</v>
      </c>
      <c r="E1180" s="1" t="str">
        <f>"016647315"</f>
        <v>016647315</v>
      </c>
      <c r="F1180" s="1" t="s">
        <v>2790</v>
      </c>
      <c r="G1180" s="1" t="s">
        <v>16</v>
      </c>
      <c r="H1180" s="1" t="str">
        <f>"6"</f>
        <v>6</v>
      </c>
      <c r="I1180" s="2">
        <v>27.5</v>
      </c>
      <c r="J1180" s="3">
        <v>46182</v>
      </c>
      <c r="K1180" s="1" t="s">
        <v>2791</v>
      </c>
    </row>
    <row r="1181" spans="1:11" x14ac:dyDescent="0.35">
      <c r="A1181" s="1" t="s">
        <v>2722</v>
      </c>
      <c r="B1181" s="1" t="s">
        <v>2723</v>
      </c>
      <c r="C1181" s="1" t="s">
        <v>2792</v>
      </c>
      <c r="D1181" s="1" t="str">
        <f>"8465"</f>
        <v>8465</v>
      </c>
      <c r="E1181" s="1" t="str">
        <f>"016331039"</f>
        <v>016331039</v>
      </c>
      <c r="F1181" s="1" t="s">
        <v>2793</v>
      </c>
      <c r="G1181" s="1" t="s">
        <v>16</v>
      </c>
      <c r="H1181" s="1" t="str">
        <f>"7"</f>
        <v>7</v>
      </c>
      <c r="I1181" s="2" t="str">
        <f>"22"</f>
        <v>22</v>
      </c>
      <c r="J1181" s="3">
        <v>46182</v>
      </c>
      <c r="K1181" s="1" t="s">
        <v>2794</v>
      </c>
    </row>
    <row r="1182" spans="1:11" x14ac:dyDescent="0.35">
      <c r="A1182" s="1" t="s">
        <v>2722</v>
      </c>
      <c r="B1182" s="1" t="s">
        <v>2723</v>
      </c>
      <c r="C1182" s="1" t="s">
        <v>2795</v>
      </c>
      <c r="D1182" s="1" t="str">
        <f>"8465"</f>
        <v>8465</v>
      </c>
      <c r="E1182" s="1" t="str">
        <f>"016330606"</f>
        <v>016330606</v>
      </c>
      <c r="F1182" s="1" t="s">
        <v>2793</v>
      </c>
      <c r="G1182" s="1" t="s">
        <v>16</v>
      </c>
      <c r="H1182" s="1" t="str">
        <f>"4"</f>
        <v>4</v>
      </c>
      <c r="I1182" s="2">
        <v>27.77</v>
      </c>
      <c r="J1182" s="3">
        <v>46182</v>
      </c>
      <c r="K1182" s="1" t="s">
        <v>2794</v>
      </c>
    </row>
    <row r="1183" spans="1:11" x14ac:dyDescent="0.35">
      <c r="A1183" s="1" t="s">
        <v>2722</v>
      </c>
      <c r="B1183" s="1" t="s">
        <v>2723</v>
      </c>
      <c r="C1183" s="1" t="s">
        <v>2796</v>
      </c>
      <c r="D1183" s="1" t="str">
        <f>"8465"</f>
        <v>8465</v>
      </c>
      <c r="E1183" s="1" t="str">
        <f>"016330327"</f>
        <v>016330327</v>
      </c>
      <c r="F1183" s="1" t="s">
        <v>2793</v>
      </c>
      <c r="G1183" s="1" t="s">
        <v>16</v>
      </c>
      <c r="H1183" s="1" t="str">
        <f>"7"</f>
        <v>7</v>
      </c>
      <c r="I1183" s="2">
        <v>37.79</v>
      </c>
      <c r="J1183" s="3">
        <v>46182</v>
      </c>
      <c r="K1183" s="1" t="s">
        <v>2794</v>
      </c>
    </row>
    <row r="1184" spans="1:11" x14ac:dyDescent="0.35">
      <c r="A1184" s="1" t="s">
        <v>2722</v>
      </c>
      <c r="B1184" s="1" t="s">
        <v>2723</v>
      </c>
      <c r="C1184" s="1" t="s">
        <v>2797</v>
      </c>
      <c r="D1184" s="1" t="str">
        <f>"8465"</f>
        <v>8465</v>
      </c>
      <c r="E1184" s="1" t="str">
        <f>"016206936"</f>
        <v>016206936</v>
      </c>
      <c r="F1184" s="1" t="s">
        <v>2798</v>
      </c>
      <c r="G1184" s="1" t="s">
        <v>16</v>
      </c>
      <c r="H1184" s="1" t="str">
        <f>"6"</f>
        <v>6</v>
      </c>
      <c r="I1184" s="2" t="str">
        <f>"30"</f>
        <v>30</v>
      </c>
      <c r="J1184" s="3">
        <v>46182</v>
      </c>
      <c r="K1184" s="1" t="s">
        <v>2799</v>
      </c>
    </row>
    <row r="1185" spans="1:11" x14ac:dyDescent="0.35">
      <c r="A1185" s="1" t="s">
        <v>2722</v>
      </c>
      <c r="B1185" s="1" t="s">
        <v>2723</v>
      </c>
      <c r="C1185" s="1" t="s">
        <v>2800</v>
      </c>
      <c r="D1185" s="1" t="str">
        <f>"8465"</f>
        <v>8465</v>
      </c>
      <c r="E1185" s="1" t="str">
        <f>"016329659"</f>
        <v>016329659</v>
      </c>
      <c r="F1185" s="1" t="s">
        <v>2801</v>
      </c>
      <c r="G1185" s="1" t="s">
        <v>16</v>
      </c>
      <c r="H1185" s="1" t="str">
        <f>"2"</f>
        <v>2</v>
      </c>
      <c r="I1185" s="2">
        <v>47.81</v>
      </c>
      <c r="J1185" s="3">
        <v>46182</v>
      </c>
      <c r="K1185" s="1" t="s">
        <v>2799</v>
      </c>
    </row>
    <row r="1186" spans="1:11" x14ac:dyDescent="0.35">
      <c r="A1186" s="1" t="s">
        <v>2722</v>
      </c>
      <c r="B1186" s="1" t="s">
        <v>2723</v>
      </c>
      <c r="C1186" s="1" t="s">
        <v>2802</v>
      </c>
      <c r="D1186" s="1" t="str">
        <f>"8465"</f>
        <v>8465</v>
      </c>
      <c r="E1186" s="1" t="str">
        <f>"016419419"</f>
        <v>016419419</v>
      </c>
      <c r="F1186" s="1" t="s">
        <v>2803</v>
      </c>
      <c r="G1186" s="1" t="s">
        <v>16</v>
      </c>
      <c r="H1186" s="1" t="str">
        <f>"2"</f>
        <v>2</v>
      </c>
      <c r="I1186" s="2">
        <v>5.22</v>
      </c>
      <c r="J1186" s="3">
        <v>46182</v>
      </c>
      <c r="K1186" s="1" t="s">
        <v>2799</v>
      </c>
    </row>
    <row r="1187" spans="1:11" x14ac:dyDescent="0.35">
      <c r="A1187" s="1" t="s">
        <v>2722</v>
      </c>
      <c r="B1187" s="1" t="s">
        <v>2723</v>
      </c>
      <c r="C1187" s="1" t="s">
        <v>2804</v>
      </c>
      <c r="D1187" s="1" t="str">
        <f>"8465"</f>
        <v>8465</v>
      </c>
      <c r="E1187" s="1" t="str">
        <f>"016330972"</f>
        <v>016330972</v>
      </c>
      <c r="F1187" s="1" t="s">
        <v>2198</v>
      </c>
      <c r="G1187" s="1" t="s">
        <v>16</v>
      </c>
      <c r="H1187" s="1" t="str">
        <f>"1"</f>
        <v>1</v>
      </c>
      <c r="I1187" s="2">
        <v>254.47</v>
      </c>
      <c r="J1187" s="3">
        <v>46182</v>
      </c>
      <c r="K1187" s="1" t="s">
        <v>2805</v>
      </c>
    </row>
    <row r="1188" spans="1:11" x14ac:dyDescent="0.35">
      <c r="A1188" s="1" t="s">
        <v>2722</v>
      </c>
      <c r="B1188" s="1" t="s">
        <v>2723</v>
      </c>
      <c r="C1188" s="1" t="s">
        <v>2806</v>
      </c>
      <c r="D1188" s="1" t="str">
        <f>"8465"</f>
        <v>8465</v>
      </c>
      <c r="E1188" s="1" t="str">
        <f>"016671005"</f>
        <v>016671005</v>
      </c>
      <c r="F1188" s="1" t="s">
        <v>660</v>
      </c>
      <c r="G1188" s="1" t="s">
        <v>16</v>
      </c>
      <c r="H1188" s="1" t="str">
        <f>"1"</f>
        <v>1</v>
      </c>
      <c r="I1188" s="2">
        <v>595.03</v>
      </c>
      <c r="J1188" s="3">
        <v>46182</v>
      </c>
      <c r="K1188" s="1" t="s">
        <v>2805</v>
      </c>
    </row>
    <row r="1189" spans="1:11" x14ac:dyDescent="0.35">
      <c r="A1189" s="1" t="s">
        <v>2722</v>
      </c>
      <c r="B1189" s="1" t="s">
        <v>2723</v>
      </c>
      <c r="C1189" s="1" t="s">
        <v>2808</v>
      </c>
      <c r="D1189" s="1" t="str">
        <f>"8465"</f>
        <v>8465</v>
      </c>
      <c r="E1189" s="1" t="str">
        <f>"016330609"</f>
        <v>016330609</v>
      </c>
      <c r="F1189" s="1" t="s">
        <v>2793</v>
      </c>
      <c r="G1189" s="1" t="s">
        <v>16</v>
      </c>
      <c r="H1189" s="1" t="str">
        <f>"4"</f>
        <v>4</v>
      </c>
      <c r="I1189" s="2">
        <v>26.34</v>
      </c>
      <c r="J1189" s="3">
        <v>46182</v>
      </c>
      <c r="K1189" s="1" t="s">
        <v>2794</v>
      </c>
    </row>
    <row r="1190" spans="1:11" x14ac:dyDescent="0.35">
      <c r="A1190" s="1" t="s">
        <v>2722</v>
      </c>
      <c r="B1190" s="1" t="s">
        <v>2723</v>
      </c>
      <c r="C1190" s="1" t="s">
        <v>2809</v>
      </c>
      <c r="D1190" s="1" t="str">
        <f>"8465"</f>
        <v>8465</v>
      </c>
      <c r="E1190" s="1" t="str">
        <f>"016206936"</f>
        <v>016206936</v>
      </c>
      <c r="F1190" s="1" t="s">
        <v>2798</v>
      </c>
      <c r="G1190" s="1" t="s">
        <v>16</v>
      </c>
      <c r="H1190" s="1" t="str">
        <f>"4"</f>
        <v>4</v>
      </c>
      <c r="I1190" s="2" t="str">
        <f>"30"</f>
        <v>30</v>
      </c>
      <c r="J1190" s="3">
        <v>46182</v>
      </c>
      <c r="K1190" s="1" t="s">
        <v>2794</v>
      </c>
    </row>
    <row r="1191" spans="1:11" x14ac:dyDescent="0.35">
      <c r="A1191" s="1" t="s">
        <v>2722</v>
      </c>
      <c r="B1191" s="1" t="s">
        <v>2723</v>
      </c>
      <c r="C1191" s="1" t="s">
        <v>2810</v>
      </c>
      <c r="D1191" s="1" t="str">
        <f>"8465"</f>
        <v>8465</v>
      </c>
      <c r="E1191" s="1" t="str">
        <f>"016330604"</f>
        <v>016330604</v>
      </c>
      <c r="F1191" s="1" t="s">
        <v>2793</v>
      </c>
      <c r="G1191" s="1" t="s">
        <v>16</v>
      </c>
      <c r="H1191" s="1" t="str">
        <f>"8"</f>
        <v>8</v>
      </c>
      <c r="I1191" s="2">
        <v>25.22</v>
      </c>
      <c r="J1191" s="3">
        <v>46182</v>
      </c>
      <c r="K1191" s="1" t="s">
        <v>2794</v>
      </c>
    </row>
    <row r="1192" spans="1:11" x14ac:dyDescent="0.35">
      <c r="A1192" s="1" t="s">
        <v>2722</v>
      </c>
      <c r="B1192" s="1" t="s">
        <v>2723</v>
      </c>
      <c r="C1192" s="1" t="s">
        <v>2811</v>
      </c>
      <c r="D1192" s="1" t="str">
        <f>"8465"</f>
        <v>8465</v>
      </c>
      <c r="E1192" s="1" t="str">
        <f>"016330603"</f>
        <v>016330603</v>
      </c>
      <c r="F1192" s="1" t="s">
        <v>2801</v>
      </c>
      <c r="G1192" s="1" t="s">
        <v>16</v>
      </c>
      <c r="H1192" s="1" t="str">
        <f>"17"</f>
        <v>17</v>
      </c>
      <c r="I1192" s="2">
        <v>29.33</v>
      </c>
      <c r="J1192" s="3">
        <v>46182</v>
      </c>
      <c r="K1192" s="1" t="s">
        <v>2794</v>
      </c>
    </row>
    <row r="1193" spans="1:11" x14ac:dyDescent="0.35">
      <c r="A1193" s="1" t="s">
        <v>2722</v>
      </c>
      <c r="B1193" s="1" t="s">
        <v>2723</v>
      </c>
      <c r="C1193" s="1" t="s">
        <v>2749</v>
      </c>
      <c r="D1193" s="1" t="str">
        <f>"6650"</f>
        <v>6650</v>
      </c>
      <c r="E1193" s="1" t="s">
        <v>2750</v>
      </c>
      <c r="F1193" s="1" t="s">
        <v>2751</v>
      </c>
      <c r="G1193" s="1" t="s">
        <v>16</v>
      </c>
      <c r="H1193" s="1" t="str">
        <f>"5"</f>
        <v>5</v>
      </c>
      <c r="I1193" s="2">
        <v>748.11</v>
      </c>
      <c r="J1193" s="3">
        <v>46185</v>
      </c>
      <c r="K1193" s="1" t="s">
        <v>2752</v>
      </c>
    </row>
    <row r="1194" spans="1:11" x14ac:dyDescent="0.35">
      <c r="A1194" s="1" t="s">
        <v>2722</v>
      </c>
      <c r="B1194" s="1" t="s">
        <v>2723</v>
      </c>
      <c r="C1194" s="1" t="s">
        <v>2740</v>
      </c>
      <c r="D1194" s="1" t="str">
        <f>"5120"</f>
        <v>5120</v>
      </c>
      <c r="E1194" s="1" t="str">
        <f>"014767556"</f>
        <v>014767556</v>
      </c>
      <c r="F1194" s="1" t="s">
        <v>586</v>
      </c>
      <c r="G1194" s="1" t="s">
        <v>16</v>
      </c>
      <c r="H1194" s="1" t="str">
        <f>"3"</f>
        <v>3</v>
      </c>
      <c r="I1194" s="2">
        <v>61.83</v>
      </c>
      <c r="J1194" s="3">
        <v>46195</v>
      </c>
      <c r="K1194" s="1" t="s">
        <v>2741</v>
      </c>
    </row>
    <row r="1195" spans="1:11" x14ac:dyDescent="0.35">
      <c r="A1195" s="1" t="s">
        <v>2722</v>
      </c>
      <c r="B1195" s="1" t="s">
        <v>2723</v>
      </c>
      <c r="C1195" s="1" t="s">
        <v>2771</v>
      </c>
      <c r="D1195" s="1" t="str">
        <f>"8415"</f>
        <v>8415</v>
      </c>
      <c r="E1195" s="1" t="str">
        <f>"015430389"</f>
        <v>015430389</v>
      </c>
      <c r="F1195" s="1" t="s">
        <v>2403</v>
      </c>
      <c r="G1195" s="1" t="s">
        <v>16</v>
      </c>
      <c r="H1195" s="1" t="str">
        <f>"1"</f>
        <v>1</v>
      </c>
      <c r="I1195" s="2">
        <v>108.14</v>
      </c>
      <c r="J1195" s="3">
        <v>46195</v>
      </c>
      <c r="K1195" s="1" t="s">
        <v>2772</v>
      </c>
    </row>
    <row r="1196" spans="1:11" x14ac:dyDescent="0.35">
      <c r="A1196" s="1" t="s">
        <v>2722</v>
      </c>
      <c r="B1196" s="1" t="s">
        <v>2723</v>
      </c>
      <c r="C1196" s="1" t="s">
        <v>2773</v>
      </c>
      <c r="D1196" s="1" t="str">
        <f>"8415"</f>
        <v>8415</v>
      </c>
      <c r="E1196" s="1" t="str">
        <f>"015430431"</f>
        <v>015430431</v>
      </c>
      <c r="F1196" s="1" t="s">
        <v>2389</v>
      </c>
      <c r="G1196" s="1" t="s">
        <v>16</v>
      </c>
      <c r="H1196" s="1" t="str">
        <f>"5"</f>
        <v>5</v>
      </c>
      <c r="I1196" s="2">
        <v>126.63</v>
      </c>
      <c r="J1196" s="3">
        <v>46195</v>
      </c>
      <c r="K1196" s="1" t="s">
        <v>2774</v>
      </c>
    </row>
    <row r="1197" spans="1:11" x14ac:dyDescent="0.35">
      <c r="A1197" s="1" t="s">
        <v>2722</v>
      </c>
      <c r="B1197" s="1" t="s">
        <v>2723</v>
      </c>
      <c r="C1197" s="1" t="s">
        <v>2775</v>
      </c>
      <c r="D1197" s="1" t="str">
        <f>"8415"</f>
        <v>8415</v>
      </c>
      <c r="E1197" s="1" t="str">
        <f>"015554183"</f>
        <v>015554183</v>
      </c>
      <c r="F1197" s="1" t="s">
        <v>2776</v>
      </c>
      <c r="G1197" s="1" t="s">
        <v>311</v>
      </c>
      <c r="H1197" s="1" t="str">
        <f>"1"</f>
        <v>1</v>
      </c>
      <c r="I1197" s="2">
        <v>226.43</v>
      </c>
      <c r="J1197" s="3">
        <v>46195</v>
      </c>
      <c r="K1197" s="1" t="s">
        <v>2777</v>
      </c>
    </row>
    <row r="1198" spans="1:11" x14ac:dyDescent="0.35">
      <c r="A1198" s="1" t="s">
        <v>2722</v>
      </c>
      <c r="B1198" s="1" t="s">
        <v>2723</v>
      </c>
      <c r="C1198" s="1" t="s">
        <v>2778</v>
      </c>
      <c r="D1198" s="1" t="str">
        <f>"8415"</f>
        <v>8415</v>
      </c>
      <c r="E1198" s="1" t="str">
        <f>"015430416"</f>
        <v>015430416</v>
      </c>
      <c r="F1198" s="1" t="s">
        <v>2403</v>
      </c>
      <c r="G1198" s="1" t="s">
        <v>16</v>
      </c>
      <c r="H1198" s="1" t="str">
        <f>"12"</f>
        <v>12</v>
      </c>
      <c r="I1198" s="2">
        <v>108.14</v>
      </c>
      <c r="J1198" s="3">
        <v>46195</v>
      </c>
      <c r="K1198" s="1" t="s">
        <v>2772</v>
      </c>
    </row>
    <row r="1199" spans="1:11" x14ac:dyDescent="0.35">
      <c r="A1199" s="1" t="s">
        <v>2722</v>
      </c>
      <c r="B1199" s="1" t="s">
        <v>2723</v>
      </c>
      <c r="C1199" s="1" t="s">
        <v>2779</v>
      </c>
      <c r="D1199" s="1" t="str">
        <f>"8415"</f>
        <v>8415</v>
      </c>
      <c r="E1199" s="1" t="str">
        <f>"015430380"</f>
        <v>015430380</v>
      </c>
      <c r="F1199" s="1" t="s">
        <v>2403</v>
      </c>
      <c r="G1199" s="1" t="s">
        <v>16</v>
      </c>
      <c r="H1199" s="1" t="str">
        <f>"8"</f>
        <v>8</v>
      </c>
      <c r="I1199" s="2">
        <v>104.14</v>
      </c>
      <c r="J1199" s="3">
        <v>46195</v>
      </c>
      <c r="K1199" s="1" t="s">
        <v>2772</v>
      </c>
    </row>
    <row r="1200" spans="1:11" x14ac:dyDescent="0.35">
      <c r="A1200" s="1" t="s">
        <v>2722</v>
      </c>
      <c r="B1200" s="1" t="s">
        <v>2723</v>
      </c>
      <c r="C1200" s="1" t="s">
        <v>2780</v>
      </c>
      <c r="D1200" s="1" t="str">
        <f>"8415"</f>
        <v>8415</v>
      </c>
      <c r="E1200" s="1" t="str">
        <f>"015430422"</f>
        <v>015430422</v>
      </c>
      <c r="F1200" s="1" t="s">
        <v>2389</v>
      </c>
      <c r="G1200" s="1" t="s">
        <v>16</v>
      </c>
      <c r="H1200" s="1" t="str">
        <f>"14"</f>
        <v>14</v>
      </c>
      <c r="I1200" s="2">
        <v>126.63</v>
      </c>
      <c r="J1200" s="3">
        <v>46195</v>
      </c>
      <c r="K1200" s="1" t="s">
        <v>2774</v>
      </c>
    </row>
    <row r="1201" spans="1:11" x14ac:dyDescent="0.35">
      <c r="A1201" s="1" t="s">
        <v>2722</v>
      </c>
      <c r="B1201" s="1" t="s">
        <v>2723</v>
      </c>
      <c r="C1201" s="1" t="s">
        <v>2781</v>
      </c>
      <c r="D1201" s="1" t="str">
        <f>"8415"</f>
        <v>8415</v>
      </c>
      <c r="E1201" s="1" t="str">
        <f>"016855074"</f>
        <v>016855074</v>
      </c>
      <c r="F1201" s="1" t="s">
        <v>493</v>
      </c>
      <c r="G1201" s="1" t="s">
        <v>16</v>
      </c>
      <c r="H1201" s="1" t="str">
        <f>"1"</f>
        <v>1</v>
      </c>
      <c r="I1201" s="2">
        <v>398.75</v>
      </c>
      <c r="J1201" s="3">
        <v>46195</v>
      </c>
      <c r="K1201" s="1" t="s">
        <v>2782</v>
      </c>
    </row>
    <row r="1202" spans="1:11" x14ac:dyDescent="0.35">
      <c r="A1202" s="1" t="s">
        <v>2722</v>
      </c>
      <c r="B1202" s="1" t="s">
        <v>2723</v>
      </c>
      <c r="C1202" s="1" t="s">
        <v>2783</v>
      </c>
      <c r="D1202" s="1" t="str">
        <f>"8415"</f>
        <v>8415</v>
      </c>
      <c r="E1202" s="1" t="str">
        <f>"016855102"</f>
        <v>016855102</v>
      </c>
      <c r="F1202" s="1" t="s">
        <v>493</v>
      </c>
      <c r="G1202" s="1" t="s">
        <v>16</v>
      </c>
      <c r="H1202" s="1" t="str">
        <f>"1"</f>
        <v>1</v>
      </c>
      <c r="I1202" s="2">
        <v>423.75</v>
      </c>
      <c r="J1202" s="3">
        <v>46195</v>
      </c>
      <c r="K1202" s="1" t="s">
        <v>2782</v>
      </c>
    </row>
    <row r="1203" spans="1:11" x14ac:dyDescent="0.35">
      <c r="A1203" s="1" t="s">
        <v>2722</v>
      </c>
      <c r="B1203" s="1" t="s">
        <v>2723</v>
      </c>
      <c r="C1203" s="1" t="s">
        <v>2784</v>
      </c>
      <c r="D1203" s="1" t="str">
        <f>"8415"</f>
        <v>8415</v>
      </c>
      <c r="E1203" s="1" t="str">
        <f>"015437090"</f>
        <v>015437090</v>
      </c>
      <c r="F1203" s="1" t="s">
        <v>2167</v>
      </c>
      <c r="G1203" s="1" t="s">
        <v>16</v>
      </c>
      <c r="H1203" s="1" t="str">
        <f>"8"</f>
        <v>8</v>
      </c>
      <c r="I1203" s="2">
        <v>72.94</v>
      </c>
      <c r="J1203" s="3">
        <v>46195</v>
      </c>
      <c r="K1203" s="1" t="s">
        <v>2772</v>
      </c>
    </row>
    <row r="1204" spans="1:11" x14ac:dyDescent="0.35">
      <c r="A1204" s="1" t="s">
        <v>2722</v>
      </c>
      <c r="B1204" s="1" t="s">
        <v>2723</v>
      </c>
      <c r="C1204" s="1" t="s">
        <v>2785</v>
      </c>
      <c r="D1204" s="1" t="str">
        <f>"8415"</f>
        <v>8415</v>
      </c>
      <c r="E1204" s="1" t="str">
        <f>"015435040"</f>
        <v>015435040</v>
      </c>
      <c r="F1204" s="1" t="s">
        <v>2386</v>
      </c>
      <c r="G1204" s="1" t="s">
        <v>16</v>
      </c>
      <c r="H1204" s="1" t="str">
        <f>"12"</f>
        <v>12</v>
      </c>
      <c r="I1204" s="2">
        <v>94.15</v>
      </c>
      <c r="J1204" s="3">
        <v>46195</v>
      </c>
      <c r="K1204" s="1" t="s">
        <v>2782</v>
      </c>
    </row>
    <row r="1205" spans="1:11" x14ac:dyDescent="0.35">
      <c r="A1205" s="1" t="s">
        <v>2722</v>
      </c>
      <c r="B1205" s="1" t="s">
        <v>2723</v>
      </c>
      <c r="C1205" s="1" t="s">
        <v>2807</v>
      </c>
      <c r="D1205" s="1" t="str">
        <f>"8465"</f>
        <v>8465</v>
      </c>
      <c r="E1205" s="1" t="str">
        <f>"016671005"</f>
        <v>016671005</v>
      </c>
      <c r="F1205" s="1" t="s">
        <v>660</v>
      </c>
      <c r="G1205" s="1" t="s">
        <v>16</v>
      </c>
      <c r="H1205" s="1" t="str">
        <f>"1"</f>
        <v>1</v>
      </c>
      <c r="I1205" s="2">
        <v>595.03</v>
      </c>
      <c r="J1205" s="3">
        <v>46195</v>
      </c>
      <c r="K1205" s="1" t="s">
        <v>2805</v>
      </c>
    </row>
    <row r="1206" spans="1:11" x14ac:dyDescent="0.35">
      <c r="A1206" s="1" t="s">
        <v>2722</v>
      </c>
      <c r="B1206" s="1" t="s">
        <v>2723</v>
      </c>
      <c r="C1206" s="1" t="s">
        <v>2742</v>
      </c>
      <c r="D1206" s="1" t="str">
        <f>"6140"</f>
        <v>6140</v>
      </c>
      <c r="E1206" s="1" t="str">
        <f>"015487566"</f>
        <v>015487566</v>
      </c>
      <c r="F1206" s="1" t="s">
        <v>2743</v>
      </c>
      <c r="G1206" s="1" t="s">
        <v>16</v>
      </c>
      <c r="H1206" s="1" t="str">
        <f>"10"</f>
        <v>10</v>
      </c>
      <c r="I1206" s="2">
        <v>496.73</v>
      </c>
      <c r="J1206" s="3">
        <v>46197</v>
      </c>
      <c r="K1206" s="1" t="s">
        <v>2744</v>
      </c>
    </row>
    <row r="1207" spans="1:11" x14ac:dyDescent="0.35">
      <c r="A1207" s="1" t="s">
        <v>2722</v>
      </c>
      <c r="B1207" s="1" t="s">
        <v>2723</v>
      </c>
      <c r="C1207" s="1" t="s">
        <v>2735</v>
      </c>
      <c r="D1207" s="1" t="str">
        <f>"1005"</f>
        <v>1005</v>
      </c>
      <c r="E1207" s="1" t="str">
        <f>"016727773"</f>
        <v>016727773</v>
      </c>
      <c r="F1207" s="1" t="s">
        <v>2736</v>
      </c>
      <c r="G1207" s="1" t="s">
        <v>16</v>
      </c>
      <c r="H1207" s="1" t="str">
        <f>"10"</f>
        <v>10</v>
      </c>
      <c r="I1207" s="2">
        <v>549.28</v>
      </c>
      <c r="J1207" s="3">
        <v>46203</v>
      </c>
      <c r="K1207" s="1" t="s">
        <v>2737</v>
      </c>
    </row>
    <row r="1208" spans="1:11" x14ac:dyDescent="0.35">
      <c r="A1208" s="1" t="s">
        <v>2812</v>
      </c>
      <c r="B1208" s="1" t="s">
        <v>2813</v>
      </c>
      <c r="C1208" s="1" t="s">
        <v>2821</v>
      </c>
      <c r="D1208" s="1" t="str">
        <f>"5985"</f>
        <v>5985</v>
      </c>
      <c r="E1208" s="1" t="str">
        <f>"015818182"</f>
        <v>015818182</v>
      </c>
      <c r="F1208" s="1" t="s">
        <v>2822</v>
      </c>
      <c r="G1208" s="1" t="s">
        <v>16</v>
      </c>
      <c r="H1208" s="1" t="str">
        <f>"17"</f>
        <v>17</v>
      </c>
      <c r="I1208" s="2">
        <v>53.69</v>
      </c>
      <c r="J1208" s="3">
        <v>46120</v>
      </c>
      <c r="K1208" s="1" t="s">
        <v>2823</v>
      </c>
    </row>
    <row r="1209" spans="1:11" x14ac:dyDescent="0.35">
      <c r="A1209" s="1" t="s">
        <v>2812</v>
      </c>
      <c r="B1209" s="1" t="s">
        <v>2813</v>
      </c>
      <c r="C1209" s="1" t="s">
        <v>2819</v>
      </c>
      <c r="D1209" s="1" t="str">
        <f>"5120"</f>
        <v>5120</v>
      </c>
      <c r="E1209" s="1" t="str">
        <f>"008785932"</f>
        <v>008785932</v>
      </c>
      <c r="F1209" s="1" t="s">
        <v>586</v>
      </c>
      <c r="G1209" s="1" t="s">
        <v>16</v>
      </c>
      <c r="H1209" s="1" t="str">
        <f>"5"</f>
        <v>5</v>
      </c>
      <c r="I1209" s="2">
        <v>97.1</v>
      </c>
      <c r="J1209" s="3">
        <v>46132</v>
      </c>
      <c r="K1209" s="1" t="s">
        <v>2820</v>
      </c>
    </row>
    <row r="1210" spans="1:11" x14ac:dyDescent="0.35">
      <c r="A1210" s="1" t="s">
        <v>2812</v>
      </c>
      <c r="B1210" s="1" t="s">
        <v>2813</v>
      </c>
      <c r="C1210" s="1" t="s">
        <v>2836</v>
      </c>
      <c r="D1210" s="1" t="str">
        <f>"6545"</f>
        <v>6545</v>
      </c>
      <c r="E1210" s="1" t="str">
        <f>"016899365"</f>
        <v>016899365</v>
      </c>
      <c r="F1210" s="1" t="s">
        <v>2837</v>
      </c>
      <c r="G1210" s="1" t="s">
        <v>215</v>
      </c>
      <c r="H1210" s="1" t="str">
        <f>"3"</f>
        <v>3</v>
      </c>
      <c r="I1210" s="2">
        <v>3729.93</v>
      </c>
      <c r="J1210" s="3">
        <v>46132</v>
      </c>
      <c r="K1210" s="1" t="s">
        <v>2838</v>
      </c>
    </row>
    <row r="1211" spans="1:11" x14ac:dyDescent="0.35">
      <c r="A1211" s="1" t="s">
        <v>2812</v>
      </c>
      <c r="B1211" s="1" t="s">
        <v>2813</v>
      </c>
      <c r="C1211" s="1" t="s">
        <v>2841</v>
      </c>
      <c r="D1211" s="1" t="str">
        <f>"7021"</f>
        <v>7021</v>
      </c>
      <c r="E1211" s="1" t="s">
        <v>1644</v>
      </c>
      <c r="F1211" s="1" t="s">
        <v>1645</v>
      </c>
      <c r="G1211" s="1" t="s">
        <v>16</v>
      </c>
      <c r="H1211" s="1" t="str">
        <f>"10"</f>
        <v>10</v>
      </c>
      <c r="I1211" s="2" t="str">
        <f>"1000"</f>
        <v>1000</v>
      </c>
      <c r="J1211" s="3">
        <v>46132</v>
      </c>
      <c r="K1211" s="1" t="s">
        <v>2842</v>
      </c>
    </row>
    <row r="1212" spans="1:11" x14ac:dyDescent="0.35">
      <c r="A1212" s="1" t="s">
        <v>2812</v>
      </c>
      <c r="B1212" s="1" t="s">
        <v>2813</v>
      </c>
      <c r="C1212" s="1" t="s">
        <v>2847</v>
      </c>
      <c r="D1212" s="1" t="str">
        <f>"8415"</f>
        <v>8415</v>
      </c>
      <c r="E1212" s="1" t="str">
        <f>"015386278"</f>
        <v>015386278</v>
      </c>
      <c r="F1212" s="1" t="s">
        <v>1718</v>
      </c>
      <c r="G1212" s="1" t="s">
        <v>16</v>
      </c>
      <c r="H1212" s="1" t="str">
        <f>"2"</f>
        <v>2</v>
      </c>
      <c r="I1212" s="2">
        <v>137.97999999999999</v>
      </c>
      <c r="J1212" s="3">
        <v>46132</v>
      </c>
      <c r="K1212" s="1" t="s">
        <v>2848</v>
      </c>
    </row>
    <row r="1213" spans="1:11" x14ac:dyDescent="0.35">
      <c r="A1213" s="1" t="s">
        <v>2812</v>
      </c>
      <c r="B1213" s="1" t="s">
        <v>2813</v>
      </c>
      <c r="C1213" s="1" t="s">
        <v>2849</v>
      </c>
      <c r="D1213" s="1" t="str">
        <f>"8415"</f>
        <v>8415</v>
      </c>
      <c r="E1213" s="1" t="str">
        <f>"015386300"</f>
        <v>015386300</v>
      </c>
      <c r="F1213" s="1" t="s">
        <v>1718</v>
      </c>
      <c r="G1213" s="1" t="s">
        <v>16</v>
      </c>
      <c r="H1213" s="1" t="str">
        <f>"1"</f>
        <v>1</v>
      </c>
      <c r="I1213" s="2">
        <v>137.97999999999999</v>
      </c>
      <c r="J1213" s="3">
        <v>46132</v>
      </c>
      <c r="K1213" s="1" t="s">
        <v>2850</v>
      </c>
    </row>
    <row r="1214" spans="1:11" x14ac:dyDescent="0.35">
      <c r="A1214" s="1" t="s">
        <v>2812</v>
      </c>
      <c r="B1214" s="1" t="s">
        <v>2813</v>
      </c>
      <c r="C1214" s="1" t="s">
        <v>2851</v>
      </c>
      <c r="D1214" s="1" t="str">
        <f>"8415"</f>
        <v>8415</v>
      </c>
      <c r="E1214" s="1" t="str">
        <f>"015386300"</f>
        <v>015386300</v>
      </c>
      <c r="F1214" s="1" t="s">
        <v>1718</v>
      </c>
      <c r="G1214" s="1" t="s">
        <v>16</v>
      </c>
      <c r="H1214" s="1" t="str">
        <f>"1"</f>
        <v>1</v>
      </c>
      <c r="I1214" s="2">
        <v>137.97999999999999</v>
      </c>
      <c r="J1214" s="3">
        <v>46132</v>
      </c>
      <c r="K1214" s="1" t="s">
        <v>2848</v>
      </c>
    </row>
    <row r="1215" spans="1:11" x14ac:dyDescent="0.35">
      <c r="A1215" s="1" t="s">
        <v>2812</v>
      </c>
      <c r="B1215" s="1" t="s">
        <v>2813</v>
      </c>
      <c r="C1215" s="1" t="s">
        <v>2857</v>
      </c>
      <c r="D1215" s="1" t="str">
        <f>"8465"</f>
        <v>8465</v>
      </c>
      <c r="E1215" s="1" t="str">
        <f>"015851512"</f>
        <v>015851512</v>
      </c>
      <c r="F1215" s="1" t="s">
        <v>1750</v>
      </c>
      <c r="G1215" s="1" t="s">
        <v>458</v>
      </c>
      <c r="H1215" s="1" t="str">
        <f>"1"</f>
        <v>1</v>
      </c>
      <c r="I1215" s="2">
        <v>115.92</v>
      </c>
      <c r="J1215" s="3">
        <v>46132</v>
      </c>
      <c r="K1215" s="1" t="s">
        <v>2858</v>
      </c>
    </row>
    <row r="1216" spans="1:11" x14ac:dyDescent="0.35">
      <c r="A1216" s="1" t="s">
        <v>2812</v>
      </c>
      <c r="B1216" s="1" t="s">
        <v>2813</v>
      </c>
      <c r="C1216" s="1" t="s">
        <v>2883</v>
      </c>
      <c r="D1216" s="1" t="str">
        <f>"8465"</f>
        <v>8465</v>
      </c>
      <c r="E1216" s="1" t="str">
        <f>"015472706"</f>
        <v>015472706</v>
      </c>
      <c r="F1216" s="1" t="s">
        <v>644</v>
      </c>
      <c r="G1216" s="1" t="s">
        <v>16</v>
      </c>
      <c r="H1216" s="1" t="str">
        <f>"12"</f>
        <v>12</v>
      </c>
      <c r="I1216" s="2">
        <v>68.84</v>
      </c>
      <c r="J1216" s="3">
        <v>46132</v>
      </c>
      <c r="K1216" s="1" t="s">
        <v>2884</v>
      </c>
    </row>
    <row r="1217" spans="1:11" x14ac:dyDescent="0.35">
      <c r="A1217" s="1" t="s">
        <v>2812</v>
      </c>
      <c r="B1217" s="1" t="s">
        <v>2885</v>
      </c>
      <c r="C1217" s="1" t="s">
        <v>2888</v>
      </c>
      <c r="D1217" s="1" t="str">
        <f>"2320"</f>
        <v>2320</v>
      </c>
      <c r="E1217" s="1" t="str">
        <f>"013469317"</f>
        <v>013469317</v>
      </c>
      <c r="F1217" s="1" t="s">
        <v>414</v>
      </c>
      <c r="G1217" s="1" t="s">
        <v>16</v>
      </c>
      <c r="H1217" s="1" t="str">
        <f>"1"</f>
        <v>1</v>
      </c>
      <c r="I1217" s="2" t="str">
        <f>"94171"</f>
        <v>94171</v>
      </c>
      <c r="J1217" s="3">
        <v>46143</v>
      </c>
      <c r="K1217" s="1" t="s">
        <v>2889</v>
      </c>
    </row>
    <row r="1218" spans="1:11" x14ac:dyDescent="0.35">
      <c r="A1218" s="1" t="s">
        <v>2812</v>
      </c>
      <c r="B1218" s="1" t="s">
        <v>2885</v>
      </c>
      <c r="C1218" s="1" t="s">
        <v>2890</v>
      </c>
      <c r="D1218" s="1" t="str">
        <f>"2320"</f>
        <v>2320</v>
      </c>
      <c r="E1218" s="1" t="str">
        <f>"013469317"</f>
        <v>013469317</v>
      </c>
      <c r="F1218" s="1" t="s">
        <v>414</v>
      </c>
      <c r="G1218" s="1" t="s">
        <v>16</v>
      </c>
      <c r="H1218" s="1" t="str">
        <f>"1"</f>
        <v>1</v>
      </c>
      <c r="I1218" s="2" t="str">
        <f>"94171"</f>
        <v>94171</v>
      </c>
      <c r="J1218" s="3">
        <v>46143</v>
      </c>
      <c r="K1218" s="1" t="s">
        <v>2889</v>
      </c>
    </row>
    <row r="1219" spans="1:11" x14ac:dyDescent="0.35">
      <c r="A1219" s="1" t="s">
        <v>2812</v>
      </c>
      <c r="B1219" s="1" t="s">
        <v>2813</v>
      </c>
      <c r="C1219" s="1" t="s">
        <v>2824</v>
      </c>
      <c r="D1219" s="1" t="str">
        <f>"6515"</f>
        <v>6515</v>
      </c>
      <c r="E1219" s="1" t="str">
        <f>"011405351"</f>
        <v>011405351</v>
      </c>
      <c r="F1219" s="1" t="s">
        <v>2825</v>
      </c>
      <c r="G1219" s="1" t="s">
        <v>16</v>
      </c>
      <c r="H1219" s="1" t="str">
        <f>"47"</f>
        <v>47</v>
      </c>
      <c r="I1219" s="2">
        <v>2.5299999999999998</v>
      </c>
      <c r="J1219" s="3">
        <v>46153</v>
      </c>
      <c r="K1219" s="1" t="s">
        <v>2826</v>
      </c>
    </row>
    <row r="1220" spans="1:11" x14ac:dyDescent="0.35">
      <c r="A1220" s="1" t="s">
        <v>2812</v>
      </c>
      <c r="B1220" s="1" t="s">
        <v>2813</v>
      </c>
      <c r="C1220" s="1" t="s">
        <v>2827</v>
      </c>
      <c r="D1220" s="1" t="str">
        <f>"6515"</f>
        <v>6515</v>
      </c>
      <c r="E1220" s="1" t="str">
        <f>"011968387"</f>
        <v>011968387</v>
      </c>
      <c r="F1220" s="1" t="s">
        <v>2828</v>
      </c>
      <c r="G1220" s="1" t="s">
        <v>16</v>
      </c>
      <c r="H1220" s="1" t="str">
        <f>"4"</f>
        <v>4</v>
      </c>
      <c r="I1220" s="2">
        <v>130.68</v>
      </c>
      <c r="J1220" s="3">
        <v>46153</v>
      </c>
      <c r="K1220" s="1" t="s">
        <v>2829</v>
      </c>
    </row>
    <row r="1221" spans="1:11" x14ac:dyDescent="0.35">
      <c r="A1221" s="1" t="s">
        <v>2812</v>
      </c>
      <c r="B1221" s="1" t="s">
        <v>2813</v>
      </c>
      <c r="C1221" s="1" t="s">
        <v>2830</v>
      </c>
      <c r="D1221" s="1" t="str">
        <f>"6515"</f>
        <v>6515</v>
      </c>
      <c r="E1221" s="1" t="str">
        <f>"015996715"</f>
        <v>015996715</v>
      </c>
      <c r="F1221" s="1" t="s">
        <v>2831</v>
      </c>
      <c r="G1221" s="1" t="s">
        <v>16</v>
      </c>
      <c r="H1221" s="1" t="str">
        <f>"4"</f>
        <v>4</v>
      </c>
      <c r="I1221" s="2">
        <v>3934.01</v>
      </c>
      <c r="J1221" s="3">
        <v>46153</v>
      </c>
      <c r="K1221" s="1" t="s">
        <v>2832</v>
      </c>
    </row>
    <row r="1222" spans="1:11" x14ac:dyDescent="0.35">
      <c r="A1222" s="1" t="s">
        <v>2812</v>
      </c>
      <c r="B1222" s="1" t="s">
        <v>2813</v>
      </c>
      <c r="C1222" s="1" t="s">
        <v>2833</v>
      </c>
      <c r="D1222" s="1" t="str">
        <f>"6545"</f>
        <v>6545</v>
      </c>
      <c r="E1222" s="1" t="str">
        <f>"015748111"</f>
        <v>015748111</v>
      </c>
      <c r="F1222" s="1" t="s">
        <v>2834</v>
      </c>
      <c r="G1222" s="1" t="s">
        <v>16</v>
      </c>
      <c r="H1222" s="1" t="str">
        <f>"240"</f>
        <v>240</v>
      </c>
      <c r="I1222" s="2">
        <v>148.55000000000001</v>
      </c>
      <c r="J1222" s="3">
        <v>46153</v>
      </c>
      <c r="K1222" s="1" t="s">
        <v>2835</v>
      </c>
    </row>
    <row r="1223" spans="1:11" x14ac:dyDescent="0.35">
      <c r="A1223" s="1" t="s">
        <v>2812</v>
      </c>
      <c r="B1223" s="1" t="s">
        <v>2813</v>
      </c>
      <c r="C1223" s="1" t="s">
        <v>2839</v>
      </c>
      <c r="D1223" s="1" t="str">
        <f>"6545"</f>
        <v>6545</v>
      </c>
      <c r="E1223" s="1" t="str">
        <f>"015300929"</f>
        <v>015300929</v>
      </c>
      <c r="F1223" s="1" t="s">
        <v>236</v>
      </c>
      <c r="G1223" s="1" t="s">
        <v>215</v>
      </c>
      <c r="H1223" s="1" t="str">
        <f>"14"</f>
        <v>14</v>
      </c>
      <c r="I1223" s="2">
        <v>48.71</v>
      </c>
      <c r="J1223" s="3">
        <v>46153</v>
      </c>
      <c r="K1223" s="1" t="s">
        <v>2840</v>
      </c>
    </row>
    <row r="1224" spans="1:11" x14ac:dyDescent="0.35">
      <c r="A1224" s="1" t="s">
        <v>2812</v>
      </c>
      <c r="B1224" s="1" t="s">
        <v>2813</v>
      </c>
      <c r="C1224" s="1" t="s">
        <v>2843</v>
      </c>
      <c r="D1224" s="1" t="str">
        <f>"8405"</f>
        <v>8405</v>
      </c>
      <c r="E1224" s="1" t="str">
        <f>"015472559"</f>
        <v>015472559</v>
      </c>
      <c r="F1224" s="1" t="s">
        <v>1200</v>
      </c>
      <c r="G1224" s="1" t="s">
        <v>16</v>
      </c>
      <c r="H1224" s="1" t="str">
        <f>"20"</f>
        <v>20</v>
      </c>
      <c r="I1224" s="2">
        <v>38.4</v>
      </c>
      <c r="J1224" s="3">
        <v>46153</v>
      </c>
      <c r="K1224" s="1" t="s">
        <v>2844</v>
      </c>
    </row>
    <row r="1225" spans="1:11" x14ac:dyDescent="0.35">
      <c r="A1225" s="1" t="s">
        <v>2812</v>
      </c>
      <c r="B1225" s="1" t="s">
        <v>2813</v>
      </c>
      <c r="C1225" s="1" t="s">
        <v>2845</v>
      </c>
      <c r="D1225" s="1" t="str">
        <f>"8415"</f>
        <v>8415</v>
      </c>
      <c r="E1225" s="1" t="str">
        <f>"015386766"</f>
        <v>015386766</v>
      </c>
      <c r="F1225" s="1" t="s">
        <v>668</v>
      </c>
      <c r="G1225" s="1" t="s">
        <v>16</v>
      </c>
      <c r="H1225" s="1" t="str">
        <f>"30"</f>
        <v>30</v>
      </c>
      <c r="I1225" s="2">
        <v>93.33</v>
      </c>
      <c r="J1225" s="3">
        <v>46153</v>
      </c>
      <c r="K1225" s="1" t="s">
        <v>2846</v>
      </c>
    </row>
    <row r="1226" spans="1:11" x14ac:dyDescent="0.35">
      <c r="A1226" s="1" t="s">
        <v>2812</v>
      </c>
      <c r="B1226" s="1" t="s">
        <v>2813</v>
      </c>
      <c r="C1226" s="1" t="s">
        <v>2854</v>
      </c>
      <c r="D1226" s="1" t="str">
        <f>"8415"</f>
        <v>8415</v>
      </c>
      <c r="E1226" s="1" t="str">
        <f>"015386300"</f>
        <v>015386300</v>
      </c>
      <c r="F1226" s="1" t="s">
        <v>1718</v>
      </c>
      <c r="G1226" s="1" t="s">
        <v>16</v>
      </c>
      <c r="H1226" s="1" t="str">
        <f>"1"</f>
        <v>1</v>
      </c>
      <c r="I1226" s="2">
        <v>137.97999999999999</v>
      </c>
      <c r="J1226" s="3">
        <v>46153</v>
      </c>
      <c r="K1226" s="1" t="s">
        <v>2855</v>
      </c>
    </row>
    <row r="1227" spans="1:11" x14ac:dyDescent="0.35">
      <c r="A1227" s="1" t="s">
        <v>2812</v>
      </c>
      <c r="B1227" s="1" t="s">
        <v>2813</v>
      </c>
      <c r="C1227" s="1" t="s">
        <v>2856</v>
      </c>
      <c r="D1227" s="1" t="str">
        <f>"8415"</f>
        <v>8415</v>
      </c>
      <c r="E1227" s="1" t="str">
        <f>"015386771"</f>
        <v>015386771</v>
      </c>
      <c r="F1227" s="1" t="s">
        <v>668</v>
      </c>
      <c r="G1227" s="1" t="s">
        <v>16</v>
      </c>
      <c r="H1227" s="1" t="str">
        <f>"20"</f>
        <v>20</v>
      </c>
      <c r="I1227" s="2">
        <v>93.33</v>
      </c>
      <c r="J1227" s="3">
        <v>46153</v>
      </c>
      <c r="K1227" s="1" t="s">
        <v>2846</v>
      </c>
    </row>
    <row r="1228" spans="1:11" x14ac:dyDescent="0.35">
      <c r="A1228" s="1" t="s">
        <v>2812</v>
      </c>
      <c r="B1228" s="1" t="s">
        <v>2813</v>
      </c>
      <c r="C1228" s="1" t="s">
        <v>2859</v>
      </c>
      <c r="D1228" s="1" t="str">
        <f>"8465"</f>
        <v>8465</v>
      </c>
      <c r="E1228" s="1" t="str">
        <f>"013936515"</f>
        <v>013936515</v>
      </c>
      <c r="F1228" s="1" t="s">
        <v>1095</v>
      </c>
      <c r="G1228" s="1" t="s">
        <v>16</v>
      </c>
      <c r="H1228" s="1" t="str">
        <f>"3"</f>
        <v>3</v>
      </c>
      <c r="I1228" s="2">
        <v>68.81</v>
      </c>
      <c r="J1228" s="3">
        <v>46153</v>
      </c>
      <c r="K1228" s="1" t="s">
        <v>2860</v>
      </c>
    </row>
    <row r="1229" spans="1:11" x14ac:dyDescent="0.35">
      <c r="A1229" s="1" t="s">
        <v>2812</v>
      </c>
      <c r="B1229" s="1" t="s">
        <v>2813</v>
      </c>
      <c r="C1229" s="1" t="s">
        <v>2861</v>
      </c>
      <c r="D1229" s="1" t="str">
        <f>"8465"</f>
        <v>8465</v>
      </c>
      <c r="E1229" s="1" t="str">
        <f>"013936515"</f>
        <v>013936515</v>
      </c>
      <c r="F1229" s="1" t="s">
        <v>1095</v>
      </c>
      <c r="G1229" s="1" t="s">
        <v>16</v>
      </c>
      <c r="H1229" s="1" t="str">
        <f>"3"</f>
        <v>3</v>
      </c>
      <c r="I1229" s="2">
        <v>68.81</v>
      </c>
      <c r="J1229" s="3">
        <v>46153</v>
      </c>
      <c r="K1229" s="1" t="s">
        <v>2860</v>
      </c>
    </row>
    <row r="1230" spans="1:11" x14ac:dyDescent="0.35">
      <c r="A1230" s="1" t="s">
        <v>2812</v>
      </c>
      <c r="B1230" s="1" t="s">
        <v>2813</v>
      </c>
      <c r="C1230" s="1" t="s">
        <v>2862</v>
      </c>
      <c r="D1230" s="1" t="str">
        <f>"8465"</f>
        <v>8465</v>
      </c>
      <c r="E1230" s="1" t="str">
        <f>"015313647"</f>
        <v>015313647</v>
      </c>
      <c r="F1230" s="1" t="s">
        <v>2863</v>
      </c>
      <c r="G1230" s="1" t="s">
        <v>16</v>
      </c>
      <c r="H1230" s="1" t="str">
        <f>"13"</f>
        <v>13</v>
      </c>
      <c r="I1230" s="2">
        <v>13.09</v>
      </c>
      <c r="J1230" s="3">
        <v>46153</v>
      </c>
      <c r="K1230" s="1" t="s">
        <v>2864</v>
      </c>
    </row>
    <row r="1231" spans="1:11" x14ac:dyDescent="0.35">
      <c r="A1231" s="1" t="s">
        <v>2812</v>
      </c>
      <c r="B1231" s="1" t="s">
        <v>2813</v>
      </c>
      <c r="C1231" s="1" t="s">
        <v>2865</v>
      </c>
      <c r="D1231" s="1" t="str">
        <f>"8465"</f>
        <v>8465</v>
      </c>
      <c r="E1231" s="1" t="str">
        <f>"015247263"</f>
        <v>015247263</v>
      </c>
      <c r="F1231" s="1" t="s">
        <v>2866</v>
      </c>
      <c r="G1231" s="1" t="s">
        <v>16</v>
      </c>
      <c r="H1231" s="1" t="str">
        <f>"19"</f>
        <v>19</v>
      </c>
      <c r="I1231" s="2">
        <v>17.5</v>
      </c>
      <c r="J1231" s="3">
        <v>46153</v>
      </c>
      <c r="K1231" s="1" t="s">
        <v>2867</v>
      </c>
    </row>
    <row r="1232" spans="1:11" x14ac:dyDescent="0.35">
      <c r="A1232" s="1" t="s">
        <v>2812</v>
      </c>
      <c r="B1232" s="1" t="s">
        <v>2813</v>
      </c>
      <c r="C1232" s="1" t="s">
        <v>2868</v>
      </c>
      <c r="D1232" s="1" t="str">
        <f>"8465"</f>
        <v>8465</v>
      </c>
      <c r="E1232" s="1" t="str">
        <f>"015472656"</f>
        <v>015472656</v>
      </c>
      <c r="F1232" s="1" t="s">
        <v>54</v>
      </c>
      <c r="G1232" s="1" t="s">
        <v>16</v>
      </c>
      <c r="H1232" s="1" t="str">
        <f>"20"</f>
        <v>20</v>
      </c>
      <c r="I1232" s="2">
        <v>14.43</v>
      </c>
      <c r="J1232" s="3">
        <v>46153</v>
      </c>
      <c r="K1232" s="1" t="s">
        <v>2869</v>
      </c>
    </row>
    <row r="1233" spans="1:11" x14ac:dyDescent="0.35">
      <c r="A1233" s="1" t="s">
        <v>2812</v>
      </c>
      <c r="B1233" s="1" t="s">
        <v>2813</v>
      </c>
      <c r="C1233" s="1" t="s">
        <v>2870</v>
      </c>
      <c r="D1233" s="1" t="str">
        <f>"8465"</f>
        <v>8465</v>
      </c>
      <c r="E1233" s="1" t="str">
        <f>"015247263"</f>
        <v>015247263</v>
      </c>
      <c r="F1233" s="1" t="s">
        <v>2866</v>
      </c>
      <c r="G1233" s="1" t="s">
        <v>16</v>
      </c>
      <c r="H1233" s="1" t="str">
        <f>"2"</f>
        <v>2</v>
      </c>
      <c r="I1233" s="2">
        <v>17.5</v>
      </c>
      <c r="J1233" s="3">
        <v>46153</v>
      </c>
      <c r="K1233" s="1" t="s">
        <v>2871</v>
      </c>
    </row>
    <row r="1234" spans="1:11" x14ac:dyDescent="0.35">
      <c r="A1234" s="1" t="s">
        <v>2812</v>
      </c>
      <c r="B1234" s="1" t="s">
        <v>2813</v>
      </c>
      <c r="C1234" s="1" t="s">
        <v>2872</v>
      </c>
      <c r="D1234" s="1" t="str">
        <f>"8465"</f>
        <v>8465</v>
      </c>
      <c r="E1234" s="1" t="str">
        <f>"015472644"</f>
        <v>015472644</v>
      </c>
      <c r="F1234" s="1" t="s">
        <v>1240</v>
      </c>
      <c r="G1234" s="1" t="s">
        <v>16</v>
      </c>
      <c r="H1234" s="1" t="str">
        <f>"21"</f>
        <v>21</v>
      </c>
      <c r="I1234" s="2">
        <v>131.53</v>
      </c>
      <c r="J1234" s="3">
        <v>46153</v>
      </c>
      <c r="K1234" s="1" t="s">
        <v>2873</v>
      </c>
    </row>
    <row r="1235" spans="1:11" x14ac:dyDescent="0.35">
      <c r="A1235" s="1" t="s">
        <v>2812</v>
      </c>
      <c r="B1235" s="1" t="s">
        <v>2813</v>
      </c>
      <c r="C1235" s="1" t="s">
        <v>2874</v>
      </c>
      <c r="D1235" s="1" t="str">
        <f>"8465"</f>
        <v>8465</v>
      </c>
      <c r="E1235" s="1" t="str">
        <f>"002616909"</f>
        <v>002616909</v>
      </c>
      <c r="F1235" s="1" t="s">
        <v>691</v>
      </c>
      <c r="G1235" s="1" t="s">
        <v>16</v>
      </c>
      <c r="H1235" s="1" t="str">
        <f>"9"</f>
        <v>9</v>
      </c>
      <c r="I1235" s="2">
        <v>62.69</v>
      </c>
      <c r="J1235" s="3">
        <v>46153</v>
      </c>
      <c r="K1235" s="1" t="s">
        <v>2875</v>
      </c>
    </row>
    <row r="1236" spans="1:11" x14ac:dyDescent="0.35">
      <c r="A1236" s="1" t="s">
        <v>2812</v>
      </c>
      <c r="B1236" s="1" t="s">
        <v>2813</v>
      </c>
      <c r="C1236" s="1" t="s">
        <v>2876</v>
      </c>
      <c r="D1236" s="1" t="str">
        <f>"8465"</f>
        <v>8465</v>
      </c>
      <c r="E1236" s="1" t="str">
        <f>"015247263"</f>
        <v>015247263</v>
      </c>
      <c r="F1236" s="1" t="s">
        <v>2866</v>
      </c>
      <c r="G1236" s="1" t="s">
        <v>16</v>
      </c>
      <c r="H1236" s="1" t="str">
        <f>"1"</f>
        <v>1</v>
      </c>
      <c r="I1236" s="2">
        <v>17.5</v>
      </c>
      <c r="J1236" s="3">
        <v>46153</v>
      </c>
      <c r="K1236" s="1" t="s">
        <v>2877</v>
      </c>
    </row>
    <row r="1237" spans="1:11" x14ac:dyDescent="0.35">
      <c r="A1237" s="1" t="s">
        <v>2812</v>
      </c>
      <c r="B1237" s="1" t="s">
        <v>2813</v>
      </c>
      <c r="C1237" s="1" t="s">
        <v>2878</v>
      </c>
      <c r="D1237" s="1" t="str">
        <f>"8465"</f>
        <v>8465</v>
      </c>
      <c r="E1237" s="1" t="str">
        <f>"015157594"</f>
        <v>015157594</v>
      </c>
      <c r="F1237" s="1" t="s">
        <v>2879</v>
      </c>
      <c r="G1237" s="1" t="s">
        <v>16</v>
      </c>
      <c r="H1237" s="1" t="str">
        <f>"1"</f>
        <v>1</v>
      </c>
      <c r="I1237" s="2" t="str">
        <f>"60"</f>
        <v>60</v>
      </c>
      <c r="J1237" s="3">
        <v>46153</v>
      </c>
      <c r="K1237" s="1" t="s">
        <v>2880</v>
      </c>
    </row>
    <row r="1238" spans="1:11" x14ac:dyDescent="0.35">
      <c r="A1238" s="1" t="s">
        <v>2812</v>
      </c>
      <c r="B1238" s="1" t="s">
        <v>2813</v>
      </c>
      <c r="C1238" s="1" t="s">
        <v>2881</v>
      </c>
      <c r="D1238" s="1" t="str">
        <f>"8465"</f>
        <v>8465</v>
      </c>
      <c r="E1238" s="1" t="str">
        <f>"015851512"</f>
        <v>015851512</v>
      </c>
      <c r="F1238" s="1" t="s">
        <v>1750</v>
      </c>
      <c r="G1238" s="1" t="s">
        <v>458</v>
      </c>
      <c r="H1238" s="1" t="str">
        <f>"3"</f>
        <v>3</v>
      </c>
      <c r="I1238" s="2">
        <v>115.92</v>
      </c>
      <c r="J1238" s="3">
        <v>46153</v>
      </c>
      <c r="K1238" s="1" t="s">
        <v>2882</v>
      </c>
    </row>
    <row r="1239" spans="1:11" x14ac:dyDescent="0.35">
      <c r="A1239" s="1" t="s">
        <v>2812</v>
      </c>
      <c r="B1239" s="1" t="s">
        <v>2813</v>
      </c>
      <c r="C1239" s="1" t="s">
        <v>2814</v>
      </c>
      <c r="D1239" s="1" t="str">
        <f>"1240"</f>
        <v>1240</v>
      </c>
      <c r="E1239" s="1" t="str">
        <f>"015042221"</f>
        <v>015042221</v>
      </c>
      <c r="F1239" s="1" t="s">
        <v>1159</v>
      </c>
      <c r="G1239" s="1" t="s">
        <v>16</v>
      </c>
      <c r="H1239" s="1" t="str">
        <f>"1"</f>
        <v>1</v>
      </c>
      <c r="I1239" s="2" t="str">
        <f>"20501"</f>
        <v>20501</v>
      </c>
      <c r="J1239" s="3">
        <v>46163</v>
      </c>
      <c r="K1239" s="1" t="s">
        <v>2815</v>
      </c>
    </row>
    <row r="1240" spans="1:11" x14ac:dyDescent="0.35">
      <c r="A1240" s="1" t="s">
        <v>2812</v>
      </c>
      <c r="B1240" s="1" t="s">
        <v>2813</v>
      </c>
      <c r="C1240" s="1" t="s">
        <v>2816</v>
      </c>
      <c r="D1240" s="1" t="str">
        <f>"1240"</f>
        <v>1240</v>
      </c>
      <c r="E1240" s="1" t="str">
        <f>"014905099"</f>
        <v>014905099</v>
      </c>
      <c r="F1240" s="1" t="s">
        <v>2817</v>
      </c>
      <c r="G1240" s="1" t="s">
        <v>16</v>
      </c>
      <c r="H1240" s="1" t="str">
        <f>"1"</f>
        <v>1</v>
      </c>
      <c r="I1240" s="2">
        <v>4225.79</v>
      </c>
      <c r="J1240" s="3">
        <v>46163</v>
      </c>
      <c r="K1240" s="1" t="s">
        <v>2818</v>
      </c>
    </row>
    <row r="1241" spans="1:11" x14ac:dyDescent="0.35">
      <c r="A1241" s="1" t="s">
        <v>2812</v>
      </c>
      <c r="B1241" s="1" t="s">
        <v>2813</v>
      </c>
      <c r="C1241" s="1" t="s">
        <v>2852</v>
      </c>
      <c r="D1241" s="1" t="str">
        <f>"8415"</f>
        <v>8415</v>
      </c>
      <c r="E1241" s="1" t="str">
        <f>"015802990"</f>
        <v>015802990</v>
      </c>
      <c r="F1241" s="1" t="s">
        <v>2167</v>
      </c>
      <c r="G1241" s="1" t="s">
        <v>311</v>
      </c>
      <c r="H1241" s="1" t="str">
        <f>"3"</f>
        <v>3</v>
      </c>
      <c r="I1241" s="2">
        <v>113.3</v>
      </c>
      <c r="J1241" s="3">
        <v>46163</v>
      </c>
      <c r="K1241" s="1" t="s">
        <v>2853</v>
      </c>
    </row>
    <row r="1242" spans="1:11" x14ac:dyDescent="0.35">
      <c r="A1242" s="1" t="s">
        <v>2812</v>
      </c>
      <c r="B1242" s="1" t="s">
        <v>2885</v>
      </c>
      <c r="C1242" s="1" t="s">
        <v>2886</v>
      </c>
      <c r="D1242" s="1" t="str">
        <f>"1385"</f>
        <v>1385</v>
      </c>
      <c r="E1242" s="1" t="str">
        <f>"015736046"</f>
        <v>015736046</v>
      </c>
      <c r="F1242" s="1" t="s">
        <v>540</v>
      </c>
      <c r="G1242" s="1" t="s">
        <v>16</v>
      </c>
      <c r="H1242" s="1" t="str">
        <f>"1"</f>
        <v>1</v>
      </c>
      <c r="I1242" s="2">
        <v>284528.08</v>
      </c>
      <c r="J1242" s="3">
        <v>46181</v>
      </c>
      <c r="K1242" s="1" t="s">
        <v>2887</v>
      </c>
    </row>
    <row r="1243" spans="1:11" x14ac:dyDescent="0.35">
      <c r="A1243" s="1" t="s">
        <v>2891</v>
      </c>
      <c r="B1243" s="1" t="s">
        <v>2895</v>
      </c>
      <c r="C1243" s="1" t="s">
        <v>2896</v>
      </c>
      <c r="D1243" s="1" t="str">
        <f>"2340"</f>
        <v>2340</v>
      </c>
      <c r="E1243" s="1" t="s">
        <v>2548</v>
      </c>
      <c r="F1243" s="1" t="s">
        <v>2549</v>
      </c>
      <c r="G1243" s="1" t="s">
        <v>16</v>
      </c>
      <c r="H1243" s="1" t="str">
        <f>"1"</f>
        <v>1</v>
      </c>
      <c r="I1243" s="2" t="str">
        <f>"8000"</f>
        <v>8000</v>
      </c>
      <c r="J1243" s="3">
        <v>46118</v>
      </c>
      <c r="K1243" s="1" t="s">
        <v>2897</v>
      </c>
    </row>
    <row r="1244" spans="1:11" x14ac:dyDescent="0.35">
      <c r="A1244" s="1" t="s">
        <v>2891</v>
      </c>
      <c r="B1244" s="1" t="s">
        <v>2907</v>
      </c>
      <c r="C1244" s="1" t="s">
        <v>2908</v>
      </c>
      <c r="D1244" s="1" t="str">
        <f>"2310"</f>
        <v>2310</v>
      </c>
      <c r="E1244" s="1" t="s">
        <v>178</v>
      </c>
      <c r="F1244" s="1" t="s">
        <v>179</v>
      </c>
      <c r="G1244" s="1" t="s">
        <v>16</v>
      </c>
      <c r="H1244" s="1" t="str">
        <f>"1"</f>
        <v>1</v>
      </c>
      <c r="I1244" s="2" t="str">
        <f>"7500"</f>
        <v>7500</v>
      </c>
      <c r="J1244" s="3">
        <v>46118</v>
      </c>
      <c r="K1244" s="1" t="s">
        <v>2909</v>
      </c>
    </row>
    <row r="1245" spans="1:11" x14ac:dyDescent="0.35">
      <c r="A1245" s="1" t="s">
        <v>2891</v>
      </c>
      <c r="B1245" s="1" t="s">
        <v>2907</v>
      </c>
      <c r="C1245" s="1" t="s">
        <v>2910</v>
      </c>
      <c r="D1245" s="1" t="str">
        <f>"2310"</f>
        <v>2310</v>
      </c>
      <c r="E1245" s="1" t="s">
        <v>178</v>
      </c>
      <c r="F1245" s="1" t="s">
        <v>179</v>
      </c>
      <c r="G1245" s="1" t="s">
        <v>16</v>
      </c>
      <c r="H1245" s="1" t="str">
        <f>"1"</f>
        <v>1</v>
      </c>
      <c r="I1245" s="2" t="str">
        <f>"7500"</f>
        <v>7500</v>
      </c>
      <c r="J1245" s="3">
        <v>46118</v>
      </c>
      <c r="K1245" s="1" t="s">
        <v>2909</v>
      </c>
    </row>
    <row r="1246" spans="1:11" x14ac:dyDescent="0.35">
      <c r="A1246" s="1" t="s">
        <v>2891</v>
      </c>
      <c r="B1246" s="1" t="s">
        <v>2921</v>
      </c>
      <c r="C1246" s="1" t="s">
        <v>2926</v>
      </c>
      <c r="D1246" s="1" t="str">
        <f>"2540"</f>
        <v>2540</v>
      </c>
      <c r="E1246" s="1" t="str">
        <f>"013141189"</f>
        <v>013141189</v>
      </c>
      <c r="F1246" s="1" t="s">
        <v>2927</v>
      </c>
      <c r="G1246" s="1" t="s">
        <v>16</v>
      </c>
      <c r="H1246" s="1" t="str">
        <f>"5"</f>
        <v>5</v>
      </c>
      <c r="I1246" s="2">
        <v>65.8</v>
      </c>
      <c r="J1246" s="3">
        <v>46122</v>
      </c>
      <c r="K1246" s="1" t="s">
        <v>2928</v>
      </c>
    </row>
    <row r="1247" spans="1:11" x14ac:dyDescent="0.35">
      <c r="A1247" s="1" t="s">
        <v>2891</v>
      </c>
      <c r="B1247" s="1" t="s">
        <v>2921</v>
      </c>
      <c r="C1247" s="1" t="s">
        <v>2958</v>
      </c>
      <c r="D1247" s="1" t="str">
        <f>"7025"</f>
        <v>7025</v>
      </c>
      <c r="E1247" s="1" t="str">
        <f>"016442600"</f>
        <v>016442600</v>
      </c>
      <c r="F1247" s="1" t="s">
        <v>2959</v>
      </c>
      <c r="G1247" s="1" t="s">
        <v>16</v>
      </c>
      <c r="H1247" s="1" t="str">
        <f>"4"</f>
        <v>4</v>
      </c>
      <c r="I1247" s="2">
        <v>3138.11</v>
      </c>
      <c r="J1247" s="3">
        <v>46122</v>
      </c>
      <c r="K1247" s="1" t="s">
        <v>2960</v>
      </c>
    </row>
    <row r="1248" spans="1:11" x14ac:dyDescent="0.35">
      <c r="A1248" s="1" t="s">
        <v>2891</v>
      </c>
      <c r="B1248" s="1" t="s">
        <v>2921</v>
      </c>
      <c r="C1248" s="1" t="s">
        <v>2965</v>
      </c>
      <c r="D1248" s="1" t="str">
        <f>"7110"</f>
        <v>7110</v>
      </c>
      <c r="E1248" s="1" t="s">
        <v>2966</v>
      </c>
      <c r="F1248" s="1" t="s">
        <v>2967</v>
      </c>
      <c r="G1248" s="1" t="s">
        <v>16</v>
      </c>
      <c r="H1248" s="1" t="str">
        <f>"2"</f>
        <v>2</v>
      </c>
      <c r="I1248" s="2" t="str">
        <f>"100"</f>
        <v>100</v>
      </c>
      <c r="J1248" s="3">
        <v>46122</v>
      </c>
      <c r="K1248" s="1" t="s">
        <v>2968</v>
      </c>
    </row>
    <row r="1249" spans="1:11" x14ac:dyDescent="0.35">
      <c r="A1249" s="1" t="s">
        <v>2891</v>
      </c>
      <c r="B1249" s="1" t="s">
        <v>2921</v>
      </c>
      <c r="C1249" s="1" t="s">
        <v>2969</v>
      </c>
      <c r="D1249" s="1" t="str">
        <f>"7110"</f>
        <v>7110</v>
      </c>
      <c r="E1249" s="1" t="s">
        <v>2966</v>
      </c>
      <c r="F1249" s="1" t="s">
        <v>2967</v>
      </c>
      <c r="G1249" s="1" t="s">
        <v>16</v>
      </c>
      <c r="H1249" s="1" t="str">
        <f>"4"</f>
        <v>4</v>
      </c>
      <c r="I1249" s="2" t="str">
        <f>"100"</f>
        <v>100</v>
      </c>
      <c r="J1249" s="3">
        <v>46122</v>
      </c>
      <c r="K1249" s="1" t="s">
        <v>2968</v>
      </c>
    </row>
    <row r="1250" spans="1:11" x14ac:dyDescent="0.35">
      <c r="A1250" s="1" t="s">
        <v>2891</v>
      </c>
      <c r="B1250" s="1" t="s">
        <v>2921</v>
      </c>
      <c r="C1250" s="1" t="s">
        <v>2970</v>
      </c>
      <c r="D1250" s="1" t="str">
        <f>"7110"</f>
        <v>7110</v>
      </c>
      <c r="E1250" s="1" t="s">
        <v>2966</v>
      </c>
      <c r="F1250" s="1" t="s">
        <v>2967</v>
      </c>
      <c r="G1250" s="1" t="s">
        <v>16</v>
      </c>
      <c r="H1250" s="1" t="str">
        <f>"6"</f>
        <v>6</v>
      </c>
      <c r="I1250" s="2" t="str">
        <f>"100"</f>
        <v>100</v>
      </c>
      <c r="J1250" s="3">
        <v>46122</v>
      </c>
      <c r="K1250" s="1" t="s">
        <v>2971</v>
      </c>
    </row>
    <row r="1251" spans="1:11" x14ac:dyDescent="0.35">
      <c r="A1251" s="1" t="s">
        <v>2891</v>
      </c>
      <c r="B1251" s="1" t="s">
        <v>2921</v>
      </c>
      <c r="C1251" s="1" t="s">
        <v>2972</v>
      </c>
      <c r="D1251" s="1" t="str">
        <f>"7110"</f>
        <v>7110</v>
      </c>
      <c r="E1251" s="1" t="s">
        <v>2966</v>
      </c>
      <c r="F1251" s="1" t="s">
        <v>2967</v>
      </c>
      <c r="G1251" s="1" t="s">
        <v>16</v>
      </c>
      <c r="H1251" s="1" t="str">
        <f>"3"</f>
        <v>3</v>
      </c>
      <c r="I1251" s="2" t="str">
        <f>"100"</f>
        <v>100</v>
      </c>
      <c r="J1251" s="3">
        <v>46122</v>
      </c>
      <c r="K1251" s="1" t="s">
        <v>2971</v>
      </c>
    </row>
    <row r="1252" spans="1:11" x14ac:dyDescent="0.35">
      <c r="A1252" s="1" t="s">
        <v>2891</v>
      </c>
      <c r="B1252" s="1" t="s">
        <v>3003</v>
      </c>
      <c r="C1252" s="1" t="s">
        <v>3006</v>
      </c>
      <c r="D1252" s="1" t="str">
        <f>"8115"</f>
        <v>8115</v>
      </c>
      <c r="E1252" s="1" t="s">
        <v>483</v>
      </c>
      <c r="F1252" s="1" t="s">
        <v>484</v>
      </c>
      <c r="G1252" s="1" t="s">
        <v>16</v>
      </c>
      <c r="H1252" s="1" t="str">
        <f>"10"</f>
        <v>10</v>
      </c>
      <c r="I1252" s="2" t="str">
        <f>"50"</f>
        <v>50</v>
      </c>
      <c r="J1252" s="3">
        <v>46125</v>
      </c>
      <c r="K1252" s="1" t="s">
        <v>3007</v>
      </c>
    </row>
    <row r="1253" spans="1:11" x14ac:dyDescent="0.35">
      <c r="A1253" s="1" t="s">
        <v>2891</v>
      </c>
      <c r="B1253" s="1" t="s">
        <v>2921</v>
      </c>
      <c r="C1253" s="1" t="s">
        <v>2940</v>
      </c>
      <c r="D1253" s="1" t="str">
        <f>"5440"</f>
        <v>5440</v>
      </c>
      <c r="E1253" s="1" t="str">
        <f>"015898615"</f>
        <v>015898615</v>
      </c>
      <c r="F1253" s="1" t="s">
        <v>2941</v>
      </c>
      <c r="G1253" s="1" t="s">
        <v>16</v>
      </c>
      <c r="H1253" s="1" t="str">
        <f>"1"</f>
        <v>1</v>
      </c>
      <c r="I1253" s="2" t="str">
        <f>"1484"</f>
        <v>1484</v>
      </c>
      <c r="J1253" s="3">
        <v>46126</v>
      </c>
      <c r="K1253" s="1" t="s">
        <v>2942</v>
      </c>
    </row>
    <row r="1254" spans="1:11" x14ac:dyDescent="0.35">
      <c r="A1254" s="1" t="s">
        <v>2891</v>
      </c>
      <c r="B1254" s="1" t="s">
        <v>2921</v>
      </c>
      <c r="C1254" s="1" t="s">
        <v>2943</v>
      </c>
      <c r="D1254" s="1" t="str">
        <f>"5440"</f>
        <v>5440</v>
      </c>
      <c r="E1254" s="1" t="str">
        <f>"015898615"</f>
        <v>015898615</v>
      </c>
      <c r="F1254" s="1" t="s">
        <v>2941</v>
      </c>
      <c r="G1254" s="1" t="s">
        <v>16</v>
      </c>
      <c r="H1254" s="1" t="str">
        <f>"1"</f>
        <v>1</v>
      </c>
      <c r="I1254" s="2" t="str">
        <f>"1484"</f>
        <v>1484</v>
      </c>
      <c r="J1254" s="3">
        <v>46126</v>
      </c>
      <c r="K1254" s="1" t="s">
        <v>2942</v>
      </c>
    </row>
    <row r="1255" spans="1:11" x14ac:dyDescent="0.35">
      <c r="A1255" s="1" t="s">
        <v>2891</v>
      </c>
      <c r="B1255" s="1" t="s">
        <v>2979</v>
      </c>
      <c r="C1255" s="1" t="s">
        <v>2980</v>
      </c>
      <c r="D1255" s="1" t="str">
        <f>"2320"</f>
        <v>2320</v>
      </c>
      <c r="E1255" s="1" t="str">
        <f>"013469317"</f>
        <v>013469317</v>
      </c>
      <c r="F1255" s="1" t="s">
        <v>414</v>
      </c>
      <c r="G1255" s="1" t="s">
        <v>16</v>
      </c>
      <c r="H1255" s="1" t="str">
        <f>"1"</f>
        <v>1</v>
      </c>
      <c r="I1255" s="2" t="str">
        <f>"94171"</f>
        <v>94171</v>
      </c>
      <c r="J1255" s="3">
        <v>46128</v>
      </c>
      <c r="K1255" s="1" t="s">
        <v>2981</v>
      </c>
    </row>
    <row r="1256" spans="1:11" x14ac:dyDescent="0.35">
      <c r="A1256" s="1" t="s">
        <v>2891</v>
      </c>
      <c r="B1256" s="1" t="s">
        <v>2921</v>
      </c>
      <c r="C1256" s="1" t="s">
        <v>2924</v>
      </c>
      <c r="D1256" s="1" t="str">
        <f>"2330"</f>
        <v>2330</v>
      </c>
      <c r="E1256" s="1" t="s">
        <v>70</v>
      </c>
      <c r="F1256" s="1" t="s">
        <v>71</v>
      </c>
      <c r="G1256" s="1" t="s">
        <v>16</v>
      </c>
      <c r="H1256" s="1" t="str">
        <f>"1"</f>
        <v>1</v>
      </c>
      <c r="I1256" s="2" t="str">
        <f>"14555"</f>
        <v>14555</v>
      </c>
      <c r="J1256" s="3">
        <v>46129</v>
      </c>
      <c r="K1256" s="1" t="s">
        <v>2925</v>
      </c>
    </row>
    <row r="1257" spans="1:11" x14ac:dyDescent="0.35">
      <c r="A1257" s="1" t="s">
        <v>2891</v>
      </c>
      <c r="B1257" s="1" t="s">
        <v>3008</v>
      </c>
      <c r="C1257" s="1" t="s">
        <v>3009</v>
      </c>
      <c r="D1257" s="1" t="str">
        <f>"2320"</f>
        <v>2320</v>
      </c>
      <c r="E1257" s="1" t="str">
        <f>"014474938"</f>
        <v>014474938</v>
      </c>
      <c r="F1257" s="1" t="s">
        <v>360</v>
      </c>
      <c r="G1257" s="1" t="s">
        <v>16</v>
      </c>
      <c r="H1257" s="1" t="str">
        <f>"1"</f>
        <v>1</v>
      </c>
      <c r="I1257" s="2" t="str">
        <f>"230363"</f>
        <v>230363</v>
      </c>
      <c r="J1257" s="3">
        <v>46133</v>
      </c>
      <c r="K1257" s="1" t="s">
        <v>3010</v>
      </c>
    </row>
    <row r="1258" spans="1:11" x14ac:dyDescent="0.35">
      <c r="A1258" s="1" t="s">
        <v>2891</v>
      </c>
      <c r="B1258" s="1" t="s">
        <v>2982</v>
      </c>
      <c r="C1258" s="1" t="s">
        <v>2983</v>
      </c>
      <c r="D1258" s="1" t="str">
        <f>"2310"</f>
        <v>2310</v>
      </c>
      <c r="E1258" s="1" t="s">
        <v>967</v>
      </c>
      <c r="F1258" s="1" t="s">
        <v>968</v>
      </c>
      <c r="G1258" s="1" t="s">
        <v>16</v>
      </c>
      <c r="H1258" s="1" t="str">
        <f>"1"</f>
        <v>1</v>
      </c>
      <c r="I1258" s="2" t="str">
        <f>"25000"</f>
        <v>25000</v>
      </c>
      <c r="J1258" s="3">
        <v>46139</v>
      </c>
      <c r="K1258" s="1" t="s">
        <v>2984</v>
      </c>
    </row>
    <row r="1259" spans="1:11" x14ac:dyDescent="0.35">
      <c r="A1259" s="1" t="s">
        <v>2891</v>
      </c>
      <c r="B1259" s="1" t="s">
        <v>2892</v>
      </c>
      <c r="C1259" s="1" t="s">
        <v>2893</v>
      </c>
      <c r="D1259" s="1" t="str">
        <f>"5855"</f>
        <v>5855</v>
      </c>
      <c r="E1259" s="1" t="str">
        <f>"015485687"</f>
        <v>015485687</v>
      </c>
      <c r="F1259" s="1" t="s">
        <v>1921</v>
      </c>
      <c r="G1259" s="1" t="s">
        <v>16</v>
      </c>
      <c r="H1259" s="1" t="str">
        <f>"50"</f>
        <v>50</v>
      </c>
      <c r="I1259" s="2" t="str">
        <f>"10402"</f>
        <v>10402</v>
      </c>
      <c r="J1259" s="3">
        <v>46140</v>
      </c>
      <c r="K1259" s="1" t="s">
        <v>2894</v>
      </c>
    </row>
    <row r="1260" spans="1:11" x14ac:dyDescent="0.35">
      <c r="A1260" s="1" t="s">
        <v>2891</v>
      </c>
      <c r="B1260" s="1" t="s">
        <v>2985</v>
      </c>
      <c r="C1260" s="1" t="s">
        <v>2986</v>
      </c>
      <c r="D1260" s="1" t="str">
        <f>"2320"</f>
        <v>2320</v>
      </c>
      <c r="E1260" s="1" t="str">
        <f>"009263656"</f>
        <v>009263656</v>
      </c>
      <c r="F1260" s="1" t="s">
        <v>271</v>
      </c>
      <c r="G1260" s="1" t="s">
        <v>16</v>
      </c>
      <c r="H1260" s="1" t="str">
        <f>"1"</f>
        <v>1</v>
      </c>
      <c r="I1260" s="2" t="str">
        <f>"4169"</f>
        <v>4169</v>
      </c>
      <c r="J1260" s="3">
        <v>46142</v>
      </c>
      <c r="K1260" s="1" t="s">
        <v>5165</v>
      </c>
    </row>
    <row r="1261" spans="1:11" x14ac:dyDescent="0.35">
      <c r="A1261" s="1" t="s">
        <v>2891</v>
      </c>
      <c r="B1261" s="1" t="s">
        <v>2985</v>
      </c>
      <c r="C1261" s="1" t="s">
        <v>2989</v>
      </c>
      <c r="D1261" s="1" t="str">
        <f>"7010"</f>
        <v>7010</v>
      </c>
      <c r="E1261" s="1" t="s">
        <v>1640</v>
      </c>
      <c r="F1261" s="1" t="s">
        <v>1641</v>
      </c>
      <c r="G1261" s="1" t="s">
        <v>16</v>
      </c>
      <c r="H1261" s="1" t="str">
        <f>"3"</f>
        <v>3</v>
      </c>
      <c r="I1261" s="2" t="str">
        <f>"1182"</f>
        <v>1182</v>
      </c>
      <c r="J1261" s="3">
        <v>46142</v>
      </c>
      <c r="K1261" s="1" t="s">
        <v>2990</v>
      </c>
    </row>
    <row r="1262" spans="1:11" x14ac:dyDescent="0.35">
      <c r="A1262" s="1" t="s">
        <v>2891</v>
      </c>
      <c r="B1262" s="1" t="s">
        <v>3003</v>
      </c>
      <c r="C1262" s="1" t="s">
        <v>3004</v>
      </c>
      <c r="D1262" s="1" t="str">
        <f>"7010"</f>
        <v>7010</v>
      </c>
      <c r="E1262" s="1" t="s">
        <v>1640</v>
      </c>
      <c r="F1262" s="1" t="s">
        <v>1641</v>
      </c>
      <c r="G1262" s="1" t="s">
        <v>16</v>
      </c>
      <c r="H1262" s="1" t="str">
        <f>"3"</f>
        <v>3</v>
      </c>
      <c r="I1262" s="2" t="str">
        <f>"1182"</f>
        <v>1182</v>
      </c>
      <c r="J1262" s="3">
        <v>46142</v>
      </c>
      <c r="K1262" s="1" t="s">
        <v>3005</v>
      </c>
    </row>
    <row r="1263" spans="1:11" x14ac:dyDescent="0.35">
      <c r="A1263" s="1" t="s">
        <v>2891</v>
      </c>
      <c r="B1263" s="1" t="s">
        <v>3029</v>
      </c>
      <c r="C1263" s="1" t="s">
        <v>3030</v>
      </c>
      <c r="D1263" s="1" t="str">
        <f>"2310"</f>
        <v>2310</v>
      </c>
      <c r="E1263" s="1" t="str">
        <f>"011350996"</f>
        <v>011350996</v>
      </c>
      <c r="F1263" s="1" t="s">
        <v>1489</v>
      </c>
      <c r="G1263" s="1" t="s">
        <v>16</v>
      </c>
      <c r="H1263" s="1" t="str">
        <f>"1"</f>
        <v>1</v>
      </c>
      <c r="I1263" s="2" t="str">
        <f>"80000"</f>
        <v>80000</v>
      </c>
      <c r="J1263" s="3">
        <v>46142</v>
      </c>
      <c r="K1263" s="1" t="s">
        <v>3031</v>
      </c>
    </row>
    <row r="1264" spans="1:11" x14ac:dyDescent="0.35">
      <c r="A1264" s="1" t="s">
        <v>2891</v>
      </c>
      <c r="B1264" s="1" t="s">
        <v>2985</v>
      </c>
      <c r="C1264" s="1" t="s">
        <v>2987</v>
      </c>
      <c r="D1264" s="1" t="str">
        <f>"2330"</f>
        <v>2330</v>
      </c>
      <c r="E1264" s="1" t="s">
        <v>70</v>
      </c>
      <c r="F1264" s="1" t="s">
        <v>71</v>
      </c>
      <c r="G1264" s="1" t="s">
        <v>16</v>
      </c>
      <c r="H1264" s="1" t="str">
        <f>"1"</f>
        <v>1</v>
      </c>
      <c r="I1264" s="2" t="str">
        <f>"14555"</f>
        <v>14555</v>
      </c>
      <c r="J1264" s="3">
        <v>46148</v>
      </c>
      <c r="K1264" s="1" t="s">
        <v>2988</v>
      </c>
    </row>
    <row r="1265" spans="1:11" x14ac:dyDescent="0.35">
      <c r="A1265" s="1" t="s">
        <v>2891</v>
      </c>
      <c r="B1265" s="1" t="s">
        <v>2921</v>
      </c>
      <c r="C1265" s="1" t="s">
        <v>2948</v>
      </c>
      <c r="D1265" s="1" t="str">
        <f>"6665"</f>
        <v>6665</v>
      </c>
      <c r="E1265" s="1" t="s">
        <v>2949</v>
      </c>
      <c r="F1265" s="1" t="s">
        <v>2950</v>
      </c>
      <c r="G1265" s="1" t="s">
        <v>16</v>
      </c>
      <c r="H1265" s="1" t="str">
        <f>"2"</f>
        <v>2</v>
      </c>
      <c r="I1265" s="2">
        <v>1244.97</v>
      </c>
      <c r="J1265" s="3">
        <v>46150</v>
      </c>
      <c r="K1265" s="1" t="s">
        <v>2951</v>
      </c>
    </row>
    <row r="1266" spans="1:11" x14ac:dyDescent="0.35">
      <c r="A1266" s="1" t="s">
        <v>2891</v>
      </c>
      <c r="B1266" s="1" t="s">
        <v>2921</v>
      </c>
      <c r="C1266" s="1" t="s">
        <v>2952</v>
      </c>
      <c r="D1266" s="1" t="str">
        <f>"6665"</f>
        <v>6665</v>
      </c>
      <c r="E1266" s="1" t="s">
        <v>2949</v>
      </c>
      <c r="F1266" s="1" t="s">
        <v>2950</v>
      </c>
      <c r="G1266" s="1" t="s">
        <v>16</v>
      </c>
      <c r="H1266" s="1" t="str">
        <f>"5"</f>
        <v>5</v>
      </c>
      <c r="I1266" s="2">
        <v>1244.97</v>
      </c>
      <c r="J1266" s="3">
        <v>46150</v>
      </c>
      <c r="K1266" s="1" t="s">
        <v>2951</v>
      </c>
    </row>
    <row r="1267" spans="1:11" x14ac:dyDescent="0.35">
      <c r="A1267" s="1" t="s">
        <v>2891</v>
      </c>
      <c r="B1267" s="1" t="s">
        <v>2921</v>
      </c>
      <c r="C1267" s="1" t="s">
        <v>2953</v>
      </c>
      <c r="D1267" s="1" t="str">
        <f>"6665"</f>
        <v>6665</v>
      </c>
      <c r="E1267" s="1" t="s">
        <v>2949</v>
      </c>
      <c r="F1267" s="1" t="s">
        <v>2950</v>
      </c>
      <c r="G1267" s="1" t="s">
        <v>16</v>
      </c>
      <c r="H1267" s="1" t="str">
        <f>"11"</f>
        <v>11</v>
      </c>
      <c r="I1267" s="2">
        <v>1244.97</v>
      </c>
      <c r="J1267" s="3">
        <v>46150</v>
      </c>
      <c r="K1267" s="1" t="s">
        <v>2954</v>
      </c>
    </row>
    <row r="1268" spans="1:11" x14ac:dyDescent="0.35">
      <c r="A1268" s="1" t="s">
        <v>2891</v>
      </c>
      <c r="B1268" s="1" t="s">
        <v>2921</v>
      </c>
      <c r="C1268" s="1" t="s">
        <v>2961</v>
      </c>
      <c r="D1268" s="1" t="str">
        <f>"7110"</f>
        <v>7110</v>
      </c>
      <c r="E1268" s="1" t="s">
        <v>2962</v>
      </c>
      <c r="F1268" s="1" t="s">
        <v>2963</v>
      </c>
      <c r="G1268" s="1" t="s">
        <v>16</v>
      </c>
      <c r="H1268" s="1" t="str">
        <f>"2"</f>
        <v>2</v>
      </c>
      <c r="I1268" s="2" t="str">
        <f>"651"</f>
        <v>651</v>
      </c>
      <c r="J1268" s="3">
        <v>46150</v>
      </c>
      <c r="K1268" s="1" t="s">
        <v>2964</v>
      </c>
    </row>
    <row r="1269" spans="1:11" x14ac:dyDescent="0.35">
      <c r="A1269" s="1" t="s">
        <v>2891</v>
      </c>
      <c r="B1269" s="1" t="s">
        <v>2921</v>
      </c>
      <c r="C1269" s="1" t="s">
        <v>2973</v>
      </c>
      <c r="D1269" s="1" t="str">
        <f>"7110"</f>
        <v>7110</v>
      </c>
      <c r="E1269" s="1" t="s">
        <v>2966</v>
      </c>
      <c r="F1269" s="1" t="s">
        <v>2967</v>
      </c>
      <c r="G1269" s="1" t="s">
        <v>16</v>
      </c>
      <c r="H1269" s="1" t="str">
        <f>"3"</f>
        <v>3</v>
      </c>
      <c r="I1269" s="2" t="str">
        <f>"100"</f>
        <v>100</v>
      </c>
      <c r="J1269" s="3">
        <v>46150</v>
      </c>
      <c r="K1269" s="1" t="s">
        <v>2968</v>
      </c>
    </row>
    <row r="1270" spans="1:11" x14ac:dyDescent="0.35">
      <c r="A1270" s="1" t="s">
        <v>2891</v>
      </c>
      <c r="B1270" s="1" t="s">
        <v>2921</v>
      </c>
      <c r="C1270" s="1" t="s">
        <v>2974</v>
      </c>
      <c r="D1270" s="1" t="str">
        <f>"7110"</f>
        <v>7110</v>
      </c>
      <c r="E1270" s="1" t="s">
        <v>2966</v>
      </c>
      <c r="F1270" s="1" t="s">
        <v>2967</v>
      </c>
      <c r="G1270" s="1" t="s">
        <v>16</v>
      </c>
      <c r="H1270" s="1" t="str">
        <f>"6"</f>
        <v>6</v>
      </c>
      <c r="I1270" s="2" t="str">
        <f>"100"</f>
        <v>100</v>
      </c>
      <c r="J1270" s="3">
        <v>46150</v>
      </c>
      <c r="K1270" s="1" t="s">
        <v>2971</v>
      </c>
    </row>
    <row r="1271" spans="1:11" x14ac:dyDescent="0.35">
      <c r="A1271" s="1" t="s">
        <v>2891</v>
      </c>
      <c r="B1271" s="1" t="s">
        <v>2991</v>
      </c>
      <c r="C1271" s="1" t="s">
        <v>2992</v>
      </c>
      <c r="D1271" s="1" t="str">
        <f>"5180"</f>
        <v>5180</v>
      </c>
      <c r="E1271" s="1" t="str">
        <f>"016282372"</f>
        <v>016282372</v>
      </c>
      <c r="F1271" s="1" t="s">
        <v>2993</v>
      </c>
      <c r="G1271" s="1" t="s">
        <v>215</v>
      </c>
      <c r="H1271" s="1" t="str">
        <f>"1"</f>
        <v>1</v>
      </c>
      <c r="I1271" s="2" t="str">
        <f>"2523"</f>
        <v>2523</v>
      </c>
      <c r="J1271" s="3">
        <v>46150</v>
      </c>
      <c r="K1271" s="1" t="s">
        <v>2994</v>
      </c>
    </row>
    <row r="1272" spans="1:11" x14ac:dyDescent="0.35">
      <c r="A1272" s="1" t="s">
        <v>2891</v>
      </c>
      <c r="B1272" s="1" t="s">
        <v>2991</v>
      </c>
      <c r="C1272" s="1" t="s">
        <v>2995</v>
      </c>
      <c r="D1272" s="1" t="str">
        <f>"5180"</f>
        <v>5180</v>
      </c>
      <c r="E1272" s="1" t="str">
        <f>"015878129"</f>
        <v>015878129</v>
      </c>
      <c r="F1272" s="1" t="s">
        <v>2993</v>
      </c>
      <c r="G1272" s="1" t="s">
        <v>16</v>
      </c>
      <c r="H1272" s="1" t="str">
        <f>"3"</f>
        <v>3</v>
      </c>
      <c r="I1272" s="2">
        <v>1720.12</v>
      </c>
      <c r="J1272" s="3">
        <v>46150</v>
      </c>
      <c r="K1272" s="1" t="s">
        <v>2996</v>
      </c>
    </row>
    <row r="1273" spans="1:11" x14ac:dyDescent="0.35">
      <c r="A1273" s="1" t="s">
        <v>2891</v>
      </c>
      <c r="B1273" s="1" t="s">
        <v>2991</v>
      </c>
      <c r="C1273" s="1" t="s">
        <v>2997</v>
      </c>
      <c r="D1273" s="1" t="str">
        <f>"6545"</f>
        <v>6545</v>
      </c>
      <c r="E1273" s="1" t="str">
        <f>"016675039"</f>
        <v>016675039</v>
      </c>
      <c r="F1273" s="1" t="s">
        <v>236</v>
      </c>
      <c r="G1273" s="1" t="s">
        <v>16</v>
      </c>
      <c r="H1273" s="1" t="str">
        <f>"5"</f>
        <v>5</v>
      </c>
      <c r="I1273" s="2">
        <v>200.91</v>
      </c>
      <c r="J1273" s="3">
        <v>46150</v>
      </c>
      <c r="K1273" s="1" t="s">
        <v>2998</v>
      </c>
    </row>
    <row r="1274" spans="1:11" x14ac:dyDescent="0.35">
      <c r="A1274" s="1" t="s">
        <v>2891</v>
      </c>
      <c r="B1274" s="1" t="s">
        <v>2991</v>
      </c>
      <c r="C1274" s="1" t="s">
        <v>2999</v>
      </c>
      <c r="D1274" s="1" t="str">
        <f>"6545"</f>
        <v>6545</v>
      </c>
      <c r="E1274" s="1" t="str">
        <f>"015300929"</f>
        <v>015300929</v>
      </c>
      <c r="F1274" s="1" t="s">
        <v>236</v>
      </c>
      <c r="G1274" s="1" t="s">
        <v>215</v>
      </c>
      <c r="H1274" s="1" t="str">
        <f>"10"</f>
        <v>10</v>
      </c>
      <c r="I1274" s="2">
        <v>48.71</v>
      </c>
      <c r="J1274" s="3">
        <v>46150</v>
      </c>
      <c r="K1274" s="1" t="s">
        <v>2998</v>
      </c>
    </row>
    <row r="1275" spans="1:11" x14ac:dyDescent="0.35">
      <c r="A1275" s="1" t="s">
        <v>2891</v>
      </c>
      <c r="B1275" s="1" t="s">
        <v>2991</v>
      </c>
      <c r="C1275" s="1" t="s">
        <v>3000</v>
      </c>
      <c r="D1275" s="1" t="str">
        <f>"8415"</f>
        <v>8415</v>
      </c>
      <c r="E1275" s="1" t="str">
        <f>"016558507"</f>
        <v>016558507</v>
      </c>
      <c r="F1275" s="1" t="s">
        <v>3001</v>
      </c>
      <c r="G1275" s="1" t="s">
        <v>311</v>
      </c>
      <c r="H1275" s="1" t="str">
        <f>"12"</f>
        <v>12</v>
      </c>
      <c r="I1275" s="2" t="str">
        <f>"62"</f>
        <v>62</v>
      </c>
      <c r="J1275" s="3">
        <v>46150</v>
      </c>
      <c r="K1275" s="1" t="s">
        <v>3002</v>
      </c>
    </row>
    <row r="1276" spans="1:11" x14ac:dyDescent="0.35">
      <c r="A1276" s="1" t="s">
        <v>2891</v>
      </c>
      <c r="B1276" s="1" t="s">
        <v>3029</v>
      </c>
      <c r="C1276" s="1" t="s">
        <v>3032</v>
      </c>
      <c r="D1276" s="1" t="str">
        <f>"2310"</f>
        <v>2310</v>
      </c>
      <c r="E1276" s="1" t="s">
        <v>178</v>
      </c>
      <c r="F1276" s="1" t="s">
        <v>179</v>
      </c>
      <c r="G1276" s="1" t="s">
        <v>16</v>
      </c>
      <c r="H1276" s="1" t="str">
        <f>"1"</f>
        <v>1</v>
      </c>
      <c r="I1276" s="2" t="str">
        <f>"20000"</f>
        <v>20000</v>
      </c>
      <c r="J1276" s="3">
        <v>46154</v>
      </c>
      <c r="K1276" s="1" t="s">
        <v>3033</v>
      </c>
    </row>
    <row r="1277" spans="1:11" x14ac:dyDescent="0.35">
      <c r="A1277" s="1" t="s">
        <v>2891</v>
      </c>
      <c r="B1277" s="1" t="s">
        <v>3029</v>
      </c>
      <c r="C1277" s="1" t="s">
        <v>3034</v>
      </c>
      <c r="D1277" s="1" t="str">
        <f>"2310"</f>
        <v>2310</v>
      </c>
      <c r="E1277" s="1" t="s">
        <v>3035</v>
      </c>
      <c r="F1277" s="1" t="s">
        <v>3036</v>
      </c>
      <c r="G1277" s="1" t="s">
        <v>16</v>
      </c>
      <c r="H1277" s="1" t="str">
        <f>"1"</f>
        <v>1</v>
      </c>
      <c r="I1277" s="2" t="str">
        <f>"30840"</f>
        <v>30840</v>
      </c>
      <c r="J1277" s="3">
        <v>46154</v>
      </c>
      <c r="K1277" s="1" t="s">
        <v>3033</v>
      </c>
    </row>
    <row r="1278" spans="1:11" x14ac:dyDescent="0.35">
      <c r="A1278" s="1" t="s">
        <v>2891</v>
      </c>
      <c r="B1278" s="1" t="s">
        <v>2911</v>
      </c>
      <c r="C1278" s="1" t="s">
        <v>2912</v>
      </c>
      <c r="D1278" s="1" t="str">
        <f>"6130"</f>
        <v>6130</v>
      </c>
      <c r="E1278" s="1" t="str">
        <f>"016677839"</f>
        <v>016677839</v>
      </c>
      <c r="F1278" s="1" t="s">
        <v>1290</v>
      </c>
      <c r="G1278" s="1" t="s">
        <v>16</v>
      </c>
      <c r="H1278" s="1" t="str">
        <f>"10"</f>
        <v>10</v>
      </c>
      <c r="I1278" s="2" t="str">
        <f>"159"</f>
        <v>159</v>
      </c>
      <c r="J1278" s="3">
        <v>46155</v>
      </c>
      <c r="K1278" s="1" t="s">
        <v>2913</v>
      </c>
    </row>
    <row r="1279" spans="1:11" x14ac:dyDescent="0.35">
      <c r="A1279" s="1" t="s">
        <v>2891</v>
      </c>
      <c r="B1279" s="1" t="s">
        <v>2911</v>
      </c>
      <c r="C1279" s="1" t="s">
        <v>2914</v>
      </c>
      <c r="D1279" s="1" t="str">
        <f>"7025"</f>
        <v>7025</v>
      </c>
      <c r="E1279" s="1" t="s">
        <v>2915</v>
      </c>
      <c r="F1279" s="1" t="s">
        <v>2916</v>
      </c>
      <c r="G1279" s="1" t="s">
        <v>16</v>
      </c>
      <c r="H1279" s="1" t="str">
        <f>"50"</f>
        <v>50</v>
      </c>
      <c r="I1279" s="2" t="str">
        <f>"5"</f>
        <v>5</v>
      </c>
      <c r="J1279" s="3">
        <v>46155</v>
      </c>
      <c r="K1279" s="1" t="s">
        <v>2917</v>
      </c>
    </row>
    <row r="1280" spans="1:11" x14ac:dyDescent="0.35">
      <c r="A1280" s="1" t="s">
        <v>2891</v>
      </c>
      <c r="B1280" s="1" t="s">
        <v>2911</v>
      </c>
      <c r="C1280" s="1" t="s">
        <v>2918</v>
      </c>
      <c r="D1280" s="1" t="str">
        <f>"7320"</f>
        <v>7320</v>
      </c>
      <c r="E1280" s="1" t="str">
        <f>"010435415"</f>
        <v>010435415</v>
      </c>
      <c r="F1280" s="1" t="s">
        <v>2919</v>
      </c>
      <c r="G1280" s="1" t="s">
        <v>16</v>
      </c>
      <c r="H1280" s="1" t="str">
        <f>"55"</f>
        <v>55</v>
      </c>
      <c r="I1280" s="2">
        <v>24.8</v>
      </c>
      <c r="J1280" s="3">
        <v>46157</v>
      </c>
      <c r="K1280" s="1" t="s">
        <v>2920</v>
      </c>
    </row>
    <row r="1281" spans="1:11" x14ac:dyDescent="0.35">
      <c r="A1281" s="1" t="s">
        <v>2891</v>
      </c>
      <c r="B1281" s="1" t="s">
        <v>3011</v>
      </c>
      <c r="C1281" s="1" t="s">
        <v>3014</v>
      </c>
      <c r="D1281" s="1" t="str">
        <f>"3825"</f>
        <v>3825</v>
      </c>
      <c r="E1281" s="1" t="s">
        <v>3015</v>
      </c>
      <c r="F1281" s="1" t="s">
        <v>3016</v>
      </c>
      <c r="G1281" s="1" t="s">
        <v>16</v>
      </c>
      <c r="H1281" s="1" t="str">
        <f>"1"</f>
        <v>1</v>
      </c>
      <c r="I1281" s="2" t="str">
        <f>"500"</f>
        <v>500</v>
      </c>
      <c r="J1281" s="3">
        <v>46157</v>
      </c>
      <c r="K1281" s="1" t="s">
        <v>3017</v>
      </c>
    </row>
    <row r="1282" spans="1:11" x14ac:dyDescent="0.35">
      <c r="A1282" s="1" t="s">
        <v>2891</v>
      </c>
      <c r="B1282" s="1" t="s">
        <v>3011</v>
      </c>
      <c r="C1282" s="1" t="s">
        <v>3020</v>
      </c>
      <c r="D1282" s="1" t="str">
        <f>"6730"</f>
        <v>6730</v>
      </c>
      <c r="E1282" s="1" t="s">
        <v>3021</v>
      </c>
      <c r="F1282" s="1" t="s">
        <v>3022</v>
      </c>
      <c r="G1282" s="1" t="s">
        <v>16</v>
      </c>
      <c r="H1282" s="1" t="str">
        <f>"3"</f>
        <v>3</v>
      </c>
      <c r="I1282" s="2" t="str">
        <f>"100"</f>
        <v>100</v>
      </c>
      <c r="J1282" s="3">
        <v>46157</v>
      </c>
      <c r="K1282" s="1" t="s">
        <v>3023</v>
      </c>
    </row>
    <row r="1283" spans="1:11" x14ac:dyDescent="0.35">
      <c r="A1283" s="1" t="s">
        <v>2891</v>
      </c>
      <c r="B1283" s="1" t="s">
        <v>3011</v>
      </c>
      <c r="C1283" s="1" t="s">
        <v>3012</v>
      </c>
      <c r="D1283" s="1" t="str">
        <f>"2320"</f>
        <v>2320</v>
      </c>
      <c r="E1283" s="1" t="s">
        <v>975</v>
      </c>
      <c r="F1283" s="1" t="s">
        <v>976</v>
      </c>
      <c r="G1283" s="1" t="s">
        <v>16</v>
      </c>
      <c r="H1283" s="1" t="str">
        <f>"1"</f>
        <v>1</v>
      </c>
      <c r="I1283" s="2" t="str">
        <f>"6500"</f>
        <v>6500</v>
      </c>
      <c r="J1283" s="3">
        <v>46163</v>
      </c>
      <c r="K1283" s="1" t="s">
        <v>3013</v>
      </c>
    </row>
    <row r="1284" spans="1:11" x14ac:dyDescent="0.35">
      <c r="A1284" s="1" t="s">
        <v>2891</v>
      </c>
      <c r="B1284" s="1" t="s">
        <v>3011</v>
      </c>
      <c r="C1284" s="1" t="s">
        <v>3018</v>
      </c>
      <c r="D1284" s="1" t="str">
        <f>"6115"</f>
        <v>6115</v>
      </c>
      <c r="E1284" s="1" t="str">
        <f>"015873875"</f>
        <v>015873875</v>
      </c>
      <c r="F1284" s="1" t="s">
        <v>224</v>
      </c>
      <c r="G1284" s="1" t="s">
        <v>16</v>
      </c>
      <c r="H1284" s="1" t="str">
        <f>"1"</f>
        <v>1</v>
      </c>
      <c r="I1284" s="2" t="str">
        <f>"23738"</f>
        <v>23738</v>
      </c>
      <c r="J1284" s="3">
        <v>46163</v>
      </c>
      <c r="K1284" s="1" t="s">
        <v>3019</v>
      </c>
    </row>
    <row r="1285" spans="1:11" x14ac:dyDescent="0.35">
      <c r="A1285" s="1" t="s">
        <v>2891</v>
      </c>
      <c r="B1285" s="1" t="s">
        <v>2898</v>
      </c>
      <c r="C1285" s="1" t="s">
        <v>2899</v>
      </c>
      <c r="D1285" s="1" t="str">
        <f>"2360"</f>
        <v>2360</v>
      </c>
      <c r="E1285" s="1" t="str">
        <f>"016651491"</f>
        <v>016651491</v>
      </c>
      <c r="F1285" s="1" t="s">
        <v>2021</v>
      </c>
      <c r="G1285" s="1" t="s">
        <v>16</v>
      </c>
      <c r="H1285" s="1" t="str">
        <f>"1"</f>
        <v>1</v>
      </c>
      <c r="I1285" s="2" t="str">
        <f>"17125"</f>
        <v>17125</v>
      </c>
      <c r="J1285" s="3">
        <v>46171</v>
      </c>
      <c r="K1285" s="1" t="s">
        <v>2900</v>
      </c>
    </row>
    <row r="1286" spans="1:11" x14ac:dyDescent="0.35">
      <c r="A1286" s="1" t="s">
        <v>2891</v>
      </c>
      <c r="B1286" s="1" t="s">
        <v>2898</v>
      </c>
      <c r="C1286" s="1" t="s">
        <v>2901</v>
      </c>
      <c r="D1286" s="1" t="str">
        <f>"5855"</f>
        <v>5855</v>
      </c>
      <c r="E1286" s="1" t="str">
        <f>"015345931"</f>
        <v>015345931</v>
      </c>
      <c r="F1286" s="1" t="s">
        <v>1379</v>
      </c>
      <c r="G1286" s="1" t="s">
        <v>16</v>
      </c>
      <c r="H1286" s="1" t="str">
        <f>"40"</f>
        <v>40</v>
      </c>
      <c r="I1286" s="2" t="str">
        <f>"970"</f>
        <v>970</v>
      </c>
      <c r="J1286" s="3">
        <v>46171</v>
      </c>
      <c r="K1286" s="1" t="s">
        <v>2902</v>
      </c>
    </row>
    <row r="1287" spans="1:11" x14ac:dyDescent="0.35">
      <c r="A1287" s="1" t="s">
        <v>2891</v>
      </c>
      <c r="B1287" s="1" t="s">
        <v>2898</v>
      </c>
      <c r="C1287" s="1" t="s">
        <v>2905</v>
      </c>
      <c r="D1287" s="1" t="str">
        <f>"8465"</f>
        <v>8465</v>
      </c>
      <c r="E1287" s="1" t="s">
        <v>1063</v>
      </c>
      <c r="F1287" s="1" t="s">
        <v>1064</v>
      </c>
      <c r="G1287" s="1" t="s">
        <v>16</v>
      </c>
      <c r="H1287" s="1" t="str">
        <f>"13"</f>
        <v>13</v>
      </c>
      <c r="I1287" s="2">
        <v>30.04</v>
      </c>
      <c r="J1287" s="3">
        <v>46171</v>
      </c>
      <c r="K1287" s="1" t="s">
        <v>2906</v>
      </c>
    </row>
    <row r="1288" spans="1:11" x14ac:dyDescent="0.35">
      <c r="A1288" s="1" t="s">
        <v>2891</v>
      </c>
      <c r="B1288" s="1" t="s">
        <v>2921</v>
      </c>
      <c r="C1288" s="1" t="s">
        <v>2935</v>
      </c>
      <c r="D1288" s="1" t="str">
        <f>"4240"</f>
        <v>4240</v>
      </c>
      <c r="E1288" s="1" t="s">
        <v>2930</v>
      </c>
      <c r="F1288" s="1" t="s">
        <v>2931</v>
      </c>
      <c r="G1288" s="1" t="s">
        <v>16</v>
      </c>
      <c r="H1288" s="1" t="str">
        <f>"1"</f>
        <v>1</v>
      </c>
      <c r="I1288" s="2">
        <v>4313.2700000000004</v>
      </c>
      <c r="J1288" s="3">
        <v>46171</v>
      </c>
      <c r="K1288" s="1" t="s">
        <v>2936</v>
      </c>
    </row>
    <row r="1289" spans="1:11" x14ac:dyDescent="0.35">
      <c r="A1289" s="1" t="s">
        <v>2891</v>
      </c>
      <c r="B1289" s="1" t="s">
        <v>2921</v>
      </c>
      <c r="C1289" s="1" t="s">
        <v>2944</v>
      </c>
      <c r="D1289" s="1" t="str">
        <f>"5855"</f>
        <v>5855</v>
      </c>
      <c r="E1289" s="1" t="str">
        <f>"015345931"</f>
        <v>015345931</v>
      </c>
      <c r="F1289" s="1" t="s">
        <v>1379</v>
      </c>
      <c r="G1289" s="1" t="s">
        <v>16</v>
      </c>
      <c r="H1289" s="1" t="str">
        <f>"15"</f>
        <v>15</v>
      </c>
      <c r="I1289" s="2" t="str">
        <f>"970"</f>
        <v>970</v>
      </c>
      <c r="J1289" s="3">
        <v>46171</v>
      </c>
      <c r="K1289" s="1" t="s">
        <v>2945</v>
      </c>
    </row>
    <row r="1290" spans="1:11" x14ac:dyDescent="0.35">
      <c r="A1290" s="1" t="s">
        <v>2891</v>
      </c>
      <c r="B1290" s="1" t="s">
        <v>2921</v>
      </c>
      <c r="C1290" s="1" t="s">
        <v>2946</v>
      </c>
      <c r="D1290" s="1" t="str">
        <f>"6350"</f>
        <v>6350</v>
      </c>
      <c r="E1290" s="1" t="s">
        <v>146</v>
      </c>
      <c r="F1290" s="1" t="s">
        <v>147</v>
      </c>
      <c r="G1290" s="1" t="s">
        <v>16</v>
      </c>
      <c r="H1290" s="1" t="str">
        <f>"7"</f>
        <v>7</v>
      </c>
      <c r="I1290" s="2" t="str">
        <f>"200"</f>
        <v>200</v>
      </c>
      <c r="J1290" s="3">
        <v>46171</v>
      </c>
      <c r="K1290" s="1" t="s">
        <v>2947</v>
      </c>
    </row>
    <row r="1291" spans="1:11" x14ac:dyDescent="0.35">
      <c r="A1291" s="1" t="s">
        <v>2891</v>
      </c>
      <c r="B1291" s="1" t="s">
        <v>2898</v>
      </c>
      <c r="C1291" s="1" t="s">
        <v>2903</v>
      </c>
      <c r="D1291" s="1" t="str">
        <f>"8465"</f>
        <v>8465</v>
      </c>
      <c r="E1291" s="1" t="str">
        <f>"013936515"</f>
        <v>013936515</v>
      </c>
      <c r="F1291" s="1" t="s">
        <v>1095</v>
      </c>
      <c r="G1291" s="1" t="s">
        <v>16</v>
      </c>
      <c r="H1291" s="1" t="str">
        <f>"50"</f>
        <v>50</v>
      </c>
      <c r="I1291" s="2">
        <v>68.81</v>
      </c>
      <c r="J1291" s="3">
        <v>46178</v>
      </c>
      <c r="K1291" s="1" t="s">
        <v>2904</v>
      </c>
    </row>
    <row r="1292" spans="1:11" x14ac:dyDescent="0.35">
      <c r="A1292" s="1" t="s">
        <v>2891</v>
      </c>
      <c r="B1292" s="1" t="s">
        <v>2921</v>
      </c>
      <c r="C1292" s="1" t="s">
        <v>2929</v>
      </c>
      <c r="D1292" s="1" t="str">
        <f>"4240"</f>
        <v>4240</v>
      </c>
      <c r="E1292" s="1" t="s">
        <v>2930</v>
      </c>
      <c r="F1292" s="1" t="s">
        <v>2931</v>
      </c>
      <c r="G1292" s="1" t="s">
        <v>16</v>
      </c>
      <c r="H1292" s="1" t="str">
        <f>"2"</f>
        <v>2</v>
      </c>
      <c r="I1292" s="2" t="str">
        <f>"450"</f>
        <v>450</v>
      </c>
      <c r="J1292" s="3">
        <v>46181</v>
      </c>
      <c r="K1292" s="1" t="s">
        <v>2932</v>
      </c>
    </row>
    <row r="1293" spans="1:11" x14ac:dyDescent="0.35">
      <c r="A1293" s="1" t="s">
        <v>2891</v>
      </c>
      <c r="B1293" s="1" t="s">
        <v>2921</v>
      </c>
      <c r="C1293" s="1" t="s">
        <v>2933</v>
      </c>
      <c r="D1293" s="1" t="str">
        <f>"4240"</f>
        <v>4240</v>
      </c>
      <c r="E1293" s="1" t="s">
        <v>2930</v>
      </c>
      <c r="F1293" s="1" t="s">
        <v>2931</v>
      </c>
      <c r="G1293" s="1" t="s">
        <v>16</v>
      </c>
      <c r="H1293" s="1" t="str">
        <f>"2"</f>
        <v>2</v>
      </c>
      <c r="I1293" s="2" t="str">
        <f>"450"</f>
        <v>450</v>
      </c>
      <c r="J1293" s="3">
        <v>46181</v>
      </c>
      <c r="K1293" s="1" t="s">
        <v>2932</v>
      </c>
    </row>
    <row r="1294" spans="1:11" x14ac:dyDescent="0.35">
      <c r="A1294" s="1" t="s">
        <v>2891</v>
      </c>
      <c r="B1294" s="1" t="s">
        <v>2921</v>
      </c>
      <c r="C1294" s="1" t="s">
        <v>2934</v>
      </c>
      <c r="D1294" s="1" t="str">
        <f>"4240"</f>
        <v>4240</v>
      </c>
      <c r="E1294" s="1" t="s">
        <v>2930</v>
      </c>
      <c r="F1294" s="1" t="s">
        <v>2931</v>
      </c>
      <c r="G1294" s="1" t="s">
        <v>16</v>
      </c>
      <c r="H1294" s="1" t="str">
        <f>"1"</f>
        <v>1</v>
      </c>
      <c r="I1294" s="2" t="str">
        <f>"450"</f>
        <v>450</v>
      </c>
      <c r="J1294" s="3">
        <v>46181</v>
      </c>
      <c r="K1294" s="1" t="s">
        <v>2932</v>
      </c>
    </row>
    <row r="1295" spans="1:11" x14ac:dyDescent="0.35">
      <c r="A1295" s="1" t="s">
        <v>2891</v>
      </c>
      <c r="B1295" s="1" t="s">
        <v>2921</v>
      </c>
      <c r="C1295" s="1" t="s">
        <v>2955</v>
      </c>
      <c r="D1295" s="1" t="str">
        <f>"7010"</f>
        <v>7010</v>
      </c>
      <c r="E1295" s="1" t="str">
        <f>"016656349"</f>
        <v>016656349</v>
      </c>
      <c r="F1295" s="1" t="s">
        <v>2956</v>
      </c>
      <c r="G1295" s="1" t="s">
        <v>16</v>
      </c>
      <c r="H1295" s="1" t="str">
        <f>"2"</f>
        <v>2</v>
      </c>
      <c r="I1295" s="2" t="str">
        <f>"450"</f>
        <v>450</v>
      </c>
      <c r="J1295" s="3">
        <v>46182</v>
      </c>
      <c r="K1295" s="1" t="s">
        <v>2957</v>
      </c>
    </row>
    <row r="1296" spans="1:11" x14ac:dyDescent="0.35">
      <c r="A1296" s="1" t="s">
        <v>2891</v>
      </c>
      <c r="B1296" s="1" t="s">
        <v>2921</v>
      </c>
      <c r="C1296" s="1" t="s">
        <v>2975</v>
      </c>
      <c r="D1296" s="1" t="str">
        <f>"8415"</f>
        <v>8415</v>
      </c>
      <c r="E1296" s="1" t="s">
        <v>2976</v>
      </c>
      <c r="F1296" s="1" t="s">
        <v>2977</v>
      </c>
      <c r="G1296" s="1" t="s">
        <v>16</v>
      </c>
      <c r="H1296" s="1" t="str">
        <f>"30"</f>
        <v>30</v>
      </c>
      <c r="I1296" s="2">
        <v>56.44</v>
      </c>
      <c r="J1296" s="3">
        <v>46182</v>
      </c>
      <c r="K1296" s="1" t="s">
        <v>2978</v>
      </c>
    </row>
    <row r="1297" spans="1:11" x14ac:dyDescent="0.35">
      <c r="A1297" s="1" t="s">
        <v>2891</v>
      </c>
      <c r="B1297" s="1" t="s">
        <v>3024</v>
      </c>
      <c r="C1297" s="1" t="s">
        <v>3025</v>
      </c>
      <c r="D1297" s="1" t="str">
        <f>"2320"</f>
        <v>2320</v>
      </c>
      <c r="E1297" s="1" t="str">
        <f>"014476343"</f>
        <v>014476343</v>
      </c>
      <c r="F1297" s="1" t="s">
        <v>271</v>
      </c>
      <c r="G1297" s="1" t="s">
        <v>16</v>
      </c>
      <c r="H1297" s="1" t="str">
        <f>"1"</f>
        <v>1</v>
      </c>
      <c r="I1297" s="2" t="str">
        <f>"176428"</f>
        <v>176428</v>
      </c>
      <c r="J1297" s="3">
        <v>46189</v>
      </c>
      <c r="K1297" s="1" t="s">
        <v>3026</v>
      </c>
    </row>
    <row r="1298" spans="1:11" x14ac:dyDescent="0.35">
      <c r="A1298" s="1" t="s">
        <v>2891</v>
      </c>
      <c r="B1298" s="1" t="s">
        <v>3024</v>
      </c>
      <c r="C1298" s="1" t="s">
        <v>3027</v>
      </c>
      <c r="D1298" s="1" t="str">
        <f>"2320"</f>
        <v>2320</v>
      </c>
      <c r="E1298" s="1" t="str">
        <f>"014476343"</f>
        <v>014476343</v>
      </c>
      <c r="F1298" s="1" t="s">
        <v>271</v>
      </c>
      <c r="G1298" s="1" t="s">
        <v>16</v>
      </c>
      <c r="H1298" s="1" t="str">
        <f>"1"</f>
        <v>1</v>
      </c>
      <c r="I1298" s="2" t="str">
        <f>"176428"</f>
        <v>176428</v>
      </c>
      <c r="J1298" s="3">
        <v>46189</v>
      </c>
      <c r="K1298" s="1" t="s">
        <v>3028</v>
      </c>
    </row>
    <row r="1299" spans="1:11" x14ac:dyDescent="0.35">
      <c r="A1299" s="1" t="s">
        <v>2891</v>
      </c>
      <c r="B1299" s="1" t="s">
        <v>2921</v>
      </c>
      <c r="C1299" s="1" t="s">
        <v>2937</v>
      </c>
      <c r="D1299" s="1" t="str">
        <f>"5180"</f>
        <v>5180</v>
      </c>
      <c r="E1299" s="1" t="str">
        <f>"016273484"</f>
        <v>016273484</v>
      </c>
      <c r="F1299" s="1" t="s">
        <v>2938</v>
      </c>
      <c r="G1299" s="1" t="s">
        <v>215</v>
      </c>
      <c r="H1299" s="1" t="str">
        <f>"1"</f>
        <v>1</v>
      </c>
      <c r="I1299" s="2" t="str">
        <f>"4680"</f>
        <v>4680</v>
      </c>
      <c r="J1299" s="3">
        <v>46191</v>
      </c>
      <c r="K1299" s="1" t="s">
        <v>2939</v>
      </c>
    </row>
    <row r="1300" spans="1:11" x14ac:dyDescent="0.35">
      <c r="A1300" s="1" t="s">
        <v>2891</v>
      </c>
      <c r="B1300" s="1" t="s">
        <v>2921</v>
      </c>
      <c r="C1300" s="1" t="s">
        <v>2922</v>
      </c>
      <c r="D1300" s="1" t="str">
        <f>"2320"</f>
        <v>2320</v>
      </c>
      <c r="E1300" s="1" t="str">
        <f>"010919076"</f>
        <v>010919076</v>
      </c>
      <c r="F1300" s="1" t="s">
        <v>2303</v>
      </c>
      <c r="G1300" s="1" t="s">
        <v>16</v>
      </c>
      <c r="H1300" s="1" t="str">
        <f>"1"</f>
        <v>1</v>
      </c>
      <c r="I1300" s="2" t="str">
        <f>"18044"</f>
        <v>18044</v>
      </c>
      <c r="J1300" s="3">
        <v>46196</v>
      </c>
      <c r="K1300" s="1" t="s">
        <v>2923</v>
      </c>
    </row>
    <row r="1301" spans="1:11" x14ac:dyDescent="0.35">
      <c r="A1301" s="1" t="s">
        <v>3037</v>
      </c>
      <c r="B1301" s="1" t="s">
        <v>3038</v>
      </c>
      <c r="C1301" s="1" t="s">
        <v>3039</v>
      </c>
      <c r="D1301" s="1" t="str">
        <f>"1005"</f>
        <v>1005</v>
      </c>
      <c r="E1301" s="1" t="str">
        <f>"015629457"</f>
        <v>015629457</v>
      </c>
      <c r="F1301" s="1" t="s">
        <v>3040</v>
      </c>
      <c r="G1301" s="1" t="s">
        <v>3041</v>
      </c>
      <c r="H1301" s="1" t="str">
        <f>"200"</f>
        <v>200</v>
      </c>
      <c r="I1301" s="2">
        <v>382.53</v>
      </c>
      <c r="J1301" s="3">
        <v>46150</v>
      </c>
      <c r="K1301" s="1" t="s">
        <v>3042</v>
      </c>
    </row>
    <row r="1302" spans="1:11" x14ac:dyDescent="0.35">
      <c r="A1302" s="1" t="s">
        <v>3043</v>
      </c>
      <c r="B1302" s="1" t="s">
        <v>3073</v>
      </c>
      <c r="C1302" s="1" t="s">
        <v>3092</v>
      </c>
      <c r="D1302" s="1" t="str">
        <f>"4120"</f>
        <v>4120</v>
      </c>
      <c r="E1302" s="1" t="str">
        <f>"016128300"</f>
        <v>016128300</v>
      </c>
      <c r="F1302" s="1" t="s">
        <v>3093</v>
      </c>
      <c r="G1302" s="1" t="s">
        <v>16</v>
      </c>
      <c r="H1302" s="1" t="str">
        <f>"1"</f>
        <v>1</v>
      </c>
      <c r="I1302" s="2">
        <v>5549.69</v>
      </c>
      <c r="J1302" s="3">
        <v>46115</v>
      </c>
      <c r="K1302" s="1" t="s">
        <v>3094</v>
      </c>
    </row>
    <row r="1303" spans="1:11" x14ac:dyDescent="0.35">
      <c r="A1303" s="1" t="s">
        <v>3043</v>
      </c>
      <c r="B1303" s="1" t="s">
        <v>3073</v>
      </c>
      <c r="C1303" s="1" t="s">
        <v>3100</v>
      </c>
      <c r="D1303" s="1" t="str">
        <f>"4240"</f>
        <v>4240</v>
      </c>
      <c r="E1303" s="1" t="str">
        <f>"015274051"</f>
        <v>015274051</v>
      </c>
      <c r="F1303" s="1" t="s">
        <v>3101</v>
      </c>
      <c r="G1303" s="1" t="s">
        <v>16</v>
      </c>
      <c r="H1303" s="1" t="str">
        <f>"3"</f>
        <v>3</v>
      </c>
      <c r="I1303" s="2">
        <v>47.66</v>
      </c>
      <c r="J1303" s="3">
        <v>46115</v>
      </c>
      <c r="K1303" s="1" t="s">
        <v>3102</v>
      </c>
    </row>
    <row r="1304" spans="1:11" x14ac:dyDescent="0.35">
      <c r="A1304" s="1" t="s">
        <v>3043</v>
      </c>
      <c r="B1304" s="1" t="s">
        <v>3073</v>
      </c>
      <c r="C1304" s="1" t="s">
        <v>3125</v>
      </c>
      <c r="D1304" s="1" t="str">
        <f>"6130"</f>
        <v>6130</v>
      </c>
      <c r="E1304" s="1" t="str">
        <f>"017071839"</f>
        <v>017071839</v>
      </c>
      <c r="F1304" s="1" t="s">
        <v>3126</v>
      </c>
      <c r="G1304" s="1" t="s">
        <v>16</v>
      </c>
      <c r="H1304" s="1" t="str">
        <f>"3"</f>
        <v>3</v>
      </c>
      <c r="I1304" s="2" t="str">
        <f>"169"</f>
        <v>169</v>
      </c>
      <c r="J1304" s="3">
        <v>46115</v>
      </c>
      <c r="K1304" s="1" t="s">
        <v>3127</v>
      </c>
    </row>
    <row r="1305" spans="1:11" x14ac:dyDescent="0.35">
      <c r="A1305" s="1" t="s">
        <v>3043</v>
      </c>
      <c r="B1305" s="1" t="s">
        <v>3073</v>
      </c>
      <c r="C1305" s="1" t="s">
        <v>3153</v>
      </c>
      <c r="D1305" s="1" t="str">
        <f>"8430"</f>
        <v>8430</v>
      </c>
      <c r="E1305" s="1" t="str">
        <f>"015416028"</f>
        <v>015416028</v>
      </c>
      <c r="F1305" s="1" t="s">
        <v>3154</v>
      </c>
      <c r="G1305" s="1" t="s">
        <v>311</v>
      </c>
      <c r="H1305" s="1" t="str">
        <f>"4"</f>
        <v>4</v>
      </c>
      <c r="I1305" s="2">
        <v>78.23</v>
      </c>
      <c r="J1305" s="3">
        <v>46115</v>
      </c>
      <c r="K1305" s="1" t="s">
        <v>3155</v>
      </c>
    </row>
    <row r="1306" spans="1:11" x14ac:dyDescent="0.35">
      <c r="A1306" s="1" t="s">
        <v>3043</v>
      </c>
      <c r="B1306" s="1" t="s">
        <v>3073</v>
      </c>
      <c r="C1306" s="1" t="s">
        <v>3156</v>
      </c>
      <c r="D1306" s="1" t="str">
        <f>"8430"</f>
        <v>8430</v>
      </c>
      <c r="E1306" s="1" t="str">
        <f>"015359722"</f>
        <v>015359722</v>
      </c>
      <c r="F1306" s="1" t="s">
        <v>3154</v>
      </c>
      <c r="G1306" s="1" t="s">
        <v>311</v>
      </c>
      <c r="H1306" s="1" t="str">
        <f>"1"</f>
        <v>1</v>
      </c>
      <c r="I1306" s="2">
        <v>135.72999999999999</v>
      </c>
      <c r="J1306" s="3">
        <v>46115</v>
      </c>
      <c r="K1306" s="1" t="s">
        <v>3157</v>
      </c>
    </row>
    <row r="1307" spans="1:11" x14ac:dyDescent="0.35">
      <c r="A1307" s="1" t="s">
        <v>3043</v>
      </c>
      <c r="B1307" s="1" t="s">
        <v>3073</v>
      </c>
      <c r="C1307" s="1" t="s">
        <v>3160</v>
      </c>
      <c r="D1307" s="1" t="str">
        <f>"8465"</f>
        <v>8465</v>
      </c>
      <c r="E1307" s="1" t="str">
        <f>"015472694"</f>
        <v>015472694</v>
      </c>
      <c r="F1307" s="1" t="s">
        <v>644</v>
      </c>
      <c r="G1307" s="1" t="s">
        <v>16</v>
      </c>
      <c r="H1307" s="1" t="str">
        <f>"22"</f>
        <v>22</v>
      </c>
      <c r="I1307" s="2">
        <v>96.33</v>
      </c>
      <c r="J1307" s="3">
        <v>46115</v>
      </c>
      <c r="K1307" s="1" t="s">
        <v>3161</v>
      </c>
    </row>
    <row r="1308" spans="1:11" x14ac:dyDescent="0.35">
      <c r="A1308" s="1" t="s">
        <v>3043</v>
      </c>
      <c r="B1308" s="1" t="s">
        <v>3063</v>
      </c>
      <c r="C1308" s="1" t="s">
        <v>3064</v>
      </c>
      <c r="D1308" s="1" t="str">
        <f>"2310"</f>
        <v>2310</v>
      </c>
      <c r="E1308" s="1" t="s">
        <v>178</v>
      </c>
      <c r="F1308" s="1" t="s">
        <v>179</v>
      </c>
      <c r="G1308" s="1" t="s">
        <v>16</v>
      </c>
      <c r="H1308" s="1" t="str">
        <f>"1"</f>
        <v>1</v>
      </c>
      <c r="I1308" s="2" t="str">
        <f>"81369"</f>
        <v>81369</v>
      </c>
      <c r="J1308" s="3">
        <v>46121</v>
      </c>
      <c r="K1308" s="1" t="s">
        <v>3065</v>
      </c>
    </row>
    <row r="1309" spans="1:11" x14ac:dyDescent="0.35">
      <c r="A1309" s="1" t="s">
        <v>3043</v>
      </c>
      <c r="B1309" s="1" t="s">
        <v>3073</v>
      </c>
      <c r="C1309" s="1" t="s">
        <v>3113</v>
      </c>
      <c r="D1309" s="1" t="str">
        <f>"5130"</f>
        <v>5130</v>
      </c>
      <c r="E1309" s="1" t="str">
        <f>"016061195"</f>
        <v>016061195</v>
      </c>
      <c r="F1309" s="1" t="s">
        <v>3114</v>
      </c>
      <c r="G1309" s="1" t="s">
        <v>16</v>
      </c>
      <c r="H1309" s="1" t="str">
        <f>"12"</f>
        <v>12</v>
      </c>
      <c r="I1309" s="2">
        <v>488.97</v>
      </c>
      <c r="J1309" s="3">
        <v>46125</v>
      </c>
      <c r="K1309" s="1" t="s">
        <v>3115</v>
      </c>
    </row>
    <row r="1310" spans="1:11" x14ac:dyDescent="0.35">
      <c r="A1310" s="1" t="s">
        <v>3043</v>
      </c>
      <c r="B1310" s="1" t="s">
        <v>3073</v>
      </c>
      <c r="C1310" s="1" t="s">
        <v>3121</v>
      </c>
      <c r="D1310" s="1" t="str">
        <f>"5965"</f>
        <v>5965</v>
      </c>
      <c r="E1310" s="1" t="s">
        <v>3122</v>
      </c>
      <c r="F1310" s="1" t="s">
        <v>3123</v>
      </c>
      <c r="G1310" s="1" t="s">
        <v>311</v>
      </c>
      <c r="H1310" s="1" t="str">
        <f>"1"</f>
        <v>1</v>
      </c>
      <c r="I1310" s="2" t="str">
        <f>"1000"</f>
        <v>1000</v>
      </c>
      <c r="J1310" s="3">
        <v>46125</v>
      </c>
      <c r="K1310" s="1" t="s">
        <v>3124</v>
      </c>
    </row>
    <row r="1311" spans="1:11" x14ac:dyDescent="0.35">
      <c r="A1311" s="1" t="s">
        <v>3043</v>
      </c>
      <c r="B1311" s="1" t="s">
        <v>3073</v>
      </c>
      <c r="C1311" s="1" t="s">
        <v>3080</v>
      </c>
      <c r="D1311" s="1" t="str">
        <f>"2420"</f>
        <v>2420</v>
      </c>
      <c r="E1311" s="1" t="s">
        <v>501</v>
      </c>
      <c r="F1311" s="1" t="s">
        <v>502</v>
      </c>
      <c r="G1311" s="1" t="s">
        <v>16</v>
      </c>
      <c r="H1311" s="1" t="str">
        <f>"1"</f>
        <v>1</v>
      </c>
      <c r="I1311" s="2" t="str">
        <f>"10000"</f>
        <v>10000</v>
      </c>
      <c r="J1311" s="3">
        <v>46127</v>
      </c>
      <c r="K1311" s="1" t="s">
        <v>3081</v>
      </c>
    </row>
    <row r="1312" spans="1:11" x14ac:dyDescent="0.35">
      <c r="A1312" s="1" t="s">
        <v>3043</v>
      </c>
      <c r="B1312" s="1" t="s">
        <v>3073</v>
      </c>
      <c r="C1312" s="1" t="s">
        <v>3086</v>
      </c>
      <c r="D1312" s="1" t="str">
        <f>"3830"</f>
        <v>3830</v>
      </c>
      <c r="E1312" s="1" t="s">
        <v>75</v>
      </c>
      <c r="F1312" s="1" t="s">
        <v>76</v>
      </c>
      <c r="G1312" s="1" t="s">
        <v>16</v>
      </c>
      <c r="H1312" s="1" t="str">
        <f>"1"</f>
        <v>1</v>
      </c>
      <c r="I1312" s="2" t="str">
        <f>"8500"</f>
        <v>8500</v>
      </c>
      <c r="J1312" s="3">
        <v>46127</v>
      </c>
      <c r="K1312" s="1" t="s">
        <v>3087</v>
      </c>
    </row>
    <row r="1313" spans="1:11" x14ac:dyDescent="0.35">
      <c r="A1313" s="1" t="s">
        <v>3043</v>
      </c>
      <c r="B1313" s="1" t="s">
        <v>3073</v>
      </c>
      <c r="C1313" s="1" t="s">
        <v>3110</v>
      </c>
      <c r="D1313" s="1" t="str">
        <f>"4910"</f>
        <v>4910</v>
      </c>
      <c r="E1313" s="1" t="s">
        <v>1655</v>
      </c>
      <c r="F1313" s="1" t="s">
        <v>1656</v>
      </c>
      <c r="G1313" s="1" t="s">
        <v>16</v>
      </c>
      <c r="H1313" s="1" t="str">
        <f>"1"</f>
        <v>1</v>
      </c>
      <c r="I1313" s="2" t="str">
        <f>"250"</f>
        <v>250</v>
      </c>
      <c r="J1313" s="3">
        <v>46127</v>
      </c>
      <c r="K1313" s="1" t="s">
        <v>3111</v>
      </c>
    </row>
    <row r="1314" spans="1:11" x14ac:dyDescent="0.35">
      <c r="A1314" s="1" t="s">
        <v>3043</v>
      </c>
      <c r="B1314" s="1" t="s">
        <v>3073</v>
      </c>
      <c r="C1314" s="1" t="s">
        <v>3112</v>
      </c>
      <c r="D1314" s="1" t="str">
        <f>"4910"</f>
        <v>4910</v>
      </c>
      <c r="E1314" s="1" t="s">
        <v>1655</v>
      </c>
      <c r="F1314" s="1" t="s">
        <v>1656</v>
      </c>
      <c r="G1314" s="1" t="s">
        <v>16</v>
      </c>
      <c r="H1314" s="1" t="str">
        <f>"1"</f>
        <v>1</v>
      </c>
      <c r="I1314" s="2" t="str">
        <f>"250"</f>
        <v>250</v>
      </c>
      <c r="J1314" s="3">
        <v>46127</v>
      </c>
      <c r="K1314" s="1" t="s">
        <v>3111</v>
      </c>
    </row>
    <row r="1315" spans="1:11" x14ac:dyDescent="0.35">
      <c r="A1315" s="1" t="s">
        <v>3043</v>
      </c>
      <c r="B1315" s="1" t="s">
        <v>3073</v>
      </c>
      <c r="C1315" s="1" t="s">
        <v>3088</v>
      </c>
      <c r="D1315" s="1" t="str">
        <f>"3950"</f>
        <v>3950</v>
      </c>
      <c r="E1315" s="1" t="s">
        <v>3089</v>
      </c>
      <c r="F1315" s="1" t="s">
        <v>3090</v>
      </c>
      <c r="G1315" s="1" t="s">
        <v>16</v>
      </c>
      <c r="H1315" s="1" t="str">
        <f>"4"</f>
        <v>4</v>
      </c>
      <c r="I1315" s="2" t="str">
        <f>"900"</f>
        <v>900</v>
      </c>
      <c r="J1315" s="3">
        <v>46129</v>
      </c>
      <c r="K1315" s="1" t="s">
        <v>3091</v>
      </c>
    </row>
    <row r="1316" spans="1:11" x14ac:dyDescent="0.35">
      <c r="A1316" s="1" t="s">
        <v>3043</v>
      </c>
      <c r="B1316" s="1" t="s">
        <v>3073</v>
      </c>
      <c r="C1316" s="1" t="s">
        <v>3135</v>
      </c>
      <c r="D1316" s="1" t="str">
        <f>"7105"</f>
        <v>7105</v>
      </c>
      <c r="E1316" s="1" t="str">
        <f>"009350422"</f>
        <v>009350422</v>
      </c>
      <c r="F1316" s="1" t="s">
        <v>3136</v>
      </c>
      <c r="G1316" s="1" t="s">
        <v>16</v>
      </c>
      <c r="H1316" s="1" t="str">
        <f>"4"</f>
        <v>4</v>
      </c>
      <c r="I1316" s="2">
        <v>133.93</v>
      </c>
      <c r="J1316" s="3">
        <v>46129</v>
      </c>
      <c r="K1316" s="1" t="s">
        <v>3137</v>
      </c>
    </row>
    <row r="1317" spans="1:11" x14ac:dyDescent="0.35">
      <c r="A1317" s="1" t="s">
        <v>3043</v>
      </c>
      <c r="B1317" s="1" t="s">
        <v>3073</v>
      </c>
      <c r="C1317" s="1" t="s">
        <v>3138</v>
      </c>
      <c r="D1317" s="1" t="str">
        <f>"7105"</f>
        <v>7105</v>
      </c>
      <c r="E1317" s="1" t="str">
        <f>"009350422"</f>
        <v>009350422</v>
      </c>
      <c r="F1317" s="1" t="s">
        <v>3136</v>
      </c>
      <c r="G1317" s="1" t="s">
        <v>16</v>
      </c>
      <c r="H1317" s="1" t="str">
        <f>"1"</f>
        <v>1</v>
      </c>
      <c r="I1317" s="2">
        <v>133.93</v>
      </c>
      <c r="J1317" s="3">
        <v>46129</v>
      </c>
      <c r="K1317" s="1" t="s">
        <v>3137</v>
      </c>
    </row>
    <row r="1318" spans="1:11" x14ac:dyDescent="0.35">
      <c r="A1318" s="1" t="s">
        <v>3043</v>
      </c>
      <c r="B1318" s="1" t="s">
        <v>3073</v>
      </c>
      <c r="C1318" s="1" t="s">
        <v>3139</v>
      </c>
      <c r="D1318" s="1" t="str">
        <f>"7105"</f>
        <v>7105</v>
      </c>
      <c r="E1318" s="1" t="str">
        <f>"009350422"</f>
        <v>009350422</v>
      </c>
      <c r="F1318" s="1" t="s">
        <v>3136</v>
      </c>
      <c r="G1318" s="1" t="s">
        <v>16</v>
      </c>
      <c r="H1318" s="1" t="str">
        <f>"1"</f>
        <v>1</v>
      </c>
      <c r="I1318" s="2">
        <v>133.93</v>
      </c>
      <c r="J1318" s="3">
        <v>46129</v>
      </c>
      <c r="K1318" s="1" t="s">
        <v>3137</v>
      </c>
    </row>
    <row r="1319" spans="1:11" x14ac:dyDescent="0.35">
      <c r="A1319" s="1" t="s">
        <v>3043</v>
      </c>
      <c r="B1319" s="1" t="s">
        <v>3073</v>
      </c>
      <c r="C1319" s="1" t="s">
        <v>3141</v>
      </c>
      <c r="D1319" s="1" t="str">
        <f>"7105"</f>
        <v>7105</v>
      </c>
      <c r="E1319" s="1" t="str">
        <f>"009350422"</f>
        <v>009350422</v>
      </c>
      <c r="F1319" s="1" t="s">
        <v>3136</v>
      </c>
      <c r="G1319" s="1" t="s">
        <v>16</v>
      </c>
      <c r="H1319" s="1" t="str">
        <f>"1"</f>
        <v>1</v>
      </c>
      <c r="I1319" s="2">
        <v>133.93</v>
      </c>
      <c r="J1319" s="3">
        <v>46129</v>
      </c>
      <c r="K1319" s="1" t="s">
        <v>3137</v>
      </c>
    </row>
    <row r="1320" spans="1:11" x14ac:dyDescent="0.35">
      <c r="A1320" s="1" t="s">
        <v>3043</v>
      </c>
      <c r="B1320" s="1" t="s">
        <v>3073</v>
      </c>
      <c r="C1320" s="1" t="s">
        <v>3142</v>
      </c>
      <c r="D1320" s="1" t="str">
        <f>"7105"</f>
        <v>7105</v>
      </c>
      <c r="E1320" s="1" t="str">
        <f>"009350422"</f>
        <v>009350422</v>
      </c>
      <c r="F1320" s="1" t="s">
        <v>3136</v>
      </c>
      <c r="G1320" s="1" t="s">
        <v>16</v>
      </c>
      <c r="H1320" s="1" t="str">
        <f>"1"</f>
        <v>1</v>
      </c>
      <c r="I1320" s="2">
        <v>133.93</v>
      </c>
      <c r="J1320" s="3">
        <v>46129</v>
      </c>
      <c r="K1320" s="1" t="s">
        <v>3137</v>
      </c>
    </row>
    <row r="1321" spans="1:11" x14ac:dyDescent="0.35">
      <c r="A1321" s="1" t="s">
        <v>3043</v>
      </c>
      <c r="B1321" s="1" t="s">
        <v>3073</v>
      </c>
      <c r="C1321" s="1" t="s">
        <v>3143</v>
      </c>
      <c r="D1321" s="1" t="str">
        <f>"7105"</f>
        <v>7105</v>
      </c>
      <c r="E1321" s="1" t="str">
        <f>"009350422"</f>
        <v>009350422</v>
      </c>
      <c r="F1321" s="1" t="s">
        <v>3136</v>
      </c>
      <c r="G1321" s="1" t="s">
        <v>16</v>
      </c>
      <c r="H1321" s="1" t="str">
        <f>"1"</f>
        <v>1</v>
      </c>
      <c r="I1321" s="2">
        <v>133.93</v>
      </c>
      <c r="J1321" s="3">
        <v>46129</v>
      </c>
      <c r="K1321" s="1" t="s">
        <v>3137</v>
      </c>
    </row>
    <row r="1322" spans="1:11" x14ac:dyDescent="0.35">
      <c r="A1322" s="1" t="s">
        <v>3043</v>
      </c>
      <c r="B1322" s="1" t="s">
        <v>3073</v>
      </c>
      <c r="C1322" s="1" t="s">
        <v>3144</v>
      </c>
      <c r="D1322" s="1" t="str">
        <f>"7105"</f>
        <v>7105</v>
      </c>
      <c r="E1322" s="1" t="str">
        <f>"009350422"</f>
        <v>009350422</v>
      </c>
      <c r="F1322" s="1" t="s">
        <v>3136</v>
      </c>
      <c r="G1322" s="1" t="s">
        <v>16</v>
      </c>
      <c r="H1322" s="1" t="str">
        <f>"1"</f>
        <v>1</v>
      </c>
      <c r="I1322" s="2">
        <v>133.93</v>
      </c>
      <c r="J1322" s="3">
        <v>46129</v>
      </c>
      <c r="K1322" s="1" t="s">
        <v>3137</v>
      </c>
    </row>
    <row r="1323" spans="1:11" x14ac:dyDescent="0.35">
      <c r="A1323" s="1" t="s">
        <v>3043</v>
      </c>
      <c r="B1323" s="1" t="s">
        <v>3073</v>
      </c>
      <c r="C1323" s="1" t="s">
        <v>3145</v>
      </c>
      <c r="D1323" s="1" t="str">
        <f>"7105"</f>
        <v>7105</v>
      </c>
      <c r="E1323" s="1" t="str">
        <f>"009350422"</f>
        <v>009350422</v>
      </c>
      <c r="F1323" s="1" t="s">
        <v>3136</v>
      </c>
      <c r="G1323" s="1" t="s">
        <v>16</v>
      </c>
      <c r="H1323" s="1" t="str">
        <f>"1"</f>
        <v>1</v>
      </c>
      <c r="I1323" s="2">
        <v>133.93</v>
      </c>
      <c r="J1323" s="3">
        <v>46129</v>
      </c>
      <c r="K1323" s="1" t="s">
        <v>3137</v>
      </c>
    </row>
    <row r="1324" spans="1:11" x14ac:dyDescent="0.35">
      <c r="A1324" s="1" t="s">
        <v>3043</v>
      </c>
      <c r="B1324" s="1" t="s">
        <v>3073</v>
      </c>
      <c r="C1324" s="1" t="s">
        <v>3146</v>
      </c>
      <c r="D1324" s="1" t="str">
        <f>"7105"</f>
        <v>7105</v>
      </c>
      <c r="E1324" s="1" t="str">
        <f>"009350422"</f>
        <v>009350422</v>
      </c>
      <c r="F1324" s="1" t="s">
        <v>3136</v>
      </c>
      <c r="G1324" s="1" t="s">
        <v>16</v>
      </c>
      <c r="H1324" s="1" t="str">
        <f>"1"</f>
        <v>1</v>
      </c>
      <c r="I1324" s="2">
        <v>133.93</v>
      </c>
      <c r="J1324" s="3">
        <v>46129</v>
      </c>
      <c r="K1324" s="1" t="s">
        <v>3137</v>
      </c>
    </row>
    <row r="1325" spans="1:11" x14ac:dyDescent="0.35">
      <c r="A1325" s="1" t="s">
        <v>3043</v>
      </c>
      <c r="B1325" s="1" t="s">
        <v>3073</v>
      </c>
      <c r="C1325" s="1" t="s">
        <v>3147</v>
      </c>
      <c r="D1325" s="1" t="str">
        <f>"8405"</f>
        <v>8405</v>
      </c>
      <c r="E1325" s="1" t="str">
        <f>"015472559"</f>
        <v>015472559</v>
      </c>
      <c r="F1325" s="1" t="s">
        <v>1200</v>
      </c>
      <c r="G1325" s="1" t="s">
        <v>16</v>
      </c>
      <c r="H1325" s="1" t="str">
        <f>"12"</f>
        <v>12</v>
      </c>
      <c r="I1325" s="2">
        <v>38.4</v>
      </c>
      <c r="J1325" s="3">
        <v>46129</v>
      </c>
      <c r="K1325" s="1" t="s">
        <v>3148</v>
      </c>
    </row>
    <row r="1326" spans="1:11" x14ac:dyDescent="0.35">
      <c r="A1326" s="1" t="s">
        <v>3043</v>
      </c>
      <c r="B1326" s="1" t="s">
        <v>3073</v>
      </c>
      <c r="C1326" s="1" t="s">
        <v>3149</v>
      </c>
      <c r="D1326" s="1" t="str">
        <f>"8405"</f>
        <v>8405</v>
      </c>
      <c r="E1326" s="1" t="str">
        <f>"015472559"</f>
        <v>015472559</v>
      </c>
      <c r="F1326" s="1" t="s">
        <v>1200</v>
      </c>
      <c r="G1326" s="1" t="s">
        <v>16</v>
      </c>
      <c r="H1326" s="1" t="str">
        <f>"5"</f>
        <v>5</v>
      </c>
      <c r="I1326" s="2">
        <v>38.4</v>
      </c>
      <c r="J1326" s="3">
        <v>46129</v>
      </c>
      <c r="K1326" s="1" t="s">
        <v>3150</v>
      </c>
    </row>
    <row r="1327" spans="1:11" x14ac:dyDescent="0.35">
      <c r="A1327" s="1" t="s">
        <v>3043</v>
      </c>
      <c r="B1327" s="1" t="s">
        <v>3073</v>
      </c>
      <c r="C1327" s="1" t="s">
        <v>3082</v>
      </c>
      <c r="D1327" s="1" t="str">
        <f>"3750"</f>
        <v>3750</v>
      </c>
      <c r="E1327" s="1" t="s">
        <v>3083</v>
      </c>
      <c r="F1327" s="1" t="s">
        <v>3084</v>
      </c>
      <c r="G1327" s="1" t="s">
        <v>16</v>
      </c>
      <c r="H1327" s="1" t="str">
        <f>"1"</f>
        <v>1</v>
      </c>
      <c r="I1327" s="2" t="str">
        <f>"5000"</f>
        <v>5000</v>
      </c>
      <c r="J1327" s="3">
        <v>46133</v>
      </c>
      <c r="K1327" s="1" t="s">
        <v>3085</v>
      </c>
    </row>
    <row r="1328" spans="1:11" x14ac:dyDescent="0.35">
      <c r="A1328" s="1" t="s">
        <v>3043</v>
      </c>
      <c r="B1328" s="1" t="s">
        <v>3073</v>
      </c>
      <c r="C1328" s="1" t="s">
        <v>3103</v>
      </c>
      <c r="D1328" s="1" t="str">
        <f>"4520"</f>
        <v>4520</v>
      </c>
      <c r="E1328" s="1" t="s">
        <v>3104</v>
      </c>
      <c r="F1328" s="1" t="s">
        <v>3105</v>
      </c>
      <c r="G1328" s="1" t="s">
        <v>16</v>
      </c>
      <c r="H1328" s="1" t="str">
        <f>"2"</f>
        <v>2</v>
      </c>
      <c r="I1328" s="2" t="str">
        <f>"500"</f>
        <v>500</v>
      </c>
      <c r="J1328" s="3">
        <v>46136</v>
      </c>
      <c r="K1328" s="1" t="s">
        <v>3106</v>
      </c>
    </row>
    <row r="1329" spans="1:11" x14ac:dyDescent="0.35">
      <c r="A1329" s="1" t="s">
        <v>3043</v>
      </c>
      <c r="B1329" s="1" t="s">
        <v>3073</v>
      </c>
      <c r="C1329" s="1" t="s">
        <v>3107</v>
      </c>
      <c r="D1329" s="1" t="str">
        <f>"4520"</f>
        <v>4520</v>
      </c>
      <c r="E1329" s="1" t="s">
        <v>3104</v>
      </c>
      <c r="F1329" s="1" t="s">
        <v>3105</v>
      </c>
      <c r="G1329" s="1" t="s">
        <v>16</v>
      </c>
      <c r="H1329" s="1" t="str">
        <f>"1"</f>
        <v>1</v>
      </c>
      <c r="I1329" s="2" t="str">
        <f>"800"</f>
        <v>800</v>
      </c>
      <c r="J1329" s="3">
        <v>46136</v>
      </c>
      <c r="K1329" s="1" t="s">
        <v>3106</v>
      </c>
    </row>
    <row r="1330" spans="1:11" x14ac:dyDescent="0.35">
      <c r="A1330" s="1" t="s">
        <v>3043</v>
      </c>
      <c r="B1330" s="1" t="s">
        <v>3073</v>
      </c>
      <c r="C1330" s="1" t="s">
        <v>3108</v>
      </c>
      <c r="D1330" s="1" t="str">
        <f>"4520"</f>
        <v>4520</v>
      </c>
      <c r="E1330" s="1" t="s">
        <v>3104</v>
      </c>
      <c r="F1330" s="1" t="s">
        <v>3105</v>
      </c>
      <c r="G1330" s="1" t="s">
        <v>16</v>
      </c>
      <c r="H1330" s="1" t="str">
        <f>"2"</f>
        <v>2</v>
      </c>
      <c r="I1330" s="2" t="str">
        <f>"800"</f>
        <v>800</v>
      </c>
      <c r="J1330" s="3">
        <v>46136</v>
      </c>
      <c r="K1330" s="1" t="s">
        <v>3106</v>
      </c>
    </row>
    <row r="1331" spans="1:11" x14ac:dyDescent="0.35">
      <c r="A1331" s="1" t="s">
        <v>3043</v>
      </c>
      <c r="B1331" s="1" t="s">
        <v>3073</v>
      </c>
      <c r="C1331" s="1" t="s">
        <v>3109</v>
      </c>
      <c r="D1331" s="1" t="str">
        <f>"4520"</f>
        <v>4520</v>
      </c>
      <c r="E1331" s="1" t="s">
        <v>3104</v>
      </c>
      <c r="F1331" s="1" t="s">
        <v>3105</v>
      </c>
      <c r="G1331" s="1" t="s">
        <v>16</v>
      </c>
      <c r="H1331" s="1" t="str">
        <f>"1"</f>
        <v>1</v>
      </c>
      <c r="I1331" s="2" t="str">
        <f>"400"</f>
        <v>400</v>
      </c>
      <c r="J1331" s="3">
        <v>46136</v>
      </c>
      <c r="K1331" s="1" t="s">
        <v>3106</v>
      </c>
    </row>
    <row r="1332" spans="1:11" x14ac:dyDescent="0.35">
      <c r="A1332" s="1" t="s">
        <v>3043</v>
      </c>
      <c r="B1332" s="1" t="s">
        <v>3073</v>
      </c>
      <c r="C1332" s="1" t="s">
        <v>3140</v>
      </c>
      <c r="D1332" s="1" t="str">
        <f>"7105"</f>
        <v>7105</v>
      </c>
      <c r="E1332" s="1" t="str">
        <f>"009350422"</f>
        <v>009350422</v>
      </c>
      <c r="F1332" s="1" t="s">
        <v>3136</v>
      </c>
      <c r="G1332" s="1" t="s">
        <v>16</v>
      </c>
      <c r="H1332" s="1" t="str">
        <f>"1"</f>
        <v>1</v>
      </c>
      <c r="I1332" s="2">
        <v>133.93</v>
      </c>
      <c r="J1332" s="3">
        <v>46136</v>
      </c>
      <c r="K1332" s="1" t="s">
        <v>3137</v>
      </c>
    </row>
    <row r="1333" spans="1:11" x14ac:dyDescent="0.35">
      <c r="A1333" s="1" t="s">
        <v>3043</v>
      </c>
      <c r="B1333" s="1" t="s">
        <v>3073</v>
      </c>
      <c r="C1333" s="1" t="s">
        <v>3097</v>
      </c>
      <c r="D1333" s="1" t="str">
        <f>"4220"</f>
        <v>4220</v>
      </c>
      <c r="E1333" s="1" t="str">
        <f>"014831926"</f>
        <v>014831926</v>
      </c>
      <c r="F1333" s="1" t="s">
        <v>3098</v>
      </c>
      <c r="G1333" s="1" t="s">
        <v>16</v>
      </c>
      <c r="H1333" s="1" t="str">
        <f>"15"</f>
        <v>15</v>
      </c>
      <c r="I1333" s="2">
        <v>205.8</v>
      </c>
      <c r="J1333" s="3">
        <v>46170</v>
      </c>
      <c r="K1333" s="1" t="s">
        <v>3099</v>
      </c>
    </row>
    <row r="1334" spans="1:11" x14ac:dyDescent="0.35">
      <c r="A1334" s="1" t="s">
        <v>3043</v>
      </c>
      <c r="B1334" s="1" t="s">
        <v>3044</v>
      </c>
      <c r="C1334" s="1" t="s">
        <v>3045</v>
      </c>
      <c r="D1334" s="1" t="str">
        <f>"1095"</f>
        <v>1095</v>
      </c>
      <c r="E1334" s="1" t="str">
        <f>"004070674"</f>
        <v>004070674</v>
      </c>
      <c r="F1334" s="1" t="s">
        <v>2010</v>
      </c>
      <c r="G1334" s="1" t="s">
        <v>16</v>
      </c>
      <c r="H1334" s="1" t="str">
        <f>"8"</f>
        <v>8</v>
      </c>
      <c r="I1334" s="2">
        <v>1098.96</v>
      </c>
      <c r="J1334" s="3">
        <v>46171</v>
      </c>
      <c r="K1334" s="1" t="s">
        <v>3046</v>
      </c>
    </row>
    <row r="1335" spans="1:11" x14ac:dyDescent="0.35">
      <c r="A1335" s="1" t="s">
        <v>3043</v>
      </c>
      <c r="B1335" s="1" t="s">
        <v>3044</v>
      </c>
      <c r="C1335" s="1" t="s">
        <v>3047</v>
      </c>
      <c r="D1335" s="1" t="str">
        <f>"5120"</f>
        <v>5120</v>
      </c>
      <c r="E1335" s="1" t="s">
        <v>570</v>
      </c>
      <c r="F1335" s="1" t="s">
        <v>571</v>
      </c>
      <c r="G1335" s="1" t="s">
        <v>16</v>
      </c>
      <c r="H1335" s="1" t="str">
        <f>"4"</f>
        <v>4</v>
      </c>
      <c r="I1335" s="2" t="str">
        <f>"300"</f>
        <v>300</v>
      </c>
      <c r="J1335" s="3">
        <v>46171</v>
      </c>
      <c r="K1335" s="1" t="s">
        <v>3048</v>
      </c>
    </row>
    <row r="1336" spans="1:11" x14ac:dyDescent="0.35">
      <c r="A1336" s="1" t="s">
        <v>3043</v>
      </c>
      <c r="B1336" s="1" t="s">
        <v>3044</v>
      </c>
      <c r="C1336" s="1" t="s">
        <v>3049</v>
      </c>
      <c r="D1336" s="1" t="str">
        <f>"5180"</f>
        <v>5180</v>
      </c>
      <c r="E1336" s="1" t="str">
        <f>"015595981"</f>
        <v>015595981</v>
      </c>
      <c r="F1336" s="1" t="s">
        <v>1076</v>
      </c>
      <c r="G1336" s="1" t="s">
        <v>215</v>
      </c>
      <c r="H1336" s="1" t="str">
        <f>"1"</f>
        <v>1</v>
      </c>
      <c r="I1336" s="2" t="str">
        <f>"1774"</f>
        <v>1774</v>
      </c>
      <c r="J1336" s="3">
        <v>46171</v>
      </c>
      <c r="K1336" s="1" t="s">
        <v>3050</v>
      </c>
    </row>
    <row r="1337" spans="1:11" x14ac:dyDescent="0.35">
      <c r="A1337" s="1" t="s">
        <v>3043</v>
      </c>
      <c r="B1337" s="1" t="s">
        <v>3044</v>
      </c>
      <c r="C1337" s="1" t="s">
        <v>3051</v>
      </c>
      <c r="D1337" s="1" t="str">
        <f>"6515"</f>
        <v>6515</v>
      </c>
      <c r="E1337" s="1" t="str">
        <f>"016912744"</f>
        <v>016912744</v>
      </c>
      <c r="F1337" s="1" t="s">
        <v>3052</v>
      </c>
      <c r="G1337" s="1" t="s">
        <v>16</v>
      </c>
      <c r="H1337" s="1" t="str">
        <f>"1"</f>
        <v>1</v>
      </c>
      <c r="I1337" s="2">
        <v>24757.72</v>
      </c>
      <c r="J1337" s="3">
        <v>46171</v>
      </c>
      <c r="K1337" s="1" t="s">
        <v>3053</v>
      </c>
    </row>
    <row r="1338" spans="1:11" x14ac:dyDescent="0.35">
      <c r="A1338" s="1" t="s">
        <v>3043</v>
      </c>
      <c r="B1338" s="1" t="s">
        <v>3044</v>
      </c>
      <c r="C1338" s="1" t="s">
        <v>3054</v>
      </c>
      <c r="D1338" s="1" t="str">
        <f>"6515"</f>
        <v>6515</v>
      </c>
      <c r="E1338" s="1" t="str">
        <f>"016912744"</f>
        <v>016912744</v>
      </c>
      <c r="F1338" s="1" t="s">
        <v>3052</v>
      </c>
      <c r="G1338" s="1" t="s">
        <v>16</v>
      </c>
      <c r="H1338" s="1" t="str">
        <f>"1"</f>
        <v>1</v>
      </c>
      <c r="I1338" s="2">
        <v>24757.72</v>
      </c>
      <c r="J1338" s="3">
        <v>46171</v>
      </c>
      <c r="K1338" s="1" t="s">
        <v>3055</v>
      </c>
    </row>
    <row r="1339" spans="1:11" x14ac:dyDescent="0.35">
      <c r="A1339" s="1" t="s">
        <v>3043</v>
      </c>
      <c r="B1339" s="1" t="s">
        <v>3044</v>
      </c>
      <c r="C1339" s="1" t="s">
        <v>3056</v>
      </c>
      <c r="D1339" s="1" t="str">
        <f>"6515"</f>
        <v>6515</v>
      </c>
      <c r="E1339" s="1" t="str">
        <f>"016912744"</f>
        <v>016912744</v>
      </c>
      <c r="F1339" s="1" t="s">
        <v>3052</v>
      </c>
      <c r="G1339" s="1" t="s">
        <v>16</v>
      </c>
      <c r="H1339" s="1" t="str">
        <f>"1"</f>
        <v>1</v>
      </c>
      <c r="I1339" s="2">
        <v>24757.72</v>
      </c>
      <c r="J1339" s="3">
        <v>46171</v>
      </c>
      <c r="K1339" s="1" t="s">
        <v>3053</v>
      </c>
    </row>
    <row r="1340" spans="1:11" x14ac:dyDescent="0.35">
      <c r="A1340" s="1" t="s">
        <v>3043</v>
      </c>
      <c r="B1340" s="1" t="s">
        <v>3044</v>
      </c>
      <c r="C1340" s="1" t="s">
        <v>3057</v>
      </c>
      <c r="D1340" s="1" t="str">
        <f>"6515"</f>
        <v>6515</v>
      </c>
      <c r="E1340" s="1" t="str">
        <f>"016912744"</f>
        <v>016912744</v>
      </c>
      <c r="F1340" s="1" t="s">
        <v>3052</v>
      </c>
      <c r="G1340" s="1" t="s">
        <v>16</v>
      </c>
      <c r="H1340" s="1" t="str">
        <f>"1"</f>
        <v>1</v>
      </c>
      <c r="I1340" s="2">
        <v>24757.72</v>
      </c>
      <c r="J1340" s="3">
        <v>46171</v>
      </c>
      <c r="K1340" s="1" t="s">
        <v>3053</v>
      </c>
    </row>
    <row r="1341" spans="1:11" x14ac:dyDescent="0.35">
      <c r="A1341" s="1" t="s">
        <v>3043</v>
      </c>
      <c r="B1341" s="1" t="s">
        <v>3044</v>
      </c>
      <c r="C1341" s="1" t="s">
        <v>3058</v>
      </c>
      <c r="D1341" s="1" t="str">
        <f>"6545"</f>
        <v>6545</v>
      </c>
      <c r="E1341" s="1" t="str">
        <f>"015748111"</f>
        <v>015748111</v>
      </c>
      <c r="F1341" s="1" t="s">
        <v>2834</v>
      </c>
      <c r="G1341" s="1" t="s">
        <v>16</v>
      </c>
      <c r="H1341" s="1" t="str">
        <f>"100"</f>
        <v>100</v>
      </c>
      <c r="I1341" s="2">
        <v>148.55000000000001</v>
      </c>
      <c r="J1341" s="3">
        <v>46171</v>
      </c>
      <c r="K1341" s="1" t="s">
        <v>3059</v>
      </c>
    </row>
    <row r="1342" spans="1:11" x14ac:dyDescent="0.35">
      <c r="A1342" s="1" t="s">
        <v>3043</v>
      </c>
      <c r="B1342" s="1" t="s">
        <v>3044</v>
      </c>
      <c r="C1342" s="1" t="s">
        <v>3060</v>
      </c>
      <c r="D1342" s="1" t="str">
        <f>"8415"</f>
        <v>8415</v>
      </c>
      <c r="E1342" s="1" t="str">
        <f>"015138143"</f>
        <v>015138143</v>
      </c>
      <c r="F1342" s="1" t="s">
        <v>3061</v>
      </c>
      <c r="G1342" s="1" t="s">
        <v>16</v>
      </c>
      <c r="H1342" s="1" t="str">
        <f>"2"</f>
        <v>2</v>
      </c>
      <c r="I1342" s="2">
        <v>735.88</v>
      </c>
      <c r="J1342" s="3">
        <v>46171</v>
      </c>
      <c r="K1342" s="1" t="s">
        <v>3062</v>
      </c>
    </row>
    <row r="1343" spans="1:11" x14ac:dyDescent="0.35">
      <c r="A1343" s="1" t="s">
        <v>3043</v>
      </c>
      <c r="B1343" s="1" t="s">
        <v>3073</v>
      </c>
      <c r="C1343" s="1" t="s">
        <v>3074</v>
      </c>
      <c r="D1343" s="1" t="str">
        <f>"2330"</f>
        <v>2330</v>
      </c>
      <c r="E1343" s="1" t="s">
        <v>70</v>
      </c>
      <c r="F1343" s="1" t="s">
        <v>71</v>
      </c>
      <c r="G1343" s="1" t="s">
        <v>16</v>
      </c>
      <c r="H1343" s="1" t="str">
        <f>"1"</f>
        <v>1</v>
      </c>
      <c r="I1343" s="2" t="str">
        <f>"14000"</f>
        <v>14000</v>
      </c>
      <c r="J1343" s="3">
        <v>46171</v>
      </c>
      <c r="K1343" s="1" t="s">
        <v>3075</v>
      </c>
    </row>
    <row r="1344" spans="1:11" x14ac:dyDescent="0.35">
      <c r="A1344" s="1" t="s">
        <v>3043</v>
      </c>
      <c r="B1344" s="1" t="s">
        <v>3073</v>
      </c>
      <c r="C1344" s="1" t="s">
        <v>3076</v>
      </c>
      <c r="D1344" s="1" t="str">
        <f>"2330"</f>
        <v>2330</v>
      </c>
      <c r="E1344" s="1" t="s">
        <v>70</v>
      </c>
      <c r="F1344" s="1" t="s">
        <v>71</v>
      </c>
      <c r="G1344" s="1" t="s">
        <v>16</v>
      </c>
      <c r="H1344" s="1" t="str">
        <f>"1"</f>
        <v>1</v>
      </c>
      <c r="I1344" s="2" t="str">
        <f>"14000"</f>
        <v>14000</v>
      </c>
      <c r="J1344" s="3">
        <v>46171</v>
      </c>
      <c r="K1344" s="1" t="s">
        <v>3075</v>
      </c>
    </row>
    <row r="1345" spans="1:11" x14ac:dyDescent="0.35">
      <c r="A1345" s="1" t="s">
        <v>3043</v>
      </c>
      <c r="B1345" s="1" t="s">
        <v>3073</v>
      </c>
      <c r="C1345" s="1" t="s">
        <v>3077</v>
      </c>
      <c r="D1345" s="1" t="str">
        <f>"2340"</f>
        <v>2340</v>
      </c>
      <c r="E1345" s="1" t="s">
        <v>84</v>
      </c>
      <c r="F1345" s="1" t="s">
        <v>85</v>
      </c>
      <c r="G1345" s="1" t="s">
        <v>16</v>
      </c>
      <c r="H1345" s="1" t="str">
        <f>"1"</f>
        <v>1</v>
      </c>
      <c r="I1345" s="2" t="str">
        <f>"10000"</f>
        <v>10000</v>
      </c>
      <c r="J1345" s="3">
        <v>46171</v>
      </c>
      <c r="K1345" s="1" t="s">
        <v>3078</v>
      </c>
    </row>
    <row r="1346" spans="1:11" x14ac:dyDescent="0.35">
      <c r="A1346" s="1" t="s">
        <v>3043</v>
      </c>
      <c r="B1346" s="1" t="s">
        <v>3073</v>
      </c>
      <c r="C1346" s="1" t="s">
        <v>3079</v>
      </c>
      <c r="D1346" s="1" t="str">
        <f>"2340"</f>
        <v>2340</v>
      </c>
      <c r="E1346" s="1" t="s">
        <v>84</v>
      </c>
      <c r="F1346" s="1" t="s">
        <v>85</v>
      </c>
      <c r="G1346" s="1" t="s">
        <v>16</v>
      </c>
      <c r="H1346" s="1" t="str">
        <f>"1"</f>
        <v>1</v>
      </c>
      <c r="I1346" s="2" t="str">
        <f>"19891"</f>
        <v>19891</v>
      </c>
      <c r="J1346" s="3">
        <v>46171</v>
      </c>
      <c r="K1346" s="1" t="s">
        <v>3078</v>
      </c>
    </row>
    <row r="1347" spans="1:11" x14ac:dyDescent="0.35">
      <c r="A1347" s="1" t="s">
        <v>3043</v>
      </c>
      <c r="B1347" s="1" t="s">
        <v>3073</v>
      </c>
      <c r="C1347" s="1" t="s">
        <v>3095</v>
      </c>
      <c r="D1347" s="1" t="str">
        <f>"4140"</f>
        <v>4140</v>
      </c>
      <c r="E1347" s="1" t="s">
        <v>398</v>
      </c>
      <c r="F1347" s="1" t="s">
        <v>399</v>
      </c>
      <c r="G1347" s="1" t="s">
        <v>16</v>
      </c>
      <c r="H1347" s="1" t="str">
        <f>"1"</f>
        <v>1</v>
      </c>
      <c r="I1347" s="2" t="str">
        <f>"200"</f>
        <v>200</v>
      </c>
      <c r="J1347" s="3">
        <v>46171</v>
      </c>
      <c r="K1347" s="1" t="s">
        <v>3096</v>
      </c>
    </row>
    <row r="1348" spans="1:11" x14ac:dyDescent="0.35">
      <c r="A1348" s="1" t="s">
        <v>3043</v>
      </c>
      <c r="B1348" s="1" t="s">
        <v>3073</v>
      </c>
      <c r="C1348" s="1" t="s">
        <v>3116</v>
      </c>
      <c r="D1348" s="1" t="str">
        <f>"5180"</f>
        <v>5180</v>
      </c>
      <c r="E1348" s="1" t="str">
        <f>"014609328"</f>
        <v>014609328</v>
      </c>
      <c r="F1348" s="1" t="s">
        <v>785</v>
      </c>
      <c r="G1348" s="1" t="s">
        <v>16</v>
      </c>
      <c r="H1348" s="1" t="str">
        <f>"2"</f>
        <v>2</v>
      </c>
      <c r="I1348" s="2">
        <v>2840.22</v>
      </c>
      <c r="J1348" s="3">
        <v>46171</v>
      </c>
      <c r="K1348" s="1" t="s">
        <v>3117</v>
      </c>
    </row>
    <row r="1349" spans="1:11" x14ac:dyDescent="0.35">
      <c r="A1349" s="1" t="s">
        <v>3043</v>
      </c>
      <c r="B1349" s="1" t="s">
        <v>3073</v>
      </c>
      <c r="C1349" s="1" t="s">
        <v>3118</v>
      </c>
      <c r="D1349" s="1" t="str">
        <f>"5180"</f>
        <v>5180</v>
      </c>
      <c r="E1349" s="1" t="str">
        <f>"003133045"</f>
        <v>003133045</v>
      </c>
      <c r="F1349" s="1" t="s">
        <v>3119</v>
      </c>
      <c r="G1349" s="1" t="s">
        <v>215</v>
      </c>
      <c r="H1349" s="1" t="str">
        <f>"2"</f>
        <v>2</v>
      </c>
      <c r="I1349" s="2" t="str">
        <f>"3362"</f>
        <v>3362</v>
      </c>
      <c r="J1349" s="3">
        <v>46171</v>
      </c>
      <c r="K1349" s="1" t="s">
        <v>3120</v>
      </c>
    </row>
    <row r="1350" spans="1:11" x14ac:dyDescent="0.35">
      <c r="A1350" s="1" t="s">
        <v>3043</v>
      </c>
      <c r="B1350" s="1" t="s">
        <v>3073</v>
      </c>
      <c r="C1350" s="1" t="s">
        <v>3128</v>
      </c>
      <c r="D1350" s="1" t="str">
        <f>"6650"</f>
        <v>6650</v>
      </c>
      <c r="E1350" s="1" t="s">
        <v>2750</v>
      </c>
      <c r="F1350" s="1" t="s">
        <v>2751</v>
      </c>
      <c r="G1350" s="1" t="s">
        <v>16</v>
      </c>
      <c r="H1350" s="1" t="str">
        <f>"3"</f>
        <v>3</v>
      </c>
      <c r="I1350" s="2">
        <v>748.11</v>
      </c>
      <c r="J1350" s="3">
        <v>46171</v>
      </c>
      <c r="K1350" s="1" t="s">
        <v>3129</v>
      </c>
    </row>
    <row r="1351" spans="1:11" x14ac:dyDescent="0.35">
      <c r="A1351" s="1" t="s">
        <v>3043</v>
      </c>
      <c r="B1351" s="1" t="s">
        <v>3073</v>
      </c>
      <c r="C1351" s="1" t="s">
        <v>3130</v>
      </c>
      <c r="D1351" s="1" t="str">
        <f>"6665"</f>
        <v>6665</v>
      </c>
      <c r="E1351" s="1" t="str">
        <f>"015214676"</f>
        <v>015214676</v>
      </c>
      <c r="F1351" s="1" t="s">
        <v>3131</v>
      </c>
      <c r="G1351" s="1" t="s">
        <v>16</v>
      </c>
      <c r="H1351" s="1" t="str">
        <f>"1"</f>
        <v>1</v>
      </c>
      <c r="I1351" s="2">
        <v>99833.4</v>
      </c>
      <c r="J1351" s="3">
        <v>46171</v>
      </c>
      <c r="K1351" s="1" t="s">
        <v>3132</v>
      </c>
    </row>
    <row r="1352" spans="1:11" x14ac:dyDescent="0.35">
      <c r="A1352" s="1" t="s">
        <v>3043</v>
      </c>
      <c r="B1352" s="1" t="s">
        <v>3073</v>
      </c>
      <c r="C1352" s="1" t="s">
        <v>3133</v>
      </c>
      <c r="D1352" s="1" t="str">
        <f>"6910"</f>
        <v>6910</v>
      </c>
      <c r="E1352" s="1" t="s">
        <v>1124</v>
      </c>
      <c r="F1352" s="1" t="s">
        <v>1125</v>
      </c>
      <c r="G1352" s="1" t="s">
        <v>16</v>
      </c>
      <c r="H1352" s="1" t="str">
        <f>"1"</f>
        <v>1</v>
      </c>
      <c r="I1352" s="2" t="str">
        <f>"2604"</f>
        <v>2604</v>
      </c>
      <c r="J1352" s="3">
        <v>46171</v>
      </c>
      <c r="K1352" s="1" t="s">
        <v>3134</v>
      </c>
    </row>
    <row r="1353" spans="1:11" x14ac:dyDescent="0.35">
      <c r="A1353" s="1" t="s">
        <v>3043</v>
      </c>
      <c r="B1353" s="1" t="s">
        <v>3073</v>
      </c>
      <c r="C1353" s="1" t="s">
        <v>3151</v>
      </c>
      <c r="D1353" s="1" t="str">
        <f>"8415"</f>
        <v>8415</v>
      </c>
      <c r="E1353" s="1" t="str">
        <f>"015388701"</f>
        <v>015388701</v>
      </c>
      <c r="F1353" s="1" t="s">
        <v>1224</v>
      </c>
      <c r="G1353" s="1" t="s">
        <v>16</v>
      </c>
      <c r="H1353" s="1" t="str">
        <f>"8"</f>
        <v>8</v>
      </c>
      <c r="I1353" s="2">
        <v>39.33</v>
      </c>
      <c r="J1353" s="3">
        <v>46171</v>
      </c>
      <c r="K1353" s="1" t="s">
        <v>3152</v>
      </c>
    </row>
    <row r="1354" spans="1:11" x14ac:dyDescent="0.35">
      <c r="A1354" s="1" t="s">
        <v>3043</v>
      </c>
      <c r="B1354" s="1" t="s">
        <v>3073</v>
      </c>
      <c r="C1354" s="1" t="s">
        <v>3158</v>
      </c>
      <c r="D1354" s="1" t="str">
        <f>"8430"</f>
        <v>8430</v>
      </c>
      <c r="E1354" s="1" t="str">
        <f>"014344789"</f>
        <v>014344789</v>
      </c>
      <c r="F1354" s="1" t="s">
        <v>1777</v>
      </c>
      <c r="G1354" s="1" t="s">
        <v>311</v>
      </c>
      <c r="H1354" s="1" t="str">
        <f>"30"</f>
        <v>30</v>
      </c>
      <c r="I1354" s="2">
        <v>81.680000000000007</v>
      </c>
      <c r="J1354" s="3">
        <v>46171</v>
      </c>
      <c r="K1354" s="1" t="s">
        <v>3159</v>
      </c>
    </row>
    <row r="1355" spans="1:11" x14ac:dyDescent="0.35">
      <c r="A1355" s="1" t="s">
        <v>3043</v>
      </c>
      <c r="B1355" s="1" t="s">
        <v>3070</v>
      </c>
      <c r="C1355" s="1" t="s">
        <v>3071</v>
      </c>
      <c r="D1355" s="1" t="str">
        <f>"2330"</f>
        <v>2330</v>
      </c>
      <c r="E1355" s="1" t="s">
        <v>70</v>
      </c>
      <c r="F1355" s="1" t="s">
        <v>71</v>
      </c>
      <c r="G1355" s="1" t="s">
        <v>16</v>
      </c>
      <c r="H1355" s="1" t="str">
        <f>"1"</f>
        <v>1</v>
      </c>
      <c r="I1355" s="2" t="str">
        <f>"14000"</f>
        <v>14000</v>
      </c>
      <c r="J1355" s="3">
        <v>46185</v>
      </c>
      <c r="K1355" s="1" t="s">
        <v>3072</v>
      </c>
    </row>
    <row r="1356" spans="1:11" x14ac:dyDescent="0.35">
      <c r="A1356" s="1" t="s">
        <v>3043</v>
      </c>
      <c r="B1356" s="1" t="s">
        <v>3066</v>
      </c>
      <c r="C1356" s="1" t="s">
        <v>3067</v>
      </c>
      <c r="D1356" s="1" t="str">
        <f>"4220"</f>
        <v>4220</v>
      </c>
      <c r="E1356" s="1" t="str">
        <f>"016179406"</f>
        <v>016179406</v>
      </c>
      <c r="F1356" s="1" t="s">
        <v>3068</v>
      </c>
      <c r="G1356" s="1" t="s">
        <v>16</v>
      </c>
      <c r="H1356" s="1" t="str">
        <f>"1"</f>
        <v>1</v>
      </c>
      <c r="I1356" s="2" t="str">
        <f>"17000"</f>
        <v>17000</v>
      </c>
      <c r="J1356" s="3">
        <v>46196</v>
      </c>
      <c r="K1356" s="1" t="s">
        <v>3069</v>
      </c>
    </row>
    <row r="1357" spans="1:11" x14ac:dyDescent="0.35">
      <c r="A1357" s="1" t="s">
        <v>3162</v>
      </c>
      <c r="B1357" s="1" t="s">
        <v>3191</v>
      </c>
      <c r="C1357" s="1" t="s">
        <v>3197</v>
      </c>
      <c r="D1357" s="1" t="str">
        <f>"1367"</f>
        <v>1367</v>
      </c>
      <c r="E1357" s="1" t="str">
        <f>"015615278"</f>
        <v>015615278</v>
      </c>
      <c r="F1357" s="1" t="s">
        <v>3198</v>
      </c>
      <c r="G1357" s="1" t="s">
        <v>16</v>
      </c>
      <c r="H1357" s="1" t="str">
        <f>"1"</f>
        <v>1</v>
      </c>
      <c r="I1357" s="2" t="str">
        <f>"424403"</f>
        <v>424403</v>
      </c>
      <c r="J1357" s="3">
        <v>46114</v>
      </c>
      <c r="K1357" s="1" t="s">
        <v>3199</v>
      </c>
    </row>
    <row r="1358" spans="1:11" x14ac:dyDescent="0.35">
      <c r="A1358" s="1" t="s">
        <v>3162</v>
      </c>
      <c r="B1358" s="1" t="s">
        <v>3191</v>
      </c>
      <c r="C1358" s="1" t="s">
        <v>3205</v>
      </c>
      <c r="D1358" s="1" t="str">
        <f>"2590"</f>
        <v>2590</v>
      </c>
      <c r="E1358" s="1" t="str">
        <f>"015555016"</f>
        <v>015555016</v>
      </c>
      <c r="F1358" s="1" t="s">
        <v>3206</v>
      </c>
      <c r="G1358" s="1" t="s">
        <v>16</v>
      </c>
      <c r="H1358" s="1" t="str">
        <f>"3"</f>
        <v>3</v>
      </c>
      <c r="I1358" s="2">
        <v>9301.32</v>
      </c>
      <c r="J1358" s="3">
        <v>46114</v>
      </c>
      <c r="K1358" s="1" t="s">
        <v>3207</v>
      </c>
    </row>
    <row r="1359" spans="1:11" x14ac:dyDescent="0.35">
      <c r="A1359" s="1" t="s">
        <v>3162</v>
      </c>
      <c r="B1359" s="1" t="s">
        <v>3241</v>
      </c>
      <c r="C1359" s="1" t="s">
        <v>3246</v>
      </c>
      <c r="D1359" s="1" t="str">
        <f>"1385"</f>
        <v>1385</v>
      </c>
      <c r="E1359" s="1" t="str">
        <f>"015736046"</f>
        <v>015736046</v>
      </c>
      <c r="F1359" s="1" t="s">
        <v>540</v>
      </c>
      <c r="G1359" s="1" t="s">
        <v>16</v>
      </c>
      <c r="H1359" s="1" t="str">
        <f>"1"</f>
        <v>1</v>
      </c>
      <c r="I1359" s="2">
        <v>284528.08</v>
      </c>
      <c r="J1359" s="3">
        <v>46121</v>
      </c>
      <c r="K1359" s="1" t="s">
        <v>3247</v>
      </c>
    </row>
    <row r="1360" spans="1:11" x14ac:dyDescent="0.35">
      <c r="A1360" s="1" t="s">
        <v>3162</v>
      </c>
      <c r="B1360" s="1" t="s">
        <v>3248</v>
      </c>
      <c r="C1360" s="1" t="s">
        <v>3258</v>
      </c>
      <c r="D1360" s="1" t="str">
        <f>"2420"</f>
        <v>2420</v>
      </c>
      <c r="E1360" s="1" t="s">
        <v>501</v>
      </c>
      <c r="F1360" s="1" t="s">
        <v>502</v>
      </c>
      <c r="G1360" s="1" t="s">
        <v>16</v>
      </c>
      <c r="H1360" s="1" t="str">
        <f>"1"</f>
        <v>1</v>
      </c>
      <c r="I1360" s="2" t="str">
        <f>"15000"</f>
        <v>15000</v>
      </c>
      <c r="J1360" s="3">
        <v>46121</v>
      </c>
      <c r="K1360" s="1" t="s">
        <v>3259</v>
      </c>
    </row>
    <row r="1361" spans="1:11" x14ac:dyDescent="0.35">
      <c r="A1361" s="1" t="s">
        <v>3162</v>
      </c>
      <c r="B1361" s="1" t="s">
        <v>3284</v>
      </c>
      <c r="C1361" s="1" t="s">
        <v>3304</v>
      </c>
      <c r="D1361" s="1" t="str">
        <f>"5680"</f>
        <v>5680</v>
      </c>
      <c r="E1361" s="1" t="str">
        <f>"015538745"</f>
        <v>015538745</v>
      </c>
      <c r="F1361" s="1" t="s">
        <v>3305</v>
      </c>
      <c r="G1361" s="1" t="s">
        <v>16</v>
      </c>
      <c r="H1361" s="1" t="str">
        <f>"2"</f>
        <v>2</v>
      </c>
      <c r="I1361" s="2">
        <v>188.8</v>
      </c>
      <c r="J1361" s="3">
        <v>46121</v>
      </c>
      <c r="K1361" s="1" t="s">
        <v>3306</v>
      </c>
    </row>
    <row r="1362" spans="1:11" x14ac:dyDescent="0.35">
      <c r="A1362" s="1" t="s">
        <v>3162</v>
      </c>
      <c r="B1362" s="1" t="s">
        <v>3284</v>
      </c>
      <c r="C1362" s="1" t="s">
        <v>3319</v>
      </c>
      <c r="D1362" s="1" t="str">
        <f>"7110"</f>
        <v>7110</v>
      </c>
      <c r="E1362" s="1" t="s">
        <v>3320</v>
      </c>
      <c r="F1362" s="1" t="s">
        <v>3321</v>
      </c>
      <c r="G1362" s="1" t="s">
        <v>16</v>
      </c>
      <c r="H1362" s="1" t="str">
        <f>"6"</f>
        <v>6</v>
      </c>
      <c r="I1362" s="2" t="str">
        <f>"50"</f>
        <v>50</v>
      </c>
      <c r="J1362" s="3">
        <v>46121</v>
      </c>
      <c r="K1362" s="1" t="s">
        <v>3322</v>
      </c>
    </row>
    <row r="1363" spans="1:11" x14ac:dyDescent="0.35">
      <c r="A1363" s="1" t="s">
        <v>3162</v>
      </c>
      <c r="B1363" s="1" t="s">
        <v>3284</v>
      </c>
      <c r="C1363" s="1" t="s">
        <v>3323</v>
      </c>
      <c r="D1363" s="1" t="str">
        <f>"7110"</f>
        <v>7110</v>
      </c>
      <c r="E1363" s="1" t="s">
        <v>3320</v>
      </c>
      <c r="F1363" s="1" t="s">
        <v>3321</v>
      </c>
      <c r="G1363" s="1" t="s">
        <v>16</v>
      </c>
      <c r="H1363" s="1" t="str">
        <f>"6"</f>
        <v>6</v>
      </c>
      <c r="I1363" s="2" t="str">
        <f>"25"</f>
        <v>25</v>
      </c>
      <c r="J1363" s="3">
        <v>46121</v>
      </c>
      <c r="K1363" s="1" t="s">
        <v>3322</v>
      </c>
    </row>
    <row r="1364" spans="1:11" x14ac:dyDescent="0.35">
      <c r="A1364" s="1" t="s">
        <v>3162</v>
      </c>
      <c r="B1364" s="1" t="s">
        <v>3248</v>
      </c>
      <c r="C1364" s="1" t="s">
        <v>3262</v>
      </c>
      <c r="D1364" s="1" t="str">
        <f>"3805"</f>
        <v>3805</v>
      </c>
      <c r="E1364" s="1" t="s">
        <v>384</v>
      </c>
      <c r="F1364" s="1" t="s">
        <v>385</v>
      </c>
      <c r="G1364" s="1" t="s">
        <v>16</v>
      </c>
      <c r="H1364" s="1" t="str">
        <f>"1"</f>
        <v>1</v>
      </c>
      <c r="I1364" s="2" t="str">
        <f>"192000"</f>
        <v>192000</v>
      </c>
      <c r="J1364" s="3">
        <v>46122</v>
      </c>
      <c r="K1364" s="1" t="s">
        <v>3263</v>
      </c>
    </row>
    <row r="1365" spans="1:11" x14ac:dyDescent="0.35">
      <c r="A1365" s="1" t="s">
        <v>3162</v>
      </c>
      <c r="B1365" s="1" t="s">
        <v>3188</v>
      </c>
      <c r="C1365" s="1" t="s">
        <v>3189</v>
      </c>
      <c r="D1365" s="1" t="str">
        <f>"8415"</f>
        <v>8415</v>
      </c>
      <c r="E1365" s="1" t="s">
        <v>1139</v>
      </c>
      <c r="F1365" s="1" t="s">
        <v>1140</v>
      </c>
      <c r="G1365" s="1" t="s">
        <v>16</v>
      </c>
      <c r="H1365" s="1" t="str">
        <f>"10"</f>
        <v>10</v>
      </c>
      <c r="I1365" s="2" t="str">
        <f>"5"</f>
        <v>5</v>
      </c>
      <c r="J1365" s="3">
        <v>46125</v>
      </c>
      <c r="K1365" s="1" t="s">
        <v>3190</v>
      </c>
    </row>
    <row r="1366" spans="1:11" x14ac:dyDescent="0.35">
      <c r="A1366" s="1" t="s">
        <v>3162</v>
      </c>
      <c r="B1366" s="1" t="s">
        <v>3241</v>
      </c>
      <c r="C1366" s="1" t="s">
        <v>3242</v>
      </c>
      <c r="D1366" s="1" t="str">
        <f>"1385"</f>
        <v>1385</v>
      </c>
      <c r="E1366" s="1" t="str">
        <f>"015936219"</f>
        <v>015936219</v>
      </c>
      <c r="F1366" s="1" t="s">
        <v>1580</v>
      </c>
      <c r="G1366" s="1" t="s">
        <v>16</v>
      </c>
      <c r="H1366" s="1" t="str">
        <f>"1"</f>
        <v>1</v>
      </c>
      <c r="I1366" s="2" t="str">
        <f>"77000"</f>
        <v>77000</v>
      </c>
      <c r="J1366" s="3">
        <v>46125</v>
      </c>
      <c r="K1366" s="1" t="s">
        <v>3243</v>
      </c>
    </row>
    <row r="1367" spans="1:11" x14ac:dyDescent="0.35">
      <c r="A1367" s="1" t="s">
        <v>3162</v>
      </c>
      <c r="B1367" s="1" t="s">
        <v>3241</v>
      </c>
      <c r="C1367" s="1" t="s">
        <v>3244</v>
      </c>
      <c r="D1367" s="1" t="str">
        <f>"1385"</f>
        <v>1385</v>
      </c>
      <c r="E1367" s="1" t="str">
        <f>"015936219"</f>
        <v>015936219</v>
      </c>
      <c r="F1367" s="1" t="s">
        <v>1580</v>
      </c>
      <c r="G1367" s="1" t="s">
        <v>16</v>
      </c>
      <c r="H1367" s="1" t="str">
        <f>"2"</f>
        <v>2</v>
      </c>
      <c r="I1367" s="2" t="str">
        <f>"77000"</f>
        <v>77000</v>
      </c>
      <c r="J1367" s="3">
        <v>46125</v>
      </c>
      <c r="K1367" s="1" t="s">
        <v>3245</v>
      </c>
    </row>
    <row r="1368" spans="1:11" x14ac:dyDescent="0.35">
      <c r="A1368" s="1" t="s">
        <v>3162</v>
      </c>
      <c r="B1368" s="1" t="s">
        <v>3362</v>
      </c>
      <c r="C1368" s="1" t="s">
        <v>3371</v>
      </c>
      <c r="D1368" s="1" t="str">
        <f>"3830"</f>
        <v>3830</v>
      </c>
      <c r="E1368" s="1" t="s">
        <v>75</v>
      </c>
      <c r="F1368" s="1" t="s">
        <v>76</v>
      </c>
      <c r="G1368" s="1" t="s">
        <v>16</v>
      </c>
      <c r="H1368" s="1" t="str">
        <f>"4"</f>
        <v>4</v>
      </c>
      <c r="I1368" s="2" t="str">
        <f>"500"</f>
        <v>500</v>
      </c>
      <c r="J1368" s="3">
        <v>46126</v>
      </c>
      <c r="K1368" s="1" t="s">
        <v>3372</v>
      </c>
    </row>
    <row r="1369" spans="1:11" x14ac:dyDescent="0.35">
      <c r="A1369" s="1" t="s">
        <v>3162</v>
      </c>
      <c r="B1369" s="1" t="s">
        <v>3284</v>
      </c>
      <c r="C1369" s="1" t="s">
        <v>3285</v>
      </c>
      <c r="D1369" s="1" t="str">
        <f>"1095"</f>
        <v>1095</v>
      </c>
      <c r="E1369" s="1" t="str">
        <f>"015506607"</f>
        <v>015506607</v>
      </c>
      <c r="F1369" s="1" t="s">
        <v>3286</v>
      </c>
      <c r="G1369" s="1" t="s">
        <v>16</v>
      </c>
      <c r="H1369" s="1" t="str">
        <f>"1"</f>
        <v>1</v>
      </c>
      <c r="I1369" s="2">
        <v>1245.01</v>
      </c>
      <c r="J1369" s="3">
        <v>46133</v>
      </c>
      <c r="K1369" s="1" t="s">
        <v>3287</v>
      </c>
    </row>
    <row r="1370" spans="1:11" x14ac:dyDescent="0.35">
      <c r="A1370" s="1" t="s">
        <v>3162</v>
      </c>
      <c r="B1370" s="1" t="s">
        <v>3284</v>
      </c>
      <c r="C1370" s="1" t="s">
        <v>3309</v>
      </c>
      <c r="D1370" s="1" t="str">
        <f>"6115"</f>
        <v>6115</v>
      </c>
      <c r="E1370" s="1" t="str">
        <f>"012747392"</f>
        <v>012747392</v>
      </c>
      <c r="F1370" s="1" t="s">
        <v>1390</v>
      </c>
      <c r="G1370" s="1" t="s">
        <v>16</v>
      </c>
      <c r="H1370" s="1" t="str">
        <f>"1"</f>
        <v>1</v>
      </c>
      <c r="I1370" s="2" t="str">
        <f>"15304"</f>
        <v>15304</v>
      </c>
      <c r="J1370" s="3">
        <v>46133</v>
      </c>
      <c r="K1370" s="1" t="s">
        <v>3310</v>
      </c>
    </row>
    <row r="1371" spans="1:11" x14ac:dyDescent="0.35">
      <c r="A1371" s="1" t="s">
        <v>3162</v>
      </c>
      <c r="B1371" s="1" t="s">
        <v>3284</v>
      </c>
      <c r="C1371" s="1" t="s">
        <v>3311</v>
      </c>
      <c r="D1371" s="1" t="str">
        <f>"6115"</f>
        <v>6115</v>
      </c>
      <c r="E1371" s="1" t="str">
        <f>"012747387"</f>
        <v>012747387</v>
      </c>
      <c r="F1371" s="1" t="s">
        <v>1390</v>
      </c>
      <c r="G1371" s="1" t="s">
        <v>16</v>
      </c>
      <c r="H1371" s="1" t="str">
        <f>"1"</f>
        <v>1</v>
      </c>
      <c r="I1371" s="2">
        <v>12797.7</v>
      </c>
      <c r="J1371" s="3">
        <v>46133</v>
      </c>
      <c r="K1371" s="1" t="s">
        <v>3312</v>
      </c>
    </row>
    <row r="1372" spans="1:11" x14ac:dyDescent="0.35">
      <c r="A1372" s="1" t="s">
        <v>3162</v>
      </c>
      <c r="B1372" s="1" t="s">
        <v>3284</v>
      </c>
      <c r="C1372" s="1" t="s">
        <v>3317</v>
      </c>
      <c r="D1372" s="1" t="str">
        <f>"6230"</f>
        <v>6230</v>
      </c>
      <c r="E1372" s="1" t="s">
        <v>2631</v>
      </c>
      <c r="F1372" s="1" t="s">
        <v>2632</v>
      </c>
      <c r="G1372" s="1" t="s">
        <v>16</v>
      </c>
      <c r="H1372" s="1" t="str">
        <f>"1"</f>
        <v>1</v>
      </c>
      <c r="I1372" s="2" t="str">
        <f>"250"</f>
        <v>250</v>
      </c>
      <c r="J1372" s="3">
        <v>46133</v>
      </c>
      <c r="K1372" s="1" t="s">
        <v>3318</v>
      </c>
    </row>
    <row r="1373" spans="1:11" x14ac:dyDescent="0.35">
      <c r="A1373" s="1" t="s">
        <v>3162</v>
      </c>
      <c r="B1373" s="1" t="s">
        <v>3284</v>
      </c>
      <c r="C1373" s="1" t="s">
        <v>3292</v>
      </c>
      <c r="D1373" s="1" t="str">
        <f>"2330"</f>
        <v>2330</v>
      </c>
      <c r="E1373" s="1" t="s">
        <v>70</v>
      </c>
      <c r="F1373" s="1" t="s">
        <v>71</v>
      </c>
      <c r="G1373" s="1" t="s">
        <v>16</v>
      </c>
      <c r="H1373" s="1" t="str">
        <f>"1"</f>
        <v>1</v>
      </c>
      <c r="I1373" s="2" t="str">
        <f>"14555"</f>
        <v>14555</v>
      </c>
      <c r="J1373" s="3">
        <v>46134</v>
      </c>
      <c r="K1373" s="1" t="s">
        <v>3293</v>
      </c>
    </row>
    <row r="1374" spans="1:11" x14ac:dyDescent="0.35">
      <c r="A1374" s="1" t="s">
        <v>3162</v>
      </c>
      <c r="B1374" s="1" t="s">
        <v>3191</v>
      </c>
      <c r="C1374" s="1" t="s">
        <v>3210</v>
      </c>
      <c r="D1374" s="1" t="str">
        <f>"5411"</f>
        <v>5411</v>
      </c>
      <c r="E1374" s="1" t="s">
        <v>3211</v>
      </c>
      <c r="F1374" s="1" t="s">
        <v>3212</v>
      </c>
      <c r="G1374" s="1" t="s">
        <v>16</v>
      </c>
      <c r="H1374" s="1" t="str">
        <f>"4"</f>
        <v>4</v>
      </c>
      <c r="I1374" s="2">
        <v>99999.99</v>
      </c>
      <c r="J1374" s="3">
        <v>46135</v>
      </c>
      <c r="K1374" s="1" t="s">
        <v>3213</v>
      </c>
    </row>
    <row r="1375" spans="1:11" x14ac:dyDescent="0.35">
      <c r="A1375" s="1" t="s">
        <v>3162</v>
      </c>
      <c r="B1375" s="1" t="s">
        <v>3248</v>
      </c>
      <c r="C1375" s="1" t="s">
        <v>3249</v>
      </c>
      <c r="D1375" s="1" t="str">
        <f>"2330"</f>
        <v>2330</v>
      </c>
      <c r="E1375" s="1" t="str">
        <f>"013875443"</f>
        <v>013875443</v>
      </c>
      <c r="F1375" s="1" t="s">
        <v>979</v>
      </c>
      <c r="G1375" s="1" t="s">
        <v>16</v>
      </c>
      <c r="H1375" s="1" t="str">
        <f>"1"</f>
        <v>1</v>
      </c>
      <c r="I1375" s="2" t="str">
        <f>"9535"</f>
        <v>9535</v>
      </c>
      <c r="J1375" s="3">
        <v>46135</v>
      </c>
      <c r="K1375" s="1" t="s">
        <v>3250</v>
      </c>
    </row>
    <row r="1376" spans="1:11" x14ac:dyDescent="0.35">
      <c r="A1376" s="1" t="s">
        <v>3162</v>
      </c>
      <c r="B1376" s="1" t="s">
        <v>3248</v>
      </c>
      <c r="C1376" s="1" t="s">
        <v>3257</v>
      </c>
      <c r="D1376" s="1" t="str">
        <f>"2330"</f>
        <v>2330</v>
      </c>
      <c r="E1376" s="1" t="str">
        <f>"013875443"</f>
        <v>013875443</v>
      </c>
      <c r="F1376" s="1" t="s">
        <v>979</v>
      </c>
      <c r="G1376" s="1" t="s">
        <v>16</v>
      </c>
      <c r="H1376" s="1" t="str">
        <f>"1"</f>
        <v>1</v>
      </c>
      <c r="I1376" s="2" t="str">
        <f>"9535"</f>
        <v>9535</v>
      </c>
      <c r="J1376" s="3">
        <v>46135</v>
      </c>
      <c r="K1376" s="1" t="s">
        <v>3250</v>
      </c>
    </row>
    <row r="1377" spans="1:11" x14ac:dyDescent="0.35">
      <c r="A1377" s="1" t="s">
        <v>3162</v>
      </c>
      <c r="B1377" s="1" t="s">
        <v>3248</v>
      </c>
      <c r="C1377" s="1" t="s">
        <v>3274</v>
      </c>
      <c r="D1377" s="1" t="str">
        <f>"6115"</f>
        <v>6115</v>
      </c>
      <c r="E1377" s="1" t="str">
        <f>"014166295"</f>
        <v>014166295</v>
      </c>
      <c r="F1377" s="1" t="s">
        <v>1038</v>
      </c>
      <c r="G1377" s="1" t="s">
        <v>16</v>
      </c>
      <c r="H1377" s="1" t="str">
        <f>"6"</f>
        <v>6</v>
      </c>
      <c r="I1377" s="2">
        <v>5978.62</v>
      </c>
      <c r="J1377" s="3">
        <v>46135</v>
      </c>
      <c r="K1377" s="1" t="s">
        <v>3275</v>
      </c>
    </row>
    <row r="1378" spans="1:11" x14ac:dyDescent="0.35">
      <c r="A1378" s="1" t="s">
        <v>3162</v>
      </c>
      <c r="B1378" s="1" t="s">
        <v>3248</v>
      </c>
      <c r="C1378" s="1" t="s">
        <v>3279</v>
      </c>
      <c r="D1378" s="1" t="str">
        <f>"8415"</f>
        <v>8415</v>
      </c>
      <c r="E1378" s="1" t="str">
        <f>"013947698"</f>
        <v>013947698</v>
      </c>
      <c r="F1378" s="1" t="s">
        <v>891</v>
      </c>
      <c r="G1378" s="1" t="s">
        <v>215</v>
      </c>
      <c r="H1378" s="1" t="str">
        <f>"1"</f>
        <v>1</v>
      </c>
      <c r="I1378" s="2">
        <v>378.63</v>
      </c>
      <c r="J1378" s="3">
        <v>46135</v>
      </c>
      <c r="K1378" s="1" t="s">
        <v>3280</v>
      </c>
    </row>
    <row r="1379" spans="1:11" x14ac:dyDescent="0.35">
      <c r="A1379" s="1" t="s">
        <v>3162</v>
      </c>
      <c r="B1379" s="1" t="s">
        <v>3334</v>
      </c>
      <c r="C1379" s="1" t="s">
        <v>3335</v>
      </c>
      <c r="D1379" s="1" t="str">
        <f>"3405"</f>
        <v>3405</v>
      </c>
      <c r="E1379" s="1" t="s">
        <v>3336</v>
      </c>
      <c r="F1379" s="1" t="s">
        <v>3337</v>
      </c>
      <c r="G1379" s="1" t="s">
        <v>16</v>
      </c>
      <c r="H1379" s="1" t="str">
        <f>"1"</f>
        <v>1</v>
      </c>
      <c r="I1379" s="2">
        <v>14692.54</v>
      </c>
      <c r="J1379" s="3">
        <v>46135</v>
      </c>
      <c r="K1379" s="1" t="s">
        <v>3338</v>
      </c>
    </row>
    <row r="1380" spans="1:11" x14ac:dyDescent="0.35">
      <c r="A1380" s="1" t="s">
        <v>3162</v>
      </c>
      <c r="B1380" s="1" t="s">
        <v>3334</v>
      </c>
      <c r="C1380" s="1" t="s">
        <v>3339</v>
      </c>
      <c r="D1380" s="1" t="str">
        <f>"5130"</f>
        <v>5130</v>
      </c>
      <c r="E1380" s="1" t="s">
        <v>3340</v>
      </c>
      <c r="F1380" s="1" t="s">
        <v>3341</v>
      </c>
      <c r="G1380" s="1" t="s">
        <v>16</v>
      </c>
      <c r="H1380" s="1" t="str">
        <f>"1"</f>
        <v>1</v>
      </c>
      <c r="I1380" s="2">
        <v>3215.86</v>
      </c>
      <c r="J1380" s="3">
        <v>46135</v>
      </c>
      <c r="K1380" s="1" t="s">
        <v>3342</v>
      </c>
    </row>
    <row r="1381" spans="1:11" x14ac:dyDescent="0.35">
      <c r="A1381" s="1" t="s">
        <v>3162</v>
      </c>
      <c r="B1381" s="1" t="s">
        <v>3334</v>
      </c>
      <c r="C1381" s="1" t="s">
        <v>3347</v>
      </c>
      <c r="D1381" s="1" t="str">
        <f>"6650"</f>
        <v>6650</v>
      </c>
      <c r="E1381" s="1" t="s">
        <v>2750</v>
      </c>
      <c r="F1381" s="1" t="s">
        <v>2751</v>
      </c>
      <c r="G1381" s="1" t="s">
        <v>16</v>
      </c>
      <c r="H1381" s="1" t="str">
        <f>"1"</f>
        <v>1</v>
      </c>
      <c r="I1381" s="2">
        <v>208.47</v>
      </c>
      <c r="J1381" s="3">
        <v>46135</v>
      </c>
      <c r="K1381" s="1" t="s">
        <v>3348</v>
      </c>
    </row>
    <row r="1382" spans="1:11" x14ac:dyDescent="0.35">
      <c r="A1382" s="1" t="s">
        <v>3162</v>
      </c>
      <c r="B1382" s="1" t="s">
        <v>3334</v>
      </c>
      <c r="C1382" s="1" t="s">
        <v>3357</v>
      </c>
      <c r="D1382" s="1" t="str">
        <f>"8415"</f>
        <v>8415</v>
      </c>
      <c r="E1382" s="1" t="str">
        <f>"015387761"</f>
        <v>015387761</v>
      </c>
      <c r="F1382" s="1" t="s">
        <v>1892</v>
      </c>
      <c r="G1382" s="1" t="s">
        <v>16</v>
      </c>
      <c r="H1382" s="1" t="str">
        <f>"20"</f>
        <v>20</v>
      </c>
      <c r="I1382" s="2">
        <v>111.26</v>
      </c>
      <c r="J1382" s="3">
        <v>46135</v>
      </c>
      <c r="K1382" s="1" t="s">
        <v>3358</v>
      </c>
    </row>
    <row r="1383" spans="1:11" x14ac:dyDescent="0.35">
      <c r="A1383" s="1" t="s">
        <v>3162</v>
      </c>
      <c r="B1383" s="1" t="s">
        <v>3334</v>
      </c>
      <c r="C1383" s="1" t="s">
        <v>3359</v>
      </c>
      <c r="D1383" s="1" t="str">
        <f>"8430"</f>
        <v>8430</v>
      </c>
      <c r="E1383" s="1" t="str">
        <f>"014646737"</f>
        <v>014646737</v>
      </c>
      <c r="F1383" s="1" t="s">
        <v>3154</v>
      </c>
      <c r="G1383" s="1" t="s">
        <v>311</v>
      </c>
      <c r="H1383" s="1" t="str">
        <f>"3"</f>
        <v>3</v>
      </c>
      <c r="I1383" s="2">
        <v>133.86000000000001</v>
      </c>
      <c r="J1383" s="3">
        <v>46135</v>
      </c>
      <c r="K1383" s="1" t="s">
        <v>3360</v>
      </c>
    </row>
    <row r="1384" spans="1:11" x14ac:dyDescent="0.35">
      <c r="A1384" s="1" t="s">
        <v>3162</v>
      </c>
      <c r="B1384" s="1" t="s">
        <v>3334</v>
      </c>
      <c r="C1384" s="1" t="s">
        <v>3361</v>
      </c>
      <c r="D1384" s="1" t="str">
        <f>"8430"</f>
        <v>8430</v>
      </c>
      <c r="E1384" s="1" t="str">
        <f>"014646839"</f>
        <v>014646839</v>
      </c>
      <c r="F1384" s="1" t="s">
        <v>3154</v>
      </c>
      <c r="G1384" s="1" t="s">
        <v>311</v>
      </c>
      <c r="H1384" s="1" t="str">
        <f>"2"</f>
        <v>2</v>
      </c>
      <c r="I1384" s="2">
        <v>133.86000000000001</v>
      </c>
      <c r="J1384" s="3">
        <v>46135</v>
      </c>
      <c r="K1384" s="1" t="s">
        <v>3360</v>
      </c>
    </row>
    <row r="1385" spans="1:11" x14ac:dyDescent="0.35">
      <c r="A1385" s="1" t="s">
        <v>3162</v>
      </c>
      <c r="B1385" s="1" t="s">
        <v>3163</v>
      </c>
      <c r="C1385" s="1" t="s">
        <v>3167</v>
      </c>
      <c r="D1385" s="1" t="str">
        <f>"1095"</f>
        <v>1095</v>
      </c>
      <c r="E1385" s="1" t="str">
        <f>"015432189"</f>
        <v>015432189</v>
      </c>
      <c r="F1385" s="1" t="s">
        <v>25</v>
      </c>
      <c r="G1385" s="1" t="s">
        <v>16</v>
      </c>
      <c r="H1385" s="1" t="str">
        <f>"8"</f>
        <v>8</v>
      </c>
      <c r="I1385" s="2" t="str">
        <f>"959"</f>
        <v>959</v>
      </c>
      <c r="J1385" s="3">
        <v>46140</v>
      </c>
      <c r="K1385" s="1" t="s">
        <v>3168</v>
      </c>
    </row>
    <row r="1386" spans="1:11" x14ac:dyDescent="0.35">
      <c r="A1386" s="1" t="s">
        <v>3162</v>
      </c>
      <c r="B1386" s="1" t="s">
        <v>3163</v>
      </c>
      <c r="C1386" s="1" t="s">
        <v>3164</v>
      </c>
      <c r="D1386" s="1" t="str">
        <f>"1095"</f>
        <v>1095</v>
      </c>
      <c r="E1386" s="1" t="str">
        <f>"015331733"</f>
        <v>015331733</v>
      </c>
      <c r="F1386" s="1" t="s">
        <v>3165</v>
      </c>
      <c r="G1386" s="1" t="s">
        <v>3041</v>
      </c>
      <c r="H1386" s="1" t="str">
        <f>"25"</f>
        <v>25</v>
      </c>
      <c r="I1386" s="2">
        <v>546.98</v>
      </c>
      <c r="J1386" s="3">
        <v>46142</v>
      </c>
      <c r="K1386" s="1" t="s">
        <v>3166</v>
      </c>
    </row>
    <row r="1387" spans="1:11" x14ac:dyDescent="0.35">
      <c r="A1387" s="1" t="s">
        <v>3162</v>
      </c>
      <c r="B1387" s="1" t="s">
        <v>3284</v>
      </c>
      <c r="C1387" s="1" t="s">
        <v>3290</v>
      </c>
      <c r="D1387" s="1" t="str">
        <f>"2320"</f>
        <v>2320</v>
      </c>
      <c r="E1387" s="1" t="str">
        <f>"010907831"</f>
        <v>010907831</v>
      </c>
      <c r="F1387" s="1" t="s">
        <v>370</v>
      </c>
      <c r="G1387" s="1" t="s">
        <v>16</v>
      </c>
      <c r="H1387" s="1" t="str">
        <f>"1"</f>
        <v>1</v>
      </c>
      <c r="I1387" s="2" t="str">
        <f>"15000"</f>
        <v>15000</v>
      </c>
      <c r="J1387" s="3">
        <v>46142</v>
      </c>
      <c r="K1387" s="1" t="s">
        <v>3291</v>
      </c>
    </row>
    <row r="1388" spans="1:11" x14ac:dyDescent="0.35">
      <c r="A1388" s="1" t="s">
        <v>3162</v>
      </c>
      <c r="B1388" s="1" t="s">
        <v>3248</v>
      </c>
      <c r="C1388" s="1" t="s">
        <v>3272</v>
      </c>
      <c r="D1388" s="1" t="str">
        <f>"5830"</f>
        <v>5830</v>
      </c>
      <c r="E1388" s="1" t="str">
        <f>"016708863"</f>
        <v>016708863</v>
      </c>
      <c r="F1388" s="1" t="s">
        <v>1767</v>
      </c>
      <c r="G1388" s="1" t="s">
        <v>16</v>
      </c>
      <c r="H1388" s="1" t="str">
        <f>"2"</f>
        <v>2</v>
      </c>
      <c r="I1388" s="2" t="str">
        <f>"27775"</f>
        <v>27775</v>
      </c>
      <c r="J1388" s="3">
        <v>46143</v>
      </c>
      <c r="K1388" s="1" t="s">
        <v>3273</v>
      </c>
    </row>
    <row r="1389" spans="1:11" x14ac:dyDescent="0.35">
      <c r="A1389" s="1" t="s">
        <v>3162</v>
      </c>
      <c r="B1389" s="1" t="s">
        <v>3175</v>
      </c>
      <c r="C1389" s="1" t="s">
        <v>3176</v>
      </c>
      <c r="D1389" s="1" t="str">
        <f>"1240"</f>
        <v>1240</v>
      </c>
      <c r="E1389" s="1" t="s">
        <v>1800</v>
      </c>
      <c r="F1389" s="1" t="s">
        <v>1801</v>
      </c>
      <c r="G1389" s="1" t="s">
        <v>16</v>
      </c>
      <c r="H1389" s="1" t="str">
        <f>"4"</f>
        <v>4</v>
      </c>
      <c r="I1389" s="2" t="str">
        <f>"250"</f>
        <v>250</v>
      </c>
      <c r="J1389" s="3">
        <v>46146</v>
      </c>
      <c r="K1389" s="1" t="s">
        <v>3177</v>
      </c>
    </row>
    <row r="1390" spans="1:11" x14ac:dyDescent="0.35">
      <c r="A1390" s="1" t="s">
        <v>3162</v>
      </c>
      <c r="B1390" s="1" t="s">
        <v>3396</v>
      </c>
      <c r="C1390" s="1" t="s">
        <v>3404</v>
      </c>
      <c r="D1390" s="1" t="str">
        <f>"5440"</f>
        <v>5440</v>
      </c>
      <c r="E1390" s="1" t="s">
        <v>142</v>
      </c>
      <c r="F1390" s="1" t="s">
        <v>143</v>
      </c>
      <c r="G1390" s="1" t="s">
        <v>16</v>
      </c>
      <c r="H1390" s="1" t="str">
        <f>"2"</f>
        <v>2</v>
      </c>
      <c r="I1390" s="2">
        <v>711.26</v>
      </c>
      <c r="J1390" s="3">
        <v>46148</v>
      </c>
      <c r="K1390" s="1" t="s">
        <v>3405</v>
      </c>
    </row>
    <row r="1391" spans="1:11" x14ac:dyDescent="0.35">
      <c r="A1391" s="1" t="s">
        <v>3162</v>
      </c>
      <c r="B1391" s="1" t="s">
        <v>3396</v>
      </c>
      <c r="C1391" s="1" t="s">
        <v>3408</v>
      </c>
      <c r="D1391" s="1" t="str">
        <f>"7830"</f>
        <v>7830</v>
      </c>
      <c r="E1391" s="1" t="s">
        <v>453</v>
      </c>
      <c r="F1391" s="1" t="s">
        <v>454</v>
      </c>
      <c r="G1391" s="1" t="s">
        <v>16</v>
      </c>
      <c r="H1391" s="1" t="str">
        <f>"1"</f>
        <v>1</v>
      </c>
      <c r="I1391" s="2" t="str">
        <f>"450"</f>
        <v>450</v>
      </c>
      <c r="J1391" s="3">
        <v>46148</v>
      </c>
      <c r="K1391" s="1" t="s">
        <v>3409</v>
      </c>
    </row>
    <row r="1392" spans="1:11" x14ac:dyDescent="0.35">
      <c r="A1392" s="1" t="s">
        <v>3162</v>
      </c>
      <c r="B1392" s="1" t="s">
        <v>3396</v>
      </c>
      <c r="C1392" s="1" t="s">
        <v>3410</v>
      </c>
      <c r="D1392" s="1" t="str">
        <f>"7830"</f>
        <v>7830</v>
      </c>
      <c r="E1392" s="1" t="s">
        <v>453</v>
      </c>
      <c r="F1392" s="1" t="s">
        <v>454</v>
      </c>
      <c r="G1392" s="1" t="s">
        <v>16</v>
      </c>
      <c r="H1392" s="1" t="str">
        <f>"1"</f>
        <v>1</v>
      </c>
      <c r="I1392" s="2">
        <v>4264.74</v>
      </c>
      <c r="J1392" s="3">
        <v>46148</v>
      </c>
      <c r="K1392" s="1" t="s">
        <v>3409</v>
      </c>
    </row>
    <row r="1393" spans="1:11" x14ac:dyDescent="0.35">
      <c r="A1393" s="1" t="s">
        <v>3162</v>
      </c>
      <c r="B1393" s="1" t="s">
        <v>3396</v>
      </c>
      <c r="C1393" s="1" t="s">
        <v>3426</v>
      </c>
      <c r="D1393" s="1" t="str">
        <f>"8415"</f>
        <v>8415</v>
      </c>
      <c r="E1393" s="1" t="str">
        <f>"015386300"</f>
        <v>015386300</v>
      </c>
      <c r="F1393" s="1" t="s">
        <v>1718</v>
      </c>
      <c r="G1393" s="1" t="s">
        <v>16</v>
      </c>
      <c r="H1393" s="1" t="str">
        <f>"7"</f>
        <v>7</v>
      </c>
      <c r="I1393" s="2">
        <v>137.97999999999999</v>
      </c>
      <c r="J1393" s="3">
        <v>46148</v>
      </c>
      <c r="K1393" s="1" t="s">
        <v>3427</v>
      </c>
    </row>
    <row r="1394" spans="1:11" x14ac:dyDescent="0.35">
      <c r="A1394" s="1" t="s">
        <v>3162</v>
      </c>
      <c r="B1394" s="1" t="s">
        <v>3396</v>
      </c>
      <c r="C1394" s="1" t="s">
        <v>3428</v>
      </c>
      <c r="D1394" s="1" t="str">
        <f>"8415"</f>
        <v>8415</v>
      </c>
      <c r="E1394" s="1" t="str">
        <f>"015458642"</f>
        <v>015458642</v>
      </c>
      <c r="F1394" s="1" t="s">
        <v>1718</v>
      </c>
      <c r="G1394" s="1" t="s">
        <v>16</v>
      </c>
      <c r="H1394" s="1" t="str">
        <f>"4"</f>
        <v>4</v>
      </c>
      <c r="I1394" s="2">
        <v>137.97999999999999</v>
      </c>
      <c r="J1394" s="3">
        <v>46148</v>
      </c>
      <c r="K1394" s="1" t="s">
        <v>3427</v>
      </c>
    </row>
    <row r="1395" spans="1:11" x14ac:dyDescent="0.35">
      <c r="A1395" s="1" t="s">
        <v>3162</v>
      </c>
      <c r="B1395" s="1" t="s">
        <v>3396</v>
      </c>
      <c r="C1395" s="1" t="s">
        <v>3429</v>
      </c>
      <c r="D1395" s="1" t="str">
        <f>"8415"</f>
        <v>8415</v>
      </c>
      <c r="E1395" s="1" t="str">
        <f>"015459582"</f>
        <v>015459582</v>
      </c>
      <c r="F1395" s="1" t="s">
        <v>1718</v>
      </c>
      <c r="G1395" s="1" t="s">
        <v>16</v>
      </c>
      <c r="H1395" s="1" t="str">
        <f>"1"</f>
        <v>1</v>
      </c>
      <c r="I1395" s="2">
        <v>137.97999999999999</v>
      </c>
      <c r="J1395" s="3">
        <v>46148</v>
      </c>
      <c r="K1395" s="1" t="s">
        <v>3430</v>
      </c>
    </row>
    <row r="1396" spans="1:11" x14ac:dyDescent="0.35">
      <c r="A1396" s="1" t="s">
        <v>3162</v>
      </c>
      <c r="B1396" s="1" t="s">
        <v>3396</v>
      </c>
      <c r="C1396" s="1" t="s">
        <v>3450</v>
      </c>
      <c r="D1396" s="1" t="str">
        <f>"8415"</f>
        <v>8415</v>
      </c>
      <c r="E1396" s="1" t="str">
        <f>"015841721"</f>
        <v>015841721</v>
      </c>
      <c r="F1396" s="1" t="s">
        <v>1724</v>
      </c>
      <c r="G1396" s="1" t="s">
        <v>16</v>
      </c>
      <c r="H1396" s="1" t="str">
        <f>"1"</f>
        <v>1</v>
      </c>
      <c r="I1396" s="2">
        <v>136.19999999999999</v>
      </c>
      <c r="J1396" s="3">
        <v>46148</v>
      </c>
      <c r="K1396" s="1" t="s">
        <v>3430</v>
      </c>
    </row>
    <row r="1397" spans="1:11" x14ac:dyDescent="0.35">
      <c r="A1397" s="1" t="s">
        <v>3162</v>
      </c>
      <c r="B1397" s="1" t="s">
        <v>3396</v>
      </c>
      <c r="C1397" s="1" t="s">
        <v>3451</v>
      </c>
      <c r="D1397" s="1" t="str">
        <f>"8415"</f>
        <v>8415</v>
      </c>
      <c r="E1397" s="1" t="str">
        <f>"015772015"</f>
        <v>015772015</v>
      </c>
      <c r="F1397" s="1" t="s">
        <v>1724</v>
      </c>
      <c r="G1397" s="1" t="s">
        <v>16</v>
      </c>
      <c r="H1397" s="1" t="str">
        <f>"1"</f>
        <v>1</v>
      </c>
      <c r="I1397" s="2">
        <v>239.13</v>
      </c>
      <c r="J1397" s="3">
        <v>46148</v>
      </c>
      <c r="K1397" s="1" t="s">
        <v>3430</v>
      </c>
    </row>
    <row r="1398" spans="1:11" x14ac:dyDescent="0.35">
      <c r="A1398" s="1" t="s">
        <v>3162</v>
      </c>
      <c r="B1398" s="1" t="s">
        <v>3396</v>
      </c>
      <c r="C1398" s="1" t="s">
        <v>3452</v>
      </c>
      <c r="D1398" s="1" t="str">
        <f>"8415"</f>
        <v>8415</v>
      </c>
      <c r="E1398" s="1" t="str">
        <f>"015458724"</f>
        <v>015458724</v>
      </c>
      <c r="F1398" s="1" t="s">
        <v>1718</v>
      </c>
      <c r="G1398" s="1" t="s">
        <v>16</v>
      </c>
      <c r="H1398" s="1" t="str">
        <f>"1"</f>
        <v>1</v>
      </c>
      <c r="I1398" s="2">
        <v>137.97999999999999</v>
      </c>
      <c r="J1398" s="3">
        <v>46148</v>
      </c>
      <c r="K1398" s="1" t="s">
        <v>3430</v>
      </c>
    </row>
    <row r="1399" spans="1:11" x14ac:dyDescent="0.35">
      <c r="A1399" s="1" t="s">
        <v>3162</v>
      </c>
      <c r="B1399" s="1" t="s">
        <v>3396</v>
      </c>
      <c r="C1399" s="1" t="s">
        <v>3453</v>
      </c>
      <c r="D1399" s="1" t="str">
        <f>"8415"</f>
        <v>8415</v>
      </c>
      <c r="E1399" s="1" t="str">
        <f>"015386720"</f>
        <v>015386720</v>
      </c>
      <c r="F1399" s="1" t="s">
        <v>672</v>
      </c>
      <c r="G1399" s="1" t="s">
        <v>16</v>
      </c>
      <c r="H1399" s="1" t="str">
        <f>"1"</f>
        <v>1</v>
      </c>
      <c r="I1399" s="2">
        <v>123.35</v>
      </c>
      <c r="J1399" s="3">
        <v>46148</v>
      </c>
      <c r="K1399" s="1" t="s">
        <v>3430</v>
      </c>
    </row>
    <row r="1400" spans="1:11" x14ac:dyDescent="0.35">
      <c r="A1400" s="1" t="s">
        <v>3162</v>
      </c>
      <c r="B1400" s="1" t="s">
        <v>3396</v>
      </c>
      <c r="C1400" s="1" t="s">
        <v>3454</v>
      </c>
      <c r="D1400" s="1" t="str">
        <f>"8415"</f>
        <v>8415</v>
      </c>
      <c r="E1400" s="1" t="str">
        <f>"015458724"</f>
        <v>015458724</v>
      </c>
      <c r="F1400" s="1" t="s">
        <v>1718</v>
      </c>
      <c r="G1400" s="1" t="s">
        <v>16</v>
      </c>
      <c r="H1400" s="1" t="str">
        <f>"2"</f>
        <v>2</v>
      </c>
      <c r="I1400" s="2">
        <v>137.97999999999999</v>
      </c>
      <c r="J1400" s="3">
        <v>46148</v>
      </c>
      <c r="K1400" s="1" t="s">
        <v>3427</v>
      </c>
    </row>
    <row r="1401" spans="1:11" x14ac:dyDescent="0.35">
      <c r="A1401" s="1" t="s">
        <v>3162</v>
      </c>
      <c r="B1401" s="1" t="s">
        <v>3396</v>
      </c>
      <c r="C1401" s="1" t="s">
        <v>3455</v>
      </c>
      <c r="D1401" s="1" t="str">
        <f>"8415"</f>
        <v>8415</v>
      </c>
      <c r="E1401" s="1" t="str">
        <f>"015772431"</f>
        <v>015772431</v>
      </c>
      <c r="F1401" s="1" t="s">
        <v>3456</v>
      </c>
      <c r="G1401" s="1" t="s">
        <v>311</v>
      </c>
      <c r="H1401" s="1" t="str">
        <f>"1"</f>
        <v>1</v>
      </c>
      <c r="I1401" s="2">
        <v>432.16</v>
      </c>
      <c r="J1401" s="3">
        <v>46148</v>
      </c>
      <c r="K1401" s="1" t="s">
        <v>3430</v>
      </c>
    </row>
    <row r="1402" spans="1:11" x14ac:dyDescent="0.35">
      <c r="A1402" s="1" t="s">
        <v>3162</v>
      </c>
      <c r="B1402" s="1" t="s">
        <v>3396</v>
      </c>
      <c r="C1402" s="1" t="s">
        <v>3457</v>
      </c>
      <c r="D1402" s="1" t="str">
        <f>"8415"</f>
        <v>8415</v>
      </c>
      <c r="E1402" s="1" t="str">
        <f>"015772016"</f>
        <v>015772016</v>
      </c>
      <c r="F1402" s="1" t="s">
        <v>1724</v>
      </c>
      <c r="G1402" s="1" t="s">
        <v>16</v>
      </c>
      <c r="H1402" s="1" t="str">
        <f>"1"</f>
        <v>1</v>
      </c>
      <c r="I1402" s="2">
        <v>239.13</v>
      </c>
      <c r="J1402" s="3">
        <v>46148</v>
      </c>
      <c r="K1402" s="1" t="s">
        <v>3430</v>
      </c>
    </row>
    <row r="1403" spans="1:11" x14ac:dyDescent="0.35">
      <c r="A1403" s="1" t="s">
        <v>3162</v>
      </c>
      <c r="B1403" s="1" t="s">
        <v>3396</v>
      </c>
      <c r="C1403" s="1" t="s">
        <v>3458</v>
      </c>
      <c r="D1403" s="1" t="str">
        <f>"8415"</f>
        <v>8415</v>
      </c>
      <c r="E1403" s="1" t="str">
        <f>"015386300"</f>
        <v>015386300</v>
      </c>
      <c r="F1403" s="1" t="s">
        <v>1718</v>
      </c>
      <c r="G1403" s="1" t="s">
        <v>16</v>
      </c>
      <c r="H1403" s="1" t="str">
        <f>"1"</f>
        <v>1</v>
      </c>
      <c r="I1403" s="2">
        <v>137.97999999999999</v>
      </c>
      <c r="J1403" s="3">
        <v>46148</v>
      </c>
      <c r="K1403" s="1" t="s">
        <v>3430</v>
      </c>
    </row>
    <row r="1404" spans="1:11" x14ac:dyDescent="0.35">
      <c r="A1404" s="1" t="s">
        <v>3162</v>
      </c>
      <c r="B1404" s="1" t="s">
        <v>3396</v>
      </c>
      <c r="C1404" s="1" t="s">
        <v>3471</v>
      </c>
      <c r="D1404" s="1" t="str">
        <f>"8415"</f>
        <v>8415</v>
      </c>
      <c r="E1404" s="1" t="str">
        <f>"016411801"</f>
        <v>016411801</v>
      </c>
      <c r="F1404" s="1" t="s">
        <v>672</v>
      </c>
      <c r="G1404" s="1" t="s">
        <v>311</v>
      </c>
      <c r="H1404" s="1" t="str">
        <f>"1"</f>
        <v>1</v>
      </c>
      <c r="I1404" s="2">
        <v>108.96</v>
      </c>
      <c r="J1404" s="3">
        <v>46148</v>
      </c>
      <c r="K1404" s="1" t="s">
        <v>3430</v>
      </c>
    </row>
    <row r="1405" spans="1:11" x14ac:dyDescent="0.35">
      <c r="A1405" s="1" t="s">
        <v>3162</v>
      </c>
      <c r="B1405" s="1" t="s">
        <v>3248</v>
      </c>
      <c r="C1405" s="1" t="s">
        <v>3270</v>
      </c>
      <c r="D1405" s="1" t="str">
        <f>"5830"</f>
        <v>5830</v>
      </c>
      <c r="E1405" s="1" t="str">
        <f>"016520929"</f>
        <v>016520929</v>
      </c>
      <c r="F1405" s="1" t="s">
        <v>1767</v>
      </c>
      <c r="G1405" s="1" t="s">
        <v>16</v>
      </c>
      <c r="H1405" s="1" t="str">
        <f>"2"</f>
        <v>2</v>
      </c>
      <c r="I1405" s="2" t="str">
        <f>"25000"</f>
        <v>25000</v>
      </c>
      <c r="J1405" s="3">
        <v>46154</v>
      </c>
      <c r="K1405" s="1" t="s">
        <v>3271</v>
      </c>
    </row>
    <row r="1406" spans="1:11" x14ac:dyDescent="0.35">
      <c r="A1406" s="1" t="s">
        <v>3162</v>
      </c>
      <c r="B1406" s="1" t="s">
        <v>3248</v>
      </c>
      <c r="C1406" s="1" t="s">
        <v>3276</v>
      </c>
      <c r="D1406" s="1" t="str">
        <f>"6665"</f>
        <v>6665</v>
      </c>
      <c r="E1406" s="1" t="str">
        <f>"151952879"</f>
        <v>151952879</v>
      </c>
      <c r="F1406" s="1" t="s">
        <v>3277</v>
      </c>
      <c r="G1406" s="1" t="s">
        <v>16</v>
      </c>
      <c r="H1406" s="1" t="str">
        <f>"3"</f>
        <v>3</v>
      </c>
      <c r="I1406" s="2" t="str">
        <f>"3600"</f>
        <v>3600</v>
      </c>
      <c r="J1406" s="3">
        <v>46154</v>
      </c>
      <c r="K1406" s="1" t="s">
        <v>3278</v>
      </c>
    </row>
    <row r="1407" spans="1:11" x14ac:dyDescent="0.35">
      <c r="A1407" s="1" t="s">
        <v>3162</v>
      </c>
      <c r="B1407" s="1" t="s">
        <v>3248</v>
      </c>
      <c r="C1407" s="1" t="s">
        <v>3281</v>
      </c>
      <c r="D1407" s="1" t="str">
        <f>"8465"</f>
        <v>8465</v>
      </c>
      <c r="E1407" s="1" t="str">
        <f>"015815571"</f>
        <v>015815571</v>
      </c>
      <c r="F1407" s="1" t="s">
        <v>3282</v>
      </c>
      <c r="G1407" s="1" t="s">
        <v>311</v>
      </c>
      <c r="H1407" s="1" t="str">
        <f>"2"</f>
        <v>2</v>
      </c>
      <c r="I1407" s="2">
        <v>19.84</v>
      </c>
      <c r="J1407" s="3">
        <v>46154</v>
      </c>
      <c r="K1407" s="1" t="s">
        <v>3283</v>
      </c>
    </row>
    <row r="1408" spans="1:11" x14ac:dyDescent="0.35">
      <c r="A1408" s="1" t="s">
        <v>3162</v>
      </c>
      <c r="B1408" s="1" t="s">
        <v>3362</v>
      </c>
      <c r="C1408" s="1" t="s">
        <v>3363</v>
      </c>
      <c r="D1408" s="1" t="str">
        <f>"2320"</f>
        <v>2320</v>
      </c>
      <c r="E1408" s="1" t="s">
        <v>975</v>
      </c>
      <c r="F1408" s="1" t="s">
        <v>976</v>
      </c>
      <c r="G1408" s="1" t="s">
        <v>16</v>
      </c>
      <c r="H1408" s="1" t="str">
        <f>"1"</f>
        <v>1</v>
      </c>
      <c r="I1408" s="2" t="str">
        <f>"58000"</f>
        <v>58000</v>
      </c>
      <c r="J1408" s="3">
        <v>46155</v>
      </c>
      <c r="K1408" s="1" t="s">
        <v>3364</v>
      </c>
    </row>
    <row r="1409" spans="1:11" x14ac:dyDescent="0.35">
      <c r="A1409" s="1" t="s">
        <v>3162</v>
      </c>
      <c r="B1409" s="1" t="s">
        <v>3284</v>
      </c>
      <c r="C1409" s="1" t="s">
        <v>3288</v>
      </c>
      <c r="D1409" s="1" t="str">
        <f>"2320"</f>
        <v>2320</v>
      </c>
      <c r="E1409" s="1" t="s">
        <v>975</v>
      </c>
      <c r="F1409" s="1" t="s">
        <v>976</v>
      </c>
      <c r="G1409" s="1" t="s">
        <v>16</v>
      </c>
      <c r="H1409" s="1" t="str">
        <f>"1"</f>
        <v>1</v>
      </c>
      <c r="I1409" s="2" t="str">
        <f>"25287"</f>
        <v>25287</v>
      </c>
      <c r="J1409" s="3">
        <v>46156</v>
      </c>
      <c r="K1409" s="1" t="s">
        <v>3289</v>
      </c>
    </row>
    <row r="1410" spans="1:11" x14ac:dyDescent="0.35">
      <c r="A1410" s="1" t="s">
        <v>3162</v>
      </c>
      <c r="B1410" s="1" t="s">
        <v>3284</v>
      </c>
      <c r="C1410" s="1" t="s">
        <v>3296</v>
      </c>
      <c r="D1410" s="1" t="str">
        <f>"3770"</f>
        <v>3770</v>
      </c>
      <c r="E1410" s="1" t="s">
        <v>3297</v>
      </c>
      <c r="F1410" s="1" t="s">
        <v>3298</v>
      </c>
      <c r="G1410" s="1" t="s">
        <v>16</v>
      </c>
      <c r="H1410" s="1" t="str">
        <f>"1"</f>
        <v>1</v>
      </c>
      <c r="I1410" s="2">
        <v>0.01</v>
      </c>
      <c r="J1410" s="3">
        <v>46156</v>
      </c>
      <c r="K1410" s="1" t="s">
        <v>3299</v>
      </c>
    </row>
    <row r="1411" spans="1:11" x14ac:dyDescent="0.35">
      <c r="A1411" s="1" t="s">
        <v>3162</v>
      </c>
      <c r="B1411" s="1" t="s">
        <v>3284</v>
      </c>
      <c r="C1411" s="1" t="s">
        <v>3300</v>
      </c>
      <c r="D1411" s="1" t="str">
        <f>"3825"</f>
        <v>3825</v>
      </c>
      <c r="E1411" s="1" t="s">
        <v>3015</v>
      </c>
      <c r="F1411" s="1" t="s">
        <v>3016</v>
      </c>
      <c r="G1411" s="1" t="s">
        <v>16</v>
      </c>
      <c r="H1411" s="1" t="str">
        <f>"1"</f>
        <v>1</v>
      </c>
      <c r="I1411" s="2" t="str">
        <f>"1000"</f>
        <v>1000</v>
      </c>
      <c r="J1411" s="3">
        <v>46156</v>
      </c>
      <c r="K1411" s="1" t="s">
        <v>3301</v>
      </c>
    </row>
    <row r="1412" spans="1:11" x14ac:dyDescent="0.35">
      <c r="A1412" s="1" t="s">
        <v>3162</v>
      </c>
      <c r="B1412" s="1" t="s">
        <v>3284</v>
      </c>
      <c r="C1412" s="1" t="s">
        <v>3302</v>
      </c>
      <c r="D1412" s="1" t="str">
        <f>"4240"</f>
        <v>4240</v>
      </c>
      <c r="E1412" s="1" t="str">
        <f>"015475927"</f>
        <v>015475927</v>
      </c>
      <c r="F1412" s="1" t="s">
        <v>2274</v>
      </c>
      <c r="G1412" s="1" t="s">
        <v>16</v>
      </c>
      <c r="H1412" s="1" t="str">
        <f>"15"</f>
        <v>15</v>
      </c>
      <c r="I1412" s="2">
        <v>114.44</v>
      </c>
      <c r="J1412" s="3">
        <v>46156</v>
      </c>
      <c r="K1412" s="1" t="s">
        <v>3303</v>
      </c>
    </row>
    <row r="1413" spans="1:11" x14ac:dyDescent="0.35">
      <c r="A1413" s="1" t="s">
        <v>3162</v>
      </c>
      <c r="B1413" s="1" t="s">
        <v>3375</v>
      </c>
      <c r="C1413" s="1" t="s">
        <v>3378</v>
      </c>
      <c r="D1413" s="1" t="str">
        <f>"2340"</f>
        <v>2340</v>
      </c>
      <c r="E1413" s="1" t="s">
        <v>61</v>
      </c>
      <c r="F1413" s="1" t="s">
        <v>62</v>
      </c>
      <c r="G1413" s="1" t="s">
        <v>16</v>
      </c>
      <c r="H1413" s="1" t="str">
        <f>"1"</f>
        <v>1</v>
      </c>
      <c r="I1413" s="2">
        <v>18348.04</v>
      </c>
      <c r="J1413" s="3">
        <v>46156</v>
      </c>
      <c r="K1413" s="1" t="s">
        <v>3379</v>
      </c>
    </row>
    <row r="1414" spans="1:11" x14ac:dyDescent="0.35">
      <c r="A1414" s="1" t="s">
        <v>3162</v>
      </c>
      <c r="B1414" s="1" t="s">
        <v>3163</v>
      </c>
      <c r="C1414" s="1" t="s">
        <v>3172</v>
      </c>
      <c r="D1414" s="1" t="str">
        <f>"8470"</f>
        <v>8470</v>
      </c>
      <c r="E1414" s="1" t="str">
        <f>"016817809"</f>
        <v>016817809</v>
      </c>
      <c r="F1414" s="1" t="s">
        <v>3173</v>
      </c>
      <c r="G1414" s="1" t="s">
        <v>16</v>
      </c>
      <c r="H1414" s="1" t="str">
        <f>"20"</f>
        <v>20</v>
      </c>
      <c r="I1414" s="2">
        <v>4995.95</v>
      </c>
      <c r="J1414" s="3">
        <v>46168</v>
      </c>
      <c r="K1414" s="1" t="s">
        <v>3174</v>
      </c>
    </row>
    <row r="1415" spans="1:11" x14ac:dyDescent="0.35">
      <c r="A1415" s="1" t="s">
        <v>3162</v>
      </c>
      <c r="B1415" s="1" t="s">
        <v>3334</v>
      </c>
      <c r="C1415" s="1" t="s">
        <v>3343</v>
      </c>
      <c r="D1415" s="1" t="str">
        <f>"6115"</f>
        <v>6115</v>
      </c>
      <c r="E1415" s="1" t="s">
        <v>1106</v>
      </c>
      <c r="F1415" s="1" t="s">
        <v>1107</v>
      </c>
      <c r="G1415" s="1" t="s">
        <v>16</v>
      </c>
      <c r="H1415" s="1" t="str">
        <f>"1"</f>
        <v>1</v>
      </c>
      <c r="I1415" s="2" t="str">
        <f>"1399"</f>
        <v>1399</v>
      </c>
      <c r="J1415" s="3">
        <v>46168</v>
      </c>
      <c r="K1415" s="1" t="s">
        <v>3344</v>
      </c>
    </row>
    <row r="1416" spans="1:11" x14ac:dyDescent="0.35">
      <c r="A1416" s="1" t="s">
        <v>3162</v>
      </c>
      <c r="B1416" s="1" t="s">
        <v>3334</v>
      </c>
      <c r="C1416" s="1" t="s">
        <v>3345</v>
      </c>
      <c r="D1416" s="1" t="str">
        <f>"6115"</f>
        <v>6115</v>
      </c>
      <c r="E1416" s="1" t="s">
        <v>1106</v>
      </c>
      <c r="F1416" s="1" t="s">
        <v>1107</v>
      </c>
      <c r="G1416" s="1" t="s">
        <v>16</v>
      </c>
      <c r="H1416" s="1" t="str">
        <f>"2"</f>
        <v>2</v>
      </c>
      <c r="I1416" s="2">
        <v>1049.99</v>
      </c>
      <c r="J1416" s="3">
        <v>46168</v>
      </c>
      <c r="K1416" s="1" t="s">
        <v>3346</v>
      </c>
    </row>
    <row r="1417" spans="1:11" x14ac:dyDescent="0.35">
      <c r="A1417" s="1" t="s">
        <v>3162</v>
      </c>
      <c r="B1417" s="1" t="s">
        <v>3334</v>
      </c>
      <c r="C1417" s="1" t="s">
        <v>3349</v>
      </c>
      <c r="D1417" s="1" t="str">
        <f>"7210"</f>
        <v>7210</v>
      </c>
      <c r="E1417" s="1" t="str">
        <f>"002827950"</f>
        <v>002827950</v>
      </c>
      <c r="F1417" s="1" t="s">
        <v>864</v>
      </c>
      <c r="G1417" s="1" t="s">
        <v>16</v>
      </c>
      <c r="H1417" s="1" t="str">
        <f>"20"</f>
        <v>20</v>
      </c>
      <c r="I1417" s="2">
        <v>41.47</v>
      </c>
      <c r="J1417" s="3">
        <v>46168</v>
      </c>
      <c r="K1417" s="1" t="s">
        <v>3350</v>
      </c>
    </row>
    <row r="1418" spans="1:11" x14ac:dyDescent="0.35">
      <c r="A1418" s="1" t="s">
        <v>3162</v>
      </c>
      <c r="B1418" s="1" t="s">
        <v>3334</v>
      </c>
      <c r="C1418" s="1" t="s">
        <v>3351</v>
      </c>
      <c r="D1418" s="1" t="str">
        <f>"7830"</f>
        <v>7830</v>
      </c>
      <c r="E1418" s="1" t="s">
        <v>453</v>
      </c>
      <c r="F1418" s="1" t="s">
        <v>454</v>
      </c>
      <c r="G1418" s="1" t="s">
        <v>16</v>
      </c>
      <c r="H1418" s="1" t="str">
        <f>"1"</f>
        <v>1</v>
      </c>
      <c r="I1418" s="2">
        <v>4264.74</v>
      </c>
      <c r="J1418" s="3">
        <v>46168</v>
      </c>
      <c r="K1418" s="1" t="s">
        <v>3352</v>
      </c>
    </row>
    <row r="1419" spans="1:11" x14ac:dyDescent="0.35">
      <c r="A1419" s="1" t="s">
        <v>3162</v>
      </c>
      <c r="B1419" s="1" t="s">
        <v>3334</v>
      </c>
      <c r="C1419" s="1" t="s">
        <v>3353</v>
      </c>
      <c r="D1419" s="1" t="str">
        <f>"7830"</f>
        <v>7830</v>
      </c>
      <c r="E1419" s="1" t="s">
        <v>1871</v>
      </c>
      <c r="F1419" s="1" t="s">
        <v>1872</v>
      </c>
      <c r="G1419" s="1" t="s">
        <v>16</v>
      </c>
      <c r="H1419" s="1" t="str">
        <f>"3"</f>
        <v>3</v>
      </c>
      <c r="I1419" s="2" t="str">
        <f>"599"</f>
        <v>599</v>
      </c>
      <c r="J1419" s="3">
        <v>46168</v>
      </c>
      <c r="K1419" s="1" t="s">
        <v>3354</v>
      </c>
    </row>
    <row r="1420" spans="1:11" x14ac:dyDescent="0.35">
      <c r="A1420" s="1" t="s">
        <v>3162</v>
      </c>
      <c r="B1420" s="1" t="s">
        <v>3334</v>
      </c>
      <c r="C1420" s="1" t="s">
        <v>3355</v>
      </c>
      <c r="D1420" s="1" t="str">
        <f>"8405"</f>
        <v>8405</v>
      </c>
      <c r="E1420" s="1" t="str">
        <f>"015472559"</f>
        <v>015472559</v>
      </c>
      <c r="F1420" s="1" t="s">
        <v>1200</v>
      </c>
      <c r="G1420" s="1" t="s">
        <v>16</v>
      </c>
      <c r="H1420" s="1" t="str">
        <f>"12"</f>
        <v>12</v>
      </c>
      <c r="I1420" s="2">
        <v>38.4</v>
      </c>
      <c r="J1420" s="3">
        <v>46168</v>
      </c>
      <c r="K1420" s="1" t="s">
        <v>3356</v>
      </c>
    </row>
    <row r="1421" spans="1:11" x14ac:dyDescent="0.35">
      <c r="A1421" s="1" t="s">
        <v>3162</v>
      </c>
      <c r="B1421" s="1" t="s">
        <v>3362</v>
      </c>
      <c r="C1421" s="1" t="s">
        <v>3365</v>
      </c>
      <c r="D1421" s="1" t="str">
        <f>"2320"</f>
        <v>2320</v>
      </c>
      <c r="E1421" s="1" t="s">
        <v>2218</v>
      </c>
      <c r="F1421" s="1" t="s">
        <v>2219</v>
      </c>
      <c r="G1421" s="1" t="s">
        <v>16</v>
      </c>
      <c r="H1421" s="1" t="str">
        <f>"1"</f>
        <v>1</v>
      </c>
      <c r="I1421" s="2" t="str">
        <f>"10000"</f>
        <v>10000</v>
      </c>
      <c r="J1421" s="3">
        <v>46168</v>
      </c>
      <c r="K1421" s="1" t="s">
        <v>3366</v>
      </c>
    </row>
    <row r="1422" spans="1:11" x14ac:dyDescent="0.35">
      <c r="A1422" s="1" t="s">
        <v>3162</v>
      </c>
      <c r="B1422" s="1" t="s">
        <v>3362</v>
      </c>
      <c r="C1422" s="1" t="s">
        <v>3373</v>
      </c>
      <c r="D1422" s="1" t="str">
        <f>"3930"</f>
        <v>3930</v>
      </c>
      <c r="E1422" s="1" t="str">
        <f>"011727892"</f>
        <v>011727892</v>
      </c>
      <c r="F1422" s="1" t="s">
        <v>1304</v>
      </c>
      <c r="G1422" s="1" t="s">
        <v>16</v>
      </c>
      <c r="H1422" s="1" t="str">
        <f>"1"</f>
        <v>1</v>
      </c>
      <c r="I1422" s="2" t="str">
        <f>"11828"</f>
        <v>11828</v>
      </c>
      <c r="J1422" s="3">
        <v>46169</v>
      </c>
      <c r="K1422" s="1" t="s">
        <v>3374</v>
      </c>
    </row>
    <row r="1423" spans="1:11" x14ac:dyDescent="0.35">
      <c r="A1423" s="1" t="s">
        <v>3162</v>
      </c>
      <c r="B1423" s="1" t="s">
        <v>3185</v>
      </c>
      <c r="C1423" s="1" t="s">
        <v>3186</v>
      </c>
      <c r="D1423" s="1" t="str">
        <f>"6910"</f>
        <v>6910</v>
      </c>
      <c r="E1423" s="1" t="s">
        <v>1124</v>
      </c>
      <c r="F1423" s="1" t="s">
        <v>1125</v>
      </c>
      <c r="G1423" s="1" t="s">
        <v>16</v>
      </c>
      <c r="H1423" s="1" t="str">
        <f>"1"</f>
        <v>1</v>
      </c>
      <c r="I1423" s="2" t="str">
        <f>"3600"</f>
        <v>3600</v>
      </c>
      <c r="J1423" s="3">
        <v>46178</v>
      </c>
      <c r="K1423" s="1" t="s">
        <v>3187</v>
      </c>
    </row>
    <row r="1424" spans="1:11" x14ac:dyDescent="0.35">
      <c r="A1424" s="1" t="s">
        <v>3162</v>
      </c>
      <c r="B1424" s="1" t="s">
        <v>3191</v>
      </c>
      <c r="C1424" s="1" t="s">
        <v>3192</v>
      </c>
      <c r="D1424" s="1" t="str">
        <f>"1080"</f>
        <v>1080</v>
      </c>
      <c r="E1424" s="1" t="str">
        <f>"014572956"</f>
        <v>014572956</v>
      </c>
      <c r="F1424" s="1" t="s">
        <v>1928</v>
      </c>
      <c r="G1424" s="1" t="s">
        <v>16</v>
      </c>
      <c r="H1424" s="1" t="str">
        <f>"10"</f>
        <v>10</v>
      </c>
      <c r="I1424" s="2" t="str">
        <f>"3477"</f>
        <v>3477</v>
      </c>
      <c r="J1424" s="3">
        <v>46178</v>
      </c>
      <c r="K1424" s="1" t="s">
        <v>3193</v>
      </c>
    </row>
    <row r="1425" spans="1:11" x14ac:dyDescent="0.35">
      <c r="A1425" s="1" t="s">
        <v>3162</v>
      </c>
      <c r="B1425" s="1" t="s">
        <v>3191</v>
      </c>
      <c r="C1425" s="1" t="s">
        <v>3208</v>
      </c>
      <c r="D1425" s="1" t="str">
        <f>"3830"</f>
        <v>3830</v>
      </c>
      <c r="E1425" s="1" t="s">
        <v>75</v>
      </c>
      <c r="F1425" s="1" t="s">
        <v>76</v>
      </c>
      <c r="G1425" s="1" t="s">
        <v>16</v>
      </c>
      <c r="H1425" s="1" t="str">
        <f>"1"</f>
        <v>1</v>
      </c>
      <c r="I1425" s="2" t="str">
        <f>"400"</f>
        <v>400</v>
      </c>
      <c r="J1425" s="3">
        <v>46178</v>
      </c>
      <c r="K1425" s="1" t="s">
        <v>3209</v>
      </c>
    </row>
    <row r="1426" spans="1:11" x14ac:dyDescent="0.35">
      <c r="A1426" s="1" t="s">
        <v>3162</v>
      </c>
      <c r="B1426" s="1" t="s">
        <v>3191</v>
      </c>
      <c r="C1426" s="1" t="s">
        <v>3216</v>
      </c>
      <c r="D1426" s="1" t="str">
        <f>"6545"</f>
        <v>6545</v>
      </c>
      <c r="E1426" s="1" t="str">
        <f>"015748111"</f>
        <v>015748111</v>
      </c>
      <c r="F1426" s="1" t="s">
        <v>2834</v>
      </c>
      <c r="G1426" s="1" t="s">
        <v>16</v>
      </c>
      <c r="H1426" s="1" t="str">
        <f>"50"</f>
        <v>50</v>
      </c>
      <c r="I1426" s="2">
        <v>148.55000000000001</v>
      </c>
      <c r="J1426" s="3">
        <v>46178</v>
      </c>
      <c r="K1426" s="1" t="s">
        <v>3217</v>
      </c>
    </row>
    <row r="1427" spans="1:11" x14ac:dyDescent="0.35">
      <c r="A1427" s="1" t="s">
        <v>3162</v>
      </c>
      <c r="B1427" s="1" t="s">
        <v>3191</v>
      </c>
      <c r="C1427" s="1" t="s">
        <v>3218</v>
      </c>
      <c r="D1427" s="1" t="str">
        <f>"7810"</f>
        <v>7810</v>
      </c>
      <c r="E1427" s="1" t="s">
        <v>3219</v>
      </c>
      <c r="F1427" s="1" t="s">
        <v>3220</v>
      </c>
      <c r="G1427" s="1" t="s">
        <v>311</v>
      </c>
      <c r="H1427" s="1" t="str">
        <f>"6"</f>
        <v>6</v>
      </c>
      <c r="I1427" s="2">
        <v>51.4</v>
      </c>
      <c r="J1427" s="3">
        <v>46178</v>
      </c>
      <c r="K1427" s="1" t="s">
        <v>3221</v>
      </c>
    </row>
    <row r="1428" spans="1:11" x14ac:dyDescent="0.35">
      <c r="A1428" s="1" t="s">
        <v>3162</v>
      </c>
      <c r="B1428" s="1" t="s">
        <v>3191</v>
      </c>
      <c r="C1428" s="1" t="s">
        <v>3222</v>
      </c>
      <c r="D1428" s="1" t="str">
        <f>"7830"</f>
        <v>7830</v>
      </c>
      <c r="E1428" s="1" t="s">
        <v>1871</v>
      </c>
      <c r="F1428" s="1" t="s">
        <v>1872</v>
      </c>
      <c r="G1428" s="1" t="s">
        <v>16</v>
      </c>
      <c r="H1428" s="1" t="str">
        <f>"1"</f>
        <v>1</v>
      </c>
      <c r="I1428" s="2" t="str">
        <f>"900"</f>
        <v>900</v>
      </c>
      <c r="J1428" s="3">
        <v>46178</v>
      </c>
      <c r="K1428" s="1" t="s">
        <v>3223</v>
      </c>
    </row>
    <row r="1429" spans="1:11" x14ac:dyDescent="0.35">
      <c r="A1429" s="1" t="s">
        <v>3162</v>
      </c>
      <c r="B1429" s="1" t="s">
        <v>3191</v>
      </c>
      <c r="C1429" s="1" t="s">
        <v>3224</v>
      </c>
      <c r="D1429" s="1" t="str">
        <f>"8405"</f>
        <v>8405</v>
      </c>
      <c r="E1429" s="1" t="str">
        <f>"015737957"</f>
        <v>015737957</v>
      </c>
      <c r="F1429" s="1" t="s">
        <v>3225</v>
      </c>
      <c r="G1429" s="1" t="s">
        <v>16</v>
      </c>
      <c r="H1429" s="1" t="str">
        <f>"100"</f>
        <v>100</v>
      </c>
      <c r="I1429" s="2">
        <v>13.21</v>
      </c>
      <c r="J1429" s="3">
        <v>46178</v>
      </c>
      <c r="K1429" s="1" t="s">
        <v>3226</v>
      </c>
    </row>
    <row r="1430" spans="1:11" x14ac:dyDescent="0.35">
      <c r="A1430" s="1" t="s">
        <v>3162</v>
      </c>
      <c r="B1430" s="1" t="s">
        <v>3191</v>
      </c>
      <c r="C1430" s="1" t="s">
        <v>3227</v>
      </c>
      <c r="D1430" s="1" t="str">
        <f>"8415"</f>
        <v>8415</v>
      </c>
      <c r="E1430" s="1" t="str">
        <f>"015274614"</f>
        <v>015274614</v>
      </c>
      <c r="F1430" s="1" t="s">
        <v>2389</v>
      </c>
      <c r="G1430" s="1" t="s">
        <v>16</v>
      </c>
      <c r="H1430" s="1" t="str">
        <f>"30"</f>
        <v>30</v>
      </c>
      <c r="I1430" s="2" t="str">
        <f>"77"</f>
        <v>77</v>
      </c>
      <c r="J1430" s="3">
        <v>46178</v>
      </c>
      <c r="K1430" s="1" t="s">
        <v>3228</v>
      </c>
    </row>
    <row r="1431" spans="1:11" x14ac:dyDescent="0.35">
      <c r="A1431" s="1" t="s">
        <v>3162</v>
      </c>
      <c r="B1431" s="1" t="s">
        <v>3191</v>
      </c>
      <c r="C1431" s="1" t="s">
        <v>3229</v>
      </c>
      <c r="D1431" s="1" t="str">
        <f>"8415"</f>
        <v>8415</v>
      </c>
      <c r="E1431" s="1" t="str">
        <f>"015386771"</f>
        <v>015386771</v>
      </c>
      <c r="F1431" s="1" t="s">
        <v>668</v>
      </c>
      <c r="G1431" s="1" t="s">
        <v>16</v>
      </c>
      <c r="H1431" s="1" t="str">
        <f>"100"</f>
        <v>100</v>
      </c>
      <c r="I1431" s="2">
        <v>93.33</v>
      </c>
      <c r="J1431" s="3">
        <v>46178</v>
      </c>
      <c r="K1431" s="1" t="s">
        <v>3230</v>
      </c>
    </row>
    <row r="1432" spans="1:11" x14ac:dyDescent="0.35">
      <c r="A1432" s="1" t="s">
        <v>3162</v>
      </c>
      <c r="B1432" s="1" t="s">
        <v>3191</v>
      </c>
      <c r="C1432" s="1" t="s">
        <v>3231</v>
      </c>
      <c r="D1432" s="1" t="str">
        <f>"8460"</f>
        <v>8460</v>
      </c>
      <c r="E1432" s="1" t="s">
        <v>1740</v>
      </c>
      <c r="F1432" s="1" t="s">
        <v>1741</v>
      </c>
      <c r="G1432" s="1" t="s">
        <v>16</v>
      </c>
      <c r="H1432" s="1" t="str">
        <f>"10"</f>
        <v>10</v>
      </c>
      <c r="I1432" s="2" t="str">
        <f>"25"</f>
        <v>25</v>
      </c>
      <c r="J1432" s="3">
        <v>46178</v>
      </c>
      <c r="K1432" s="1" t="s">
        <v>3232</v>
      </c>
    </row>
    <row r="1433" spans="1:11" x14ac:dyDescent="0.35">
      <c r="A1433" s="1" t="s">
        <v>3162</v>
      </c>
      <c r="B1433" s="1" t="s">
        <v>3191</v>
      </c>
      <c r="C1433" s="1" t="s">
        <v>3237</v>
      </c>
      <c r="D1433" s="1" t="str">
        <f>"8465"</f>
        <v>8465</v>
      </c>
      <c r="E1433" s="1" t="str">
        <f>"013936515"</f>
        <v>013936515</v>
      </c>
      <c r="F1433" s="1" t="s">
        <v>1095</v>
      </c>
      <c r="G1433" s="1" t="s">
        <v>16</v>
      </c>
      <c r="H1433" s="1" t="str">
        <f>"4"</f>
        <v>4</v>
      </c>
      <c r="I1433" s="2">
        <v>68.81</v>
      </c>
      <c r="J1433" s="3">
        <v>46178</v>
      </c>
      <c r="K1433" s="1" t="s">
        <v>3238</v>
      </c>
    </row>
    <row r="1434" spans="1:11" x14ac:dyDescent="0.35">
      <c r="A1434" s="1" t="s">
        <v>3162</v>
      </c>
      <c r="B1434" s="1" t="s">
        <v>3191</v>
      </c>
      <c r="C1434" s="1" t="s">
        <v>3239</v>
      </c>
      <c r="D1434" s="1" t="str">
        <f>"8465"</f>
        <v>8465</v>
      </c>
      <c r="E1434" s="1" t="str">
        <f>"013936515"</f>
        <v>013936515</v>
      </c>
      <c r="F1434" s="1" t="s">
        <v>1095</v>
      </c>
      <c r="G1434" s="1" t="s">
        <v>16</v>
      </c>
      <c r="H1434" s="1" t="str">
        <f>"22"</f>
        <v>22</v>
      </c>
      <c r="I1434" s="2">
        <v>68.81</v>
      </c>
      <c r="J1434" s="3">
        <v>46178</v>
      </c>
      <c r="K1434" s="1" t="s">
        <v>3240</v>
      </c>
    </row>
    <row r="1435" spans="1:11" x14ac:dyDescent="0.35">
      <c r="A1435" s="1" t="s">
        <v>3162</v>
      </c>
      <c r="B1435" s="1" t="s">
        <v>3248</v>
      </c>
      <c r="C1435" s="1" t="s">
        <v>3251</v>
      </c>
      <c r="D1435" s="1" t="str">
        <f>"2330"</f>
        <v>2330</v>
      </c>
      <c r="E1435" s="1" t="str">
        <f>"013875443"</f>
        <v>013875443</v>
      </c>
      <c r="F1435" s="1" t="s">
        <v>979</v>
      </c>
      <c r="G1435" s="1" t="s">
        <v>16</v>
      </c>
      <c r="H1435" s="1" t="str">
        <f>"1"</f>
        <v>1</v>
      </c>
      <c r="I1435" s="2" t="str">
        <f>"9535"</f>
        <v>9535</v>
      </c>
      <c r="J1435" s="3">
        <v>46178</v>
      </c>
      <c r="K1435" s="1" t="s">
        <v>3252</v>
      </c>
    </row>
    <row r="1436" spans="1:11" x14ac:dyDescent="0.35">
      <c r="A1436" s="1" t="s">
        <v>3162</v>
      </c>
      <c r="B1436" s="1" t="s">
        <v>3248</v>
      </c>
      <c r="C1436" s="1" t="s">
        <v>3253</v>
      </c>
      <c r="D1436" s="1" t="str">
        <f>"2330"</f>
        <v>2330</v>
      </c>
      <c r="E1436" s="1" t="s">
        <v>70</v>
      </c>
      <c r="F1436" s="1" t="s">
        <v>71</v>
      </c>
      <c r="G1436" s="1" t="s">
        <v>16</v>
      </c>
      <c r="H1436" s="1" t="str">
        <f>"1"</f>
        <v>1</v>
      </c>
      <c r="I1436" s="2" t="str">
        <f>"79455"</f>
        <v>79455</v>
      </c>
      <c r="J1436" s="3">
        <v>46178</v>
      </c>
      <c r="K1436" s="1" t="s">
        <v>3254</v>
      </c>
    </row>
    <row r="1437" spans="1:11" x14ac:dyDescent="0.35">
      <c r="A1437" s="1" t="s">
        <v>3162</v>
      </c>
      <c r="B1437" s="1" t="s">
        <v>3248</v>
      </c>
      <c r="C1437" s="1" t="s">
        <v>3255</v>
      </c>
      <c r="D1437" s="1" t="str">
        <f>"2330"</f>
        <v>2330</v>
      </c>
      <c r="E1437" s="1" t="s">
        <v>70</v>
      </c>
      <c r="F1437" s="1" t="s">
        <v>71</v>
      </c>
      <c r="G1437" s="1" t="s">
        <v>16</v>
      </c>
      <c r="H1437" s="1" t="str">
        <f>"1"</f>
        <v>1</v>
      </c>
      <c r="I1437" s="2" t="str">
        <f>"79455"</f>
        <v>79455</v>
      </c>
      <c r="J1437" s="3">
        <v>46178</v>
      </c>
      <c r="K1437" s="1" t="s">
        <v>3256</v>
      </c>
    </row>
    <row r="1438" spans="1:11" x14ac:dyDescent="0.35">
      <c r="A1438" s="1" t="s">
        <v>3162</v>
      </c>
      <c r="B1438" s="1" t="s">
        <v>3248</v>
      </c>
      <c r="C1438" s="1" t="s">
        <v>3264</v>
      </c>
      <c r="D1438" s="1" t="str">
        <f>"3825"</f>
        <v>3825</v>
      </c>
      <c r="E1438" s="1" t="s">
        <v>2002</v>
      </c>
      <c r="F1438" s="1" t="s">
        <v>2003</v>
      </c>
      <c r="G1438" s="1" t="s">
        <v>16</v>
      </c>
      <c r="H1438" s="1" t="str">
        <f>"1"</f>
        <v>1</v>
      </c>
      <c r="I1438" s="2" t="str">
        <f>"1600"</f>
        <v>1600</v>
      </c>
      <c r="J1438" s="3">
        <v>46178</v>
      </c>
      <c r="K1438" s="1" t="s">
        <v>3265</v>
      </c>
    </row>
    <row r="1439" spans="1:11" x14ac:dyDescent="0.35">
      <c r="A1439" s="1" t="s">
        <v>3162</v>
      </c>
      <c r="B1439" s="1" t="s">
        <v>3375</v>
      </c>
      <c r="C1439" s="1" t="s">
        <v>3382</v>
      </c>
      <c r="D1439" s="1" t="str">
        <f>"2340"</f>
        <v>2340</v>
      </c>
      <c r="E1439" s="1" t="s">
        <v>84</v>
      </c>
      <c r="F1439" s="1" t="s">
        <v>85</v>
      </c>
      <c r="G1439" s="1" t="s">
        <v>16</v>
      </c>
      <c r="H1439" s="1" t="str">
        <f>"1"</f>
        <v>1</v>
      </c>
      <c r="I1439" s="2" t="str">
        <f>"1000"</f>
        <v>1000</v>
      </c>
      <c r="J1439" s="3">
        <v>46178</v>
      </c>
      <c r="K1439" s="1" t="s">
        <v>3383</v>
      </c>
    </row>
    <row r="1440" spans="1:11" x14ac:dyDescent="0.35">
      <c r="A1440" s="1" t="s">
        <v>3162</v>
      </c>
      <c r="B1440" s="1" t="s">
        <v>3375</v>
      </c>
      <c r="C1440" s="1" t="s">
        <v>3387</v>
      </c>
      <c r="D1440" s="1" t="str">
        <f>"4310"</f>
        <v>4310</v>
      </c>
      <c r="E1440" s="1" t="s">
        <v>1941</v>
      </c>
      <c r="F1440" s="1" t="s">
        <v>1942</v>
      </c>
      <c r="G1440" s="1" t="s">
        <v>16</v>
      </c>
      <c r="H1440" s="1" t="str">
        <f>"1"</f>
        <v>1</v>
      </c>
      <c r="I1440" s="2" t="str">
        <f>"10000"</f>
        <v>10000</v>
      </c>
      <c r="J1440" s="3">
        <v>46178</v>
      </c>
      <c r="K1440" s="1" t="s">
        <v>3388</v>
      </c>
    </row>
    <row r="1441" spans="1:11" x14ac:dyDescent="0.35">
      <c r="A1441" s="1" t="s">
        <v>3162</v>
      </c>
      <c r="B1441" s="1" t="s">
        <v>3248</v>
      </c>
      <c r="C1441" s="1" t="s">
        <v>3266</v>
      </c>
      <c r="D1441" s="1" t="str">
        <f>"3825"</f>
        <v>3825</v>
      </c>
      <c r="E1441" s="1" t="s">
        <v>134</v>
      </c>
      <c r="F1441" s="1" t="s">
        <v>135</v>
      </c>
      <c r="G1441" s="1" t="s">
        <v>16</v>
      </c>
      <c r="H1441" s="1" t="str">
        <f>"1"</f>
        <v>1</v>
      </c>
      <c r="I1441" s="2" t="str">
        <f>"300"</f>
        <v>300</v>
      </c>
      <c r="J1441" s="3">
        <v>46181</v>
      </c>
      <c r="K1441" s="1" t="s">
        <v>3267</v>
      </c>
    </row>
    <row r="1442" spans="1:11" x14ac:dyDescent="0.35">
      <c r="A1442" s="1" t="s">
        <v>3162</v>
      </c>
      <c r="B1442" s="1" t="s">
        <v>3248</v>
      </c>
      <c r="C1442" s="1" t="s">
        <v>3268</v>
      </c>
      <c r="D1442" s="1" t="str">
        <f>"3930"</f>
        <v>3930</v>
      </c>
      <c r="E1442" s="1" t="str">
        <f>"015999978"</f>
        <v>015999978</v>
      </c>
      <c r="F1442" s="1" t="s">
        <v>1304</v>
      </c>
      <c r="G1442" s="1" t="s">
        <v>16</v>
      </c>
      <c r="H1442" s="1" t="str">
        <f>"1"</f>
        <v>1</v>
      </c>
      <c r="I1442" s="2" t="str">
        <f>"74750"</f>
        <v>74750</v>
      </c>
      <c r="J1442" s="3">
        <v>46181</v>
      </c>
      <c r="K1442" s="1" t="s">
        <v>3269</v>
      </c>
    </row>
    <row r="1443" spans="1:11" x14ac:dyDescent="0.35">
      <c r="A1443" s="1" t="s">
        <v>3162</v>
      </c>
      <c r="B1443" s="1" t="s">
        <v>3362</v>
      </c>
      <c r="C1443" s="1" t="s">
        <v>3369</v>
      </c>
      <c r="D1443" s="1" t="str">
        <f>"3830"</f>
        <v>3830</v>
      </c>
      <c r="E1443" s="1" t="s">
        <v>75</v>
      </c>
      <c r="F1443" s="1" t="s">
        <v>76</v>
      </c>
      <c r="G1443" s="1" t="s">
        <v>16</v>
      </c>
      <c r="H1443" s="1" t="str">
        <f>"1"</f>
        <v>1</v>
      </c>
      <c r="I1443" s="2" t="str">
        <f>"29400"</f>
        <v>29400</v>
      </c>
      <c r="J1443" s="3">
        <v>46181</v>
      </c>
      <c r="K1443" s="1" t="s">
        <v>3370</v>
      </c>
    </row>
    <row r="1444" spans="1:11" x14ac:dyDescent="0.35">
      <c r="A1444" s="1" t="s">
        <v>3162</v>
      </c>
      <c r="B1444" s="1" t="s">
        <v>3328</v>
      </c>
      <c r="C1444" s="1" t="s">
        <v>3329</v>
      </c>
      <c r="D1444" s="1" t="str">
        <f>"1095"</f>
        <v>1095</v>
      </c>
      <c r="E1444" s="1" t="str">
        <f>"016121508"</f>
        <v>016121508</v>
      </c>
      <c r="F1444" s="1" t="s">
        <v>2010</v>
      </c>
      <c r="G1444" s="1" t="s">
        <v>16</v>
      </c>
      <c r="H1444" s="1" t="str">
        <f>"4"</f>
        <v>4</v>
      </c>
      <c r="I1444" s="2">
        <v>4355.79</v>
      </c>
      <c r="J1444" s="3">
        <v>46184</v>
      </c>
      <c r="K1444" s="1" t="s">
        <v>3330</v>
      </c>
    </row>
    <row r="1445" spans="1:11" x14ac:dyDescent="0.35">
      <c r="A1445" s="1" t="s">
        <v>3162</v>
      </c>
      <c r="B1445" s="1" t="s">
        <v>3328</v>
      </c>
      <c r="C1445" s="1" t="s">
        <v>3331</v>
      </c>
      <c r="D1445" s="1" t="str">
        <f>"8465"</f>
        <v>8465</v>
      </c>
      <c r="E1445" s="1" t="str">
        <f>"016422073"</f>
        <v>016422073</v>
      </c>
      <c r="F1445" s="1" t="s">
        <v>3332</v>
      </c>
      <c r="G1445" s="1" t="s">
        <v>16</v>
      </c>
      <c r="H1445" s="1" t="str">
        <f>"20"</f>
        <v>20</v>
      </c>
      <c r="I1445" s="2">
        <v>19.149999999999999</v>
      </c>
      <c r="J1445" s="3">
        <v>46184</v>
      </c>
      <c r="K1445" s="1" t="s">
        <v>3333</v>
      </c>
    </row>
    <row r="1446" spans="1:11" x14ac:dyDescent="0.35">
      <c r="A1446" s="1" t="s">
        <v>3162</v>
      </c>
      <c r="B1446" s="1" t="s">
        <v>3396</v>
      </c>
      <c r="C1446" s="1" t="s">
        <v>3397</v>
      </c>
      <c r="D1446" s="1" t="str">
        <f>"1005"</f>
        <v>1005</v>
      </c>
      <c r="E1446" s="1" t="str">
        <f>"014575781"</f>
        <v>014575781</v>
      </c>
      <c r="F1446" s="1" t="s">
        <v>3398</v>
      </c>
      <c r="G1446" s="1" t="s">
        <v>16</v>
      </c>
      <c r="H1446" s="1" t="str">
        <f>"5"</f>
        <v>5</v>
      </c>
      <c r="I1446" s="2">
        <v>35.700000000000003</v>
      </c>
      <c r="J1446" s="3">
        <v>46184</v>
      </c>
      <c r="K1446" s="1" t="s">
        <v>3399</v>
      </c>
    </row>
    <row r="1447" spans="1:11" x14ac:dyDescent="0.35">
      <c r="A1447" s="1" t="s">
        <v>3162</v>
      </c>
      <c r="B1447" s="1" t="s">
        <v>3396</v>
      </c>
      <c r="C1447" s="1" t="s">
        <v>3400</v>
      </c>
      <c r="D1447" s="1" t="str">
        <f>"1240"</f>
        <v>1240</v>
      </c>
      <c r="E1447" s="1" t="str">
        <f>"015629459"</f>
        <v>015629459</v>
      </c>
      <c r="F1447" s="1" t="s">
        <v>1159</v>
      </c>
      <c r="G1447" s="1" t="s">
        <v>16</v>
      </c>
      <c r="H1447" s="1" t="str">
        <f>"1"</f>
        <v>1</v>
      </c>
      <c r="I1447" s="2">
        <v>412.22</v>
      </c>
      <c r="J1447" s="3">
        <v>46184</v>
      </c>
      <c r="K1447" s="1" t="s">
        <v>3401</v>
      </c>
    </row>
    <row r="1448" spans="1:11" x14ac:dyDescent="0.35">
      <c r="A1448" s="1" t="s">
        <v>3162</v>
      </c>
      <c r="B1448" s="1" t="s">
        <v>3396</v>
      </c>
      <c r="C1448" s="1" t="s">
        <v>3402</v>
      </c>
      <c r="D1448" s="1" t="str">
        <f>"5180"</f>
        <v>5180</v>
      </c>
      <c r="E1448" s="1" t="str">
        <f>"015068287"</f>
        <v>015068287</v>
      </c>
      <c r="F1448" s="1" t="s">
        <v>1076</v>
      </c>
      <c r="G1448" s="1" t="s">
        <v>215</v>
      </c>
      <c r="H1448" s="1" t="str">
        <f>"1"</f>
        <v>1</v>
      </c>
      <c r="I1448" s="2" t="str">
        <f>"1774"</f>
        <v>1774</v>
      </c>
      <c r="J1448" s="3">
        <v>46184</v>
      </c>
      <c r="K1448" s="1" t="s">
        <v>3403</v>
      </c>
    </row>
    <row r="1449" spans="1:11" x14ac:dyDescent="0.35">
      <c r="A1449" s="1" t="s">
        <v>3162</v>
      </c>
      <c r="B1449" s="1" t="s">
        <v>3396</v>
      </c>
      <c r="C1449" s="1" t="s">
        <v>3406</v>
      </c>
      <c r="D1449" s="1" t="str">
        <f>"5965"</f>
        <v>5965</v>
      </c>
      <c r="E1449" s="1" t="str">
        <f>"016190258"</f>
        <v>016190258</v>
      </c>
      <c r="F1449" s="1" t="s">
        <v>1561</v>
      </c>
      <c r="G1449" s="1" t="s">
        <v>16</v>
      </c>
      <c r="H1449" s="1" t="str">
        <f>"51"</f>
        <v>51</v>
      </c>
      <c r="I1449" s="2" t="str">
        <f>"3049"</f>
        <v>3049</v>
      </c>
      <c r="J1449" s="3">
        <v>46184</v>
      </c>
      <c r="K1449" s="1" t="s">
        <v>3407</v>
      </c>
    </row>
    <row r="1450" spans="1:11" x14ac:dyDescent="0.35">
      <c r="A1450" s="1" t="s">
        <v>3162</v>
      </c>
      <c r="B1450" s="1" t="s">
        <v>3396</v>
      </c>
      <c r="C1450" s="1" t="s">
        <v>3411</v>
      </c>
      <c r="D1450" s="1" t="str">
        <f>"8405"</f>
        <v>8405</v>
      </c>
      <c r="E1450" s="1" t="str">
        <f>"015472555"</f>
        <v>015472555</v>
      </c>
      <c r="F1450" s="1" t="s">
        <v>615</v>
      </c>
      <c r="G1450" s="1" t="s">
        <v>16</v>
      </c>
      <c r="H1450" s="1" t="str">
        <f>"32"</f>
        <v>32</v>
      </c>
      <c r="I1450" s="2">
        <v>63.02</v>
      </c>
      <c r="J1450" s="3">
        <v>46184</v>
      </c>
      <c r="K1450" s="1" t="s">
        <v>3412</v>
      </c>
    </row>
    <row r="1451" spans="1:11" x14ac:dyDescent="0.35">
      <c r="A1451" s="1" t="s">
        <v>3162</v>
      </c>
      <c r="B1451" s="1" t="s">
        <v>3396</v>
      </c>
      <c r="C1451" s="1" t="s">
        <v>3413</v>
      </c>
      <c r="D1451" s="1" t="str">
        <f>"8405"</f>
        <v>8405</v>
      </c>
      <c r="E1451" s="1" t="str">
        <f>"015472555"</f>
        <v>015472555</v>
      </c>
      <c r="F1451" s="1" t="s">
        <v>615</v>
      </c>
      <c r="G1451" s="1" t="s">
        <v>16</v>
      </c>
      <c r="H1451" s="1" t="str">
        <f>"8"</f>
        <v>8</v>
      </c>
      <c r="I1451" s="2">
        <v>63.02</v>
      </c>
      <c r="J1451" s="3">
        <v>46184</v>
      </c>
      <c r="K1451" s="1" t="s">
        <v>3414</v>
      </c>
    </row>
    <row r="1452" spans="1:11" x14ac:dyDescent="0.35">
      <c r="A1452" s="1" t="s">
        <v>3162</v>
      </c>
      <c r="B1452" s="1" t="s">
        <v>3396</v>
      </c>
      <c r="C1452" s="1" t="s">
        <v>3415</v>
      </c>
      <c r="D1452" s="1" t="str">
        <f>"8405"</f>
        <v>8405</v>
      </c>
      <c r="E1452" s="1" t="str">
        <f>"011000976"</f>
        <v>011000976</v>
      </c>
      <c r="F1452" s="1" t="s">
        <v>615</v>
      </c>
      <c r="G1452" s="1" t="s">
        <v>16</v>
      </c>
      <c r="H1452" s="1" t="str">
        <f>"2"</f>
        <v>2</v>
      </c>
      <c r="I1452" s="2">
        <v>48.9</v>
      </c>
      <c r="J1452" s="3">
        <v>46184</v>
      </c>
      <c r="K1452" s="1" t="s">
        <v>3416</v>
      </c>
    </row>
    <row r="1453" spans="1:11" x14ac:dyDescent="0.35">
      <c r="A1453" s="1" t="s">
        <v>3162</v>
      </c>
      <c r="B1453" s="1" t="s">
        <v>3396</v>
      </c>
      <c r="C1453" s="1" t="s">
        <v>3417</v>
      </c>
      <c r="D1453" s="1" t="str">
        <f>"8405"</f>
        <v>8405</v>
      </c>
      <c r="E1453" s="1" t="str">
        <f>"011000976"</f>
        <v>011000976</v>
      </c>
      <c r="F1453" s="1" t="s">
        <v>615</v>
      </c>
      <c r="G1453" s="1" t="s">
        <v>16</v>
      </c>
      <c r="H1453" s="1" t="str">
        <f>"4"</f>
        <v>4</v>
      </c>
      <c r="I1453" s="2">
        <v>48.9</v>
      </c>
      <c r="J1453" s="3">
        <v>46184</v>
      </c>
      <c r="K1453" s="1" t="s">
        <v>3416</v>
      </c>
    </row>
    <row r="1454" spans="1:11" x14ac:dyDescent="0.35">
      <c r="A1454" s="1" t="s">
        <v>3162</v>
      </c>
      <c r="B1454" s="1" t="s">
        <v>3396</v>
      </c>
      <c r="C1454" s="1" t="s">
        <v>3418</v>
      </c>
      <c r="D1454" s="1" t="str">
        <f>"8415"</f>
        <v>8415</v>
      </c>
      <c r="E1454" s="1" t="str">
        <f>"015802854"</f>
        <v>015802854</v>
      </c>
      <c r="F1454" s="1" t="s">
        <v>1892</v>
      </c>
      <c r="G1454" s="1" t="s">
        <v>16</v>
      </c>
      <c r="H1454" s="1" t="str">
        <f>"1"</f>
        <v>1</v>
      </c>
      <c r="I1454" s="2">
        <v>146.83000000000001</v>
      </c>
      <c r="J1454" s="3">
        <v>46184</v>
      </c>
      <c r="K1454" s="1" t="s">
        <v>3419</v>
      </c>
    </row>
    <row r="1455" spans="1:11" x14ac:dyDescent="0.35">
      <c r="A1455" s="1" t="s">
        <v>3162</v>
      </c>
      <c r="B1455" s="1" t="s">
        <v>3396</v>
      </c>
      <c r="C1455" s="1" t="s">
        <v>3420</v>
      </c>
      <c r="D1455" s="1" t="str">
        <f>"8415"</f>
        <v>8415</v>
      </c>
      <c r="E1455" s="1" t="str">
        <f>"015802904"</f>
        <v>015802904</v>
      </c>
      <c r="F1455" s="1" t="s">
        <v>1892</v>
      </c>
      <c r="G1455" s="1" t="s">
        <v>16</v>
      </c>
      <c r="H1455" s="1" t="str">
        <f>"1"</f>
        <v>1</v>
      </c>
      <c r="I1455" s="2">
        <v>150.29</v>
      </c>
      <c r="J1455" s="3">
        <v>46184</v>
      </c>
      <c r="K1455" s="1" t="s">
        <v>3419</v>
      </c>
    </row>
    <row r="1456" spans="1:11" x14ac:dyDescent="0.35">
      <c r="A1456" s="1" t="s">
        <v>3162</v>
      </c>
      <c r="B1456" s="1" t="s">
        <v>3396</v>
      </c>
      <c r="C1456" s="1" t="s">
        <v>3421</v>
      </c>
      <c r="D1456" s="1" t="str">
        <f>"8415"</f>
        <v>8415</v>
      </c>
      <c r="E1456" s="1" t="str">
        <f>"015802861"</f>
        <v>015802861</v>
      </c>
      <c r="F1456" s="1" t="s">
        <v>1892</v>
      </c>
      <c r="G1456" s="1" t="s">
        <v>16</v>
      </c>
      <c r="H1456" s="1" t="str">
        <f>"1"</f>
        <v>1</v>
      </c>
      <c r="I1456" s="2">
        <v>146.81</v>
      </c>
      <c r="J1456" s="3">
        <v>46184</v>
      </c>
      <c r="K1456" s="1" t="s">
        <v>3419</v>
      </c>
    </row>
    <row r="1457" spans="1:11" x14ac:dyDescent="0.35">
      <c r="A1457" s="1" t="s">
        <v>3162</v>
      </c>
      <c r="B1457" s="1" t="s">
        <v>3396</v>
      </c>
      <c r="C1457" s="1" t="s">
        <v>3422</v>
      </c>
      <c r="D1457" s="1" t="str">
        <f>"8415"</f>
        <v>8415</v>
      </c>
      <c r="E1457" s="1" t="str">
        <f>"015802782"</f>
        <v>015802782</v>
      </c>
      <c r="F1457" s="1" t="s">
        <v>1892</v>
      </c>
      <c r="G1457" s="1" t="s">
        <v>16</v>
      </c>
      <c r="H1457" s="1" t="str">
        <f>"1"</f>
        <v>1</v>
      </c>
      <c r="I1457" s="2">
        <v>146.81</v>
      </c>
      <c r="J1457" s="3">
        <v>46184</v>
      </c>
      <c r="K1457" s="1" t="s">
        <v>3419</v>
      </c>
    </row>
    <row r="1458" spans="1:11" x14ac:dyDescent="0.35">
      <c r="A1458" s="1" t="s">
        <v>3162</v>
      </c>
      <c r="B1458" s="1" t="s">
        <v>3396</v>
      </c>
      <c r="C1458" s="1" t="s">
        <v>3423</v>
      </c>
      <c r="D1458" s="1" t="str">
        <f>"8415"</f>
        <v>8415</v>
      </c>
      <c r="E1458" s="1" t="str">
        <f>"015387761"</f>
        <v>015387761</v>
      </c>
      <c r="F1458" s="1" t="s">
        <v>1892</v>
      </c>
      <c r="G1458" s="1" t="s">
        <v>16</v>
      </c>
      <c r="H1458" s="1" t="str">
        <f>"20"</f>
        <v>20</v>
      </c>
      <c r="I1458" s="2">
        <v>111.26</v>
      </c>
      <c r="J1458" s="3">
        <v>46184</v>
      </c>
      <c r="K1458" s="1" t="s">
        <v>3424</v>
      </c>
    </row>
    <row r="1459" spans="1:11" x14ac:dyDescent="0.35">
      <c r="A1459" s="1" t="s">
        <v>3162</v>
      </c>
      <c r="B1459" s="1" t="s">
        <v>3396</v>
      </c>
      <c r="C1459" s="1" t="s">
        <v>3425</v>
      </c>
      <c r="D1459" s="1" t="str">
        <f>"8415"</f>
        <v>8415</v>
      </c>
      <c r="E1459" s="1" t="str">
        <f>"015387769"</f>
        <v>015387769</v>
      </c>
      <c r="F1459" s="1" t="s">
        <v>1892</v>
      </c>
      <c r="G1459" s="1" t="s">
        <v>16</v>
      </c>
      <c r="H1459" s="1" t="str">
        <f>"9"</f>
        <v>9</v>
      </c>
      <c r="I1459" s="2">
        <v>111.26</v>
      </c>
      <c r="J1459" s="3">
        <v>46184</v>
      </c>
      <c r="K1459" s="1" t="s">
        <v>3424</v>
      </c>
    </row>
    <row r="1460" spans="1:11" x14ac:dyDescent="0.35">
      <c r="A1460" s="1" t="s">
        <v>3162</v>
      </c>
      <c r="B1460" s="1" t="s">
        <v>3396</v>
      </c>
      <c r="C1460" s="1" t="s">
        <v>3431</v>
      </c>
      <c r="D1460" s="1" t="str">
        <f>"8415"</f>
        <v>8415</v>
      </c>
      <c r="E1460" s="1" t="str">
        <f>"015802497"</f>
        <v>015802497</v>
      </c>
      <c r="F1460" s="1" t="s">
        <v>1988</v>
      </c>
      <c r="G1460" s="1" t="s">
        <v>311</v>
      </c>
      <c r="H1460" s="1" t="str">
        <f>"1"</f>
        <v>1</v>
      </c>
      <c r="I1460" s="2">
        <v>120.1</v>
      </c>
      <c r="J1460" s="3">
        <v>46184</v>
      </c>
      <c r="K1460" s="1" t="s">
        <v>3432</v>
      </c>
    </row>
    <row r="1461" spans="1:11" x14ac:dyDescent="0.35">
      <c r="A1461" s="1" t="s">
        <v>3162</v>
      </c>
      <c r="B1461" s="1" t="s">
        <v>3396</v>
      </c>
      <c r="C1461" s="1" t="s">
        <v>3433</v>
      </c>
      <c r="D1461" s="1" t="str">
        <f>"8415"</f>
        <v>8415</v>
      </c>
      <c r="E1461" s="1" t="str">
        <f>"015802497"</f>
        <v>015802497</v>
      </c>
      <c r="F1461" s="1" t="s">
        <v>1988</v>
      </c>
      <c r="G1461" s="1" t="s">
        <v>311</v>
      </c>
      <c r="H1461" s="1" t="str">
        <f>"1"</f>
        <v>1</v>
      </c>
      <c r="I1461" s="2">
        <v>120.1</v>
      </c>
      <c r="J1461" s="3">
        <v>46184</v>
      </c>
      <c r="K1461" s="1" t="s">
        <v>3432</v>
      </c>
    </row>
    <row r="1462" spans="1:11" x14ac:dyDescent="0.35">
      <c r="A1462" s="1" t="s">
        <v>3162</v>
      </c>
      <c r="B1462" s="1" t="s">
        <v>3396</v>
      </c>
      <c r="C1462" s="1" t="s">
        <v>3434</v>
      </c>
      <c r="D1462" s="1" t="str">
        <f>"8415"</f>
        <v>8415</v>
      </c>
      <c r="E1462" s="1" t="str">
        <f>"015802497"</f>
        <v>015802497</v>
      </c>
      <c r="F1462" s="1" t="s">
        <v>1988</v>
      </c>
      <c r="G1462" s="1" t="s">
        <v>311</v>
      </c>
      <c r="H1462" s="1" t="str">
        <f>"1"</f>
        <v>1</v>
      </c>
      <c r="I1462" s="2">
        <v>120.1</v>
      </c>
      <c r="J1462" s="3">
        <v>46184</v>
      </c>
      <c r="K1462" s="1" t="s">
        <v>3432</v>
      </c>
    </row>
    <row r="1463" spans="1:11" x14ac:dyDescent="0.35">
      <c r="A1463" s="1" t="s">
        <v>3162</v>
      </c>
      <c r="B1463" s="1" t="s">
        <v>3396</v>
      </c>
      <c r="C1463" s="1" t="s">
        <v>3435</v>
      </c>
      <c r="D1463" s="1" t="str">
        <f>"8415"</f>
        <v>8415</v>
      </c>
      <c r="E1463" s="1" t="str">
        <f>"015802468"</f>
        <v>015802468</v>
      </c>
      <c r="F1463" s="1" t="s">
        <v>1988</v>
      </c>
      <c r="G1463" s="1" t="s">
        <v>311</v>
      </c>
      <c r="H1463" s="1" t="str">
        <f>"2"</f>
        <v>2</v>
      </c>
      <c r="I1463" s="2">
        <v>120.1</v>
      </c>
      <c r="J1463" s="3">
        <v>46184</v>
      </c>
      <c r="K1463" s="1" t="s">
        <v>3436</v>
      </c>
    </row>
    <row r="1464" spans="1:11" x14ac:dyDescent="0.35">
      <c r="A1464" s="1" t="s">
        <v>3162</v>
      </c>
      <c r="B1464" s="1" t="s">
        <v>3396</v>
      </c>
      <c r="C1464" s="1" t="s">
        <v>3437</v>
      </c>
      <c r="D1464" s="1" t="str">
        <f>"8415"</f>
        <v>8415</v>
      </c>
      <c r="E1464" s="1" t="str">
        <f>"015802468"</f>
        <v>015802468</v>
      </c>
      <c r="F1464" s="1" t="s">
        <v>1988</v>
      </c>
      <c r="G1464" s="1" t="s">
        <v>311</v>
      </c>
      <c r="H1464" s="1" t="str">
        <f>"1"</f>
        <v>1</v>
      </c>
      <c r="I1464" s="2">
        <v>120.1</v>
      </c>
      <c r="J1464" s="3">
        <v>46184</v>
      </c>
      <c r="K1464" s="1" t="s">
        <v>3432</v>
      </c>
    </row>
    <row r="1465" spans="1:11" x14ac:dyDescent="0.35">
      <c r="A1465" s="1" t="s">
        <v>3162</v>
      </c>
      <c r="B1465" s="1" t="s">
        <v>3396</v>
      </c>
      <c r="C1465" s="1" t="s">
        <v>3438</v>
      </c>
      <c r="D1465" s="1" t="str">
        <f>"8415"</f>
        <v>8415</v>
      </c>
      <c r="E1465" s="1" t="str">
        <f>"015802502"</f>
        <v>015802502</v>
      </c>
      <c r="F1465" s="1" t="s">
        <v>1988</v>
      </c>
      <c r="G1465" s="1" t="s">
        <v>311</v>
      </c>
      <c r="H1465" s="1" t="str">
        <f>"1"</f>
        <v>1</v>
      </c>
      <c r="I1465" s="2">
        <v>120.1</v>
      </c>
      <c r="J1465" s="3">
        <v>46184</v>
      </c>
      <c r="K1465" s="1" t="s">
        <v>3432</v>
      </c>
    </row>
    <row r="1466" spans="1:11" x14ac:dyDescent="0.35">
      <c r="A1466" s="1" t="s">
        <v>3162</v>
      </c>
      <c r="B1466" s="1" t="s">
        <v>3396</v>
      </c>
      <c r="C1466" s="1" t="s">
        <v>3439</v>
      </c>
      <c r="D1466" s="1" t="str">
        <f>"8415"</f>
        <v>8415</v>
      </c>
      <c r="E1466" s="1" t="str">
        <f>"015386681"</f>
        <v>015386681</v>
      </c>
      <c r="F1466" s="1" t="s">
        <v>1988</v>
      </c>
      <c r="G1466" s="1" t="s">
        <v>16</v>
      </c>
      <c r="H1466" s="1" t="str">
        <f>"2"</f>
        <v>2</v>
      </c>
      <c r="I1466" s="2">
        <v>93.46</v>
      </c>
      <c r="J1466" s="3">
        <v>46184</v>
      </c>
      <c r="K1466" s="1" t="s">
        <v>3436</v>
      </c>
    </row>
    <row r="1467" spans="1:11" x14ac:dyDescent="0.35">
      <c r="A1467" s="1" t="s">
        <v>3162</v>
      </c>
      <c r="B1467" s="1" t="s">
        <v>3396</v>
      </c>
      <c r="C1467" s="1" t="s">
        <v>3440</v>
      </c>
      <c r="D1467" s="1" t="str">
        <f>"8415"</f>
        <v>8415</v>
      </c>
      <c r="E1467" s="1" t="str">
        <f>"015386677"</f>
        <v>015386677</v>
      </c>
      <c r="F1467" s="1" t="s">
        <v>1988</v>
      </c>
      <c r="G1467" s="1" t="s">
        <v>16</v>
      </c>
      <c r="H1467" s="1" t="str">
        <f>"4"</f>
        <v>4</v>
      </c>
      <c r="I1467" s="2">
        <v>93.46</v>
      </c>
      <c r="J1467" s="3">
        <v>46184</v>
      </c>
      <c r="K1467" s="1" t="s">
        <v>3441</v>
      </c>
    </row>
    <row r="1468" spans="1:11" x14ac:dyDescent="0.35">
      <c r="A1468" s="1" t="s">
        <v>3162</v>
      </c>
      <c r="B1468" s="1" t="s">
        <v>3396</v>
      </c>
      <c r="C1468" s="1" t="s">
        <v>3442</v>
      </c>
      <c r="D1468" s="1" t="str">
        <f>"8415"</f>
        <v>8415</v>
      </c>
      <c r="E1468" s="1" t="str">
        <f>"015386679"</f>
        <v>015386679</v>
      </c>
      <c r="F1468" s="1" t="s">
        <v>1988</v>
      </c>
      <c r="G1468" s="1" t="s">
        <v>16</v>
      </c>
      <c r="H1468" s="1" t="str">
        <f>"2"</f>
        <v>2</v>
      </c>
      <c r="I1468" s="2">
        <v>93.46</v>
      </c>
      <c r="J1468" s="3">
        <v>46184</v>
      </c>
      <c r="K1468" s="1" t="s">
        <v>3441</v>
      </c>
    </row>
    <row r="1469" spans="1:11" x14ac:dyDescent="0.35">
      <c r="A1469" s="1" t="s">
        <v>3162</v>
      </c>
      <c r="B1469" s="1" t="s">
        <v>3396</v>
      </c>
      <c r="C1469" s="1" t="s">
        <v>3443</v>
      </c>
      <c r="D1469" s="1" t="str">
        <f>"8415"</f>
        <v>8415</v>
      </c>
      <c r="E1469" s="1" t="str">
        <f>"015386679"</f>
        <v>015386679</v>
      </c>
      <c r="F1469" s="1" t="s">
        <v>1988</v>
      </c>
      <c r="G1469" s="1" t="s">
        <v>16</v>
      </c>
      <c r="H1469" s="1" t="str">
        <f>"2"</f>
        <v>2</v>
      </c>
      <c r="I1469" s="2">
        <v>93.46</v>
      </c>
      <c r="J1469" s="3">
        <v>46184</v>
      </c>
      <c r="K1469" s="1" t="s">
        <v>3441</v>
      </c>
    </row>
    <row r="1470" spans="1:11" x14ac:dyDescent="0.35">
      <c r="A1470" s="1" t="s">
        <v>3162</v>
      </c>
      <c r="B1470" s="1" t="s">
        <v>3396</v>
      </c>
      <c r="C1470" s="1" t="s">
        <v>3444</v>
      </c>
      <c r="D1470" s="1" t="str">
        <f>"8415"</f>
        <v>8415</v>
      </c>
      <c r="E1470" s="1" t="str">
        <f>"015386679"</f>
        <v>015386679</v>
      </c>
      <c r="F1470" s="1" t="s">
        <v>1988</v>
      </c>
      <c r="G1470" s="1" t="s">
        <v>16</v>
      </c>
      <c r="H1470" s="1" t="str">
        <f>"2"</f>
        <v>2</v>
      </c>
      <c r="I1470" s="2">
        <v>93.46</v>
      </c>
      <c r="J1470" s="3">
        <v>46184</v>
      </c>
      <c r="K1470" s="1" t="s">
        <v>3441</v>
      </c>
    </row>
    <row r="1471" spans="1:11" x14ac:dyDescent="0.35">
      <c r="A1471" s="1" t="s">
        <v>3162</v>
      </c>
      <c r="B1471" s="1" t="s">
        <v>3396</v>
      </c>
      <c r="C1471" s="1" t="s">
        <v>3445</v>
      </c>
      <c r="D1471" s="1" t="str">
        <f>"8415"</f>
        <v>8415</v>
      </c>
      <c r="E1471" s="1" t="str">
        <f>"015386680"</f>
        <v>015386680</v>
      </c>
      <c r="F1471" s="1" t="s">
        <v>1988</v>
      </c>
      <c r="G1471" s="1" t="s">
        <v>16</v>
      </c>
      <c r="H1471" s="1" t="str">
        <f>"5"</f>
        <v>5</v>
      </c>
      <c r="I1471" s="2">
        <v>93.46</v>
      </c>
      <c r="J1471" s="3">
        <v>46184</v>
      </c>
      <c r="K1471" s="1" t="s">
        <v>3441</v>
      </c>
    </row>
    <row r="1472" spans="1:11" x14ac:dyDescent="0.35">
      <c r="A1472" s="1" t="s">
        <v>3162</v>
      </c>
      <c r="B1472" s="1" t="s">
        <v>3396</v>
      </c>
      <c r="C1472" s="1" t="s">
        <v>3446</v>
      </c>
      <c r="D1472" s="1" t="str">
        <f>"8415"</f>
        <v>8415</v>
      </c>
      <c r="E1472" s="1" t="str">
        <f>"015386677"</f>
        <v>015386677</v>
      </c>
      <c r="F1472" s="1" t="s">
        <v>1988</v>
      </c>
      <c r="G1472" s="1" t="s">
        <v>16</v>
      </c>
      <c r="H1472" s="1" t="str">
        <f>"3"</f>
        <v>3</v>
      </c>
      <c r="I1472" s="2">
        <v>93.46</v>
      </c>
      <c r="J1472" s="3">
        <v>46184</v>
      </c>
      <c r="K1472" s="1" t="s">
        <v>3441</v>
      </c>
    </row>
    <row r="1473" spans="1:11" x14ac:dyDescent="0.35">
      <c r="A1473" s="1" t="s">
        <v>3162</v>
      </c>
      <c r="B1473" s="1" t="s">
        <v>3396</v>
      </c>
      <c r="C1473" s="1" t="s">
        <v>3447</v>
      </c>
      <c r="D1473" s="1" t="str">
        <f>"8415"</f>
        <v>8415</v>
      </c>
      <c r="E1473" s="1" t="str">
        <f>"015386681"</f>
        <v>015386681</v>
      </c>
      <c r="F1473" s="1" t="s">
        <v>1988</v>
      </c>
      <c r="G1473" s="1" t="s">
        <v>16</v>
      </c>
      <c r="H1473" s="1" t="str">
        <f>"7"</f>
        <v>7</v>
      </c>
      <c r="I1473" s="2">
        <v>93.46</v>
      </c>
      <c r="J1473" s="3">
        <v>46184</v>
      </c>
      <c r="K1473" s="1" t="s">
        <v>3441</v>
      </c>
    </row>
    <row r="1474" spans="1:11" x14ac:dyDescent="0.35">
      <c r="A1474" s="1" t="s">
        <v>3162</v>
      </c>
      <c r="B1474" s="1" t="s">
        <v>3396</v>
      </c>
      <c r="C1474" s="1" t="s">
        <v>3448</v>
      </c>
      <c r="D1474" s="1" t="str">
        <f>"8415"</f>
        <v>8415</v>
      </c>
      <c r="E1474" s="1" t="str">
        <f>"015386679"</f>
        <v>015386679</v>
      </c>
      <c r="F1474" s="1" t="s">
        <v>1988</v>
      </c>
      <c r="G1474" s="1" t="s">
        <v>16</v>
      </c>
      <c r="H1474" s="1" t="str">
        <f>"13"</f>
        <v>13</v>
      </c>
      <c r="I1474" s="2">
        <v>93.46</v>
      </c>
      <c r="J1474" s="3">
        <v>46184</v>
      </c>
      <c r="K1474" s="1" t="s">
        <v>3441</v>
      </c>
    </row>
    <row r="1475" spans="1:11" x14ac:dyDescent="0.35">
      <c r="A1475" s="1" t="s">
        <v>3162</v>
      </c>
      <c r="B1475" s="1" t="s">
        <v>3396</v>
      </c>
      <c r="C1475" s="1" t="s">
        <v>3449</v>
      </c>
      <c r="D1475" s="1" t="str">
        <f>"8415"</f>
        <v>8415</v>
      </c>
      <c r="E1475" s="1" t="str">
        <f>"015386683"</f>
        <v>015386683</v>
      </c>
      <c r="F1475" s="1" t="s">
        <v>1988</v>
      </c>
      <c r="G1475" s="1" t="s">
        <v>16</v>
      </c>
      <c r="H1475" s="1" t="str">
        <f>"2"</f>
        <v>2</v>
      </c>
      <c r="I1475" s="2">
        <v>96.1</v>
      </c>
      <c r="J1475" s="3">
        <v>46184</v>
      </c>
      <c r="K1475" s="1" t="s">
        <v>3441</v>
      </c>
    </row>
    <row r="1476" spans="1:11" x14ac:dyDescent="0.35">
      <c r="A1476" s="1" t="s">
        <v>3162</v>
      </c>
      <c r="B1476" s="1" t="s">
        <v>3396</v>
      </c>
      <c r="C1476" s="1" t="s">
        <v>3459</v>
      </c>
      <c r="D1476" s="1" t="str">
        <f>"8415"</f>
        <v>8415</v>
      </c>
      <c r="E1476" s="1" t="str">
        <f>"015802788"</f>
        <v>015802788</v>
      </c>
      <c r="F1476" s="1" t="s">
        <v>1892</v>
      </c>
      <c r="G1476" s="1" t="s">
        <v>16</v>
      </c>
      <c r="H1476" s="1" t="str">
        <f>"1"</f>
        <v>1</v>
      </c>
      <c r="I1476" s="2">
        <v>146.81</v>
      </c>
      <c r="J1476" s="3">
        <v>46184</v>
      </c>
      <c r="K1476" s="1" t="s">
        <v>3419</v>
      </c>
    </row>
    <row r="1477" spans="1:11" x14ac:dyDescent="0.35">
      <c r="A1477" s="1" t="s">
        <v>3162</v>
      </c>
      <c r="B1477" s="1" t="s">
        <v>3396</v>
      </c>
      <c r="C1477" s="1" t="s">
        <v>3460</v>
      </c>
      <c r="D1477" s="1" t="str">
        <f>"8415"</f>
        <v>8415</v>
      </c>
      <c r="E1477" s="1" t="str">
        <f>"015802782"</f>
        <v>015802782</v>
      </c>
      <c r="F1477" s="1" t="s">
        <v>1892</v>
      </c>
      <c r="G1477" s="1" t="s">
        <v>16</v>
      </c>
      <c r="H1477" s="1" t="str">
        <f>"3"</f>
        <v>3</v>
      </c>
      <c r="I1477" s="2">
        <v>146.81</v>
      </c>
      <c r="J1477" s="3">
        <v>46184</v>
      </c>
      <c r="K1477" s="1" t="s">
        <v>3461</v>
      </c>
    </row>
    <row r="1478" spans="1:11" x14ac:dyDescent="0.35">
      <c r="A1478" s="1" t="s">
        <v>3162</v>
      </c>
      <c r="B1478" s="1" t="s">
        <v>3396</v>
      </c>
      <c r="C1478" s="1" t="s">
        <v>3462</v>
      </c>
      <c r="D1478" s="1" t="str">
        <f>"8415"</f>
        <v>8415</v>
      </c>
      <c r="E1478" s="1" t="str">
        <f>"015802854"</f>
        <v>015802854</v>
      </c>
      <c r="F1478" s="1" t="s">
        <v>1892</v>
      </c>
      <c r="G1478" s="1" t="s">
        <v>16</v>
      </c>
      <c r="H1478" s="1" t="str">
        <f>"2"</f>
        <v>2</v>
      </c>
      <c r="I1478" s="2">
        <v>146.83000000000001</v>
      </c>
      <c r="J1478" s="3">
        <v>46184</v>
      </c>
      <c r="K1478" s="1" t="s">
        <v>3416</v>
      </c>
    </row>
    <row r="1479" spans="1:11" x14ac:dyDescent="0.35">
      <c r="A1479" s="1" t="s">
        <v>3162</v>
      </c>
      <c r="B1479" s="1" t="s">
        <v>3396</v>
      </c>
      <c r="C1479" s="1" t="s">
        <v>3463</v>
      </c>
      <c r="D1479" s="1" t="str">
        <f>"8415"</f>
        <v>8415</v>
      </c>
      <c r="E1479" s="1" t="str">
        <f>"015802854"</f>
        <v>015802854</v>
      </c>
      <c r="F1479" s="1" t="s">
        <v>1892</v>
      </c>
      <c r="G1479" s="1" t="s">
        <v>16</v>
      </c>
      <c r="H1479" s="1" t="str">
        <f>"1"</f>
        <v>1</v>
      </c>
      <c r="I1479" s="2">
        <v>146.83000000000001</v>
      </c>
      <c r="J1479" s="3">
        <v>46184</v>
      </c>
      <c r="K1479" s="1" t="s">
        <v>3419</v>
      </c>
    </row>
    <row r="1480" spans="1:11" x14ac:dyDescent="0.35">
      <c r="A1480" s="1" t="s">
        <v>3162</v>
      </c>
      <c r="B1480" s="1" t="s">
        <v>3396</v>
      </c>
      <c r="C1480" s="1" t="s">
        <v>3464</v>
      </c>
      <c r="D1480" s="1" t="str">
        <f>"8415"</f>
        <v>8415</v>
      </c>
      <c r="E1480" s="1" t="str">
        <f>"015802861"</f>
        <v>015802861</v>
      </c>
      <c r="F1480" s="1" t="s">
        <v>1892</v>
      </c>
      <c r="G1480" s="1" t="s">
        <v>16</v>
      </c>
      <c r="H1480" s="1" t="str">
        <f>"1"</f>
        <v>1</v>
      </c>
      <c r="I1480" s="2">
        <v>146.81</v>
      </c>
      <c r="J1480" s="3">
        <v>46184</v>
      </c>
      <c r="K1480" s="1" t="s">
        <v>3419</v>
      </c>
    </row>
    <row r="1481" spans="1:11" x14ac:dyDescent="0.35">
      <c r="A1481" s="1" t="s">
        <v>3162</v>
      </c>
      <c r="B1481" s="1" t="s">
        <v>3396</v>
      </c>
      <c r="C1481" s="1" t="s">
        <v>3465</v>
      </c>
      <c r="D1481" s="1" t="str">
        <f>"8415"</f>
        <v>8415</v>
      </c>
      <c r="E1481" s="1" t="str">
        <f>"015802904"</f>
        <v>015802904</v>
      </c>
      <c r="F1481" s="1" t="s">
        <v>1892</v>
      </c>
      <c r="G1481" s="1" t="s">
        <v>16</v>
      </c>
      <c r="H1481" s="1" t="str">
        <f>"1"</f>
        <v>1</v>
      </c>
      <c r="I1481" s="2">
        <v>150.29</v>
      </c>
      <c r="J1481" s="3">
        <v>46184</v>
      </c>
      <c r="K1481" s="1" t="s">
        <v>3419</v>
      </c>
    </row>
    <row r="1482" spans="1:11" x14ac:dyDescent="0.35">
      <c r="A1482" s="1" t="s">
        <v>3162</v>
      </c>
      <c r="B1482" s="1" t="s">
        <v>3396</v>
      </c>
      <c r="C1482" s="1" t="s">
        <v>3466</v>
      </c>
      <c r="D1482" s="1" t="str">
        <f>"8415"</f>
        <v>8415</v>
      </c>
      <c r="E1482" s="1" t="str">
        <f>"015802782"</f>
        <v>015802782</v>
      </c>
      <c r="F1482" s="1" t="s">
        <v>1892</v>
      </c>
      <c r="G1482" s="1" t="s">
        <v>16</v>
      </c>
      <c r="H1482" s="1" t="str">
        <f>"1"</f>
        <v>1</v>
      </c>
      <c r="I1482" s="2">
        <v>146.81</v>
      </c>
      <c r="J1482" s="3">
        <v>46184</v>
      </c>
      <c r="K1482" s="1" t="s">
        <v>3419</v>
      </c>
    </row>
    <row r="1483" spans="1:11" x14ac:dyDescent="0.35">
      <c r="A1483" s="1" t="s">
        <v>3162</v>
      </c>
      <c r="B1483" s="1" t="s">
        <v>3396</v>
      </c>
      <c r="C1483" s="1" t="s">
        <v>3467</v>
      </c>
      <c r="D1483" s="1" t="str">
        <f>"8415"</f>
        <v>8415</v>
      </c>
      <c r="E1483" s="1" t="str">
        <f>"015387012"</f>
        <v>015387012</v>
      </c>
      <c r="F1483" s="1" t="s">
        <v>1892</v>
      </c>
      <c r="G1483" s="1" t="s">
        <v>16</v>
      </c>
      <c r="H1483" s="1" t="str">
        <f>"4"</f>
        <v>4</v>
      </c>
      <c r="I1483" s="2">
        <v>111.26</v>
      </c>
      <c r="J1483" s="3">
        <v>46184</v>
      </c>
      <c r="K1483" s="1" t="s">
        <v>3412</v>
      </c>
    </row>
    <row r="1484" spans="1:11" x14ac:dyDescent="0.35">
      <c r="A1484" s="1" t="s">
        <v>3162</v>
      </c>
      <c r="B1484" s="1" t="s">
        <v>3396</v>
      </c>
      <c r="C1484" s="1" t="s">
        <v>3468</v>
      </c>
      <c r="D1484" s="1" t="str">
        <f>"8415"</f>
        <v>8415</v>
      </c>
      <c r="E1484" s="1" t="str">
        <f>"015387764"</f>
        <v>015387764</v>
      </c>
      <c r="F1484" s="1" t="s">
        <v>1892</v>
      </c>
      <c r="G1484" s="1" t="s">
        <v>16</v>
      </c>
      <c r="H1484" s="1" t="str">
        <f>"14"</f>
        <v>14</v>
      </c>
      <c r="I1484" s="2">
        <v>111.26</v>
      </c>
      <c r="J1484" s="3">
        <v>46184</v>
      </c>
      <c r="K1484" s="1" t="s">
        <v>3412</v>
      </c>
    </row>
    <row r="1485" spans="1:11" x14ac:dyDescent="0.35">
      <c r="A1485" s="1" t="s">
        <v>3162</v>
      </c>
      <c r="B1485" s="1" t="s">
        <v>3396</v>
      </c>
      <c r="C1485" s="1" t="s">
        <v>3469</v>
      </c>
      <c r="D1485" s="1" t="str">
        <f>"8415"</f>
        <v>8415</v>
      </c>
      <c r="E1485" s="1" t="str">
        <f>"015387761"</f>
        <v>015387761</v>
      </c>
      <c r="F1485" s="1" t="s">
        <v>1892</v>
      </c>
      <c r="G1485" s="1" t="s">
        <v>16</v>
      </c>
      <c r="H1485" s="1" t="str">
        <f>"8"</f>
        <v>8</v>
      </c>
      <c r="I1485" s="2">
        <v>111.26</v>
      </c>
      <c r="J1485" s="3">
        <v>46184</v>
      </c>
      <c r="K1485" s="1" t="s">
        <v>3424</v>
      </c>
    </row>
    <row r="1486" spans="1:11" x14ac:dyDescent="0.35">
      <c r="A1486" s="1" t="s">
        <v>3162</v>
      </c>
      <c r="B1486" s="1" t="s">
        <v>3396</v>
      </c>
      <c r="C1486" s="1" t="s">
        <v>3470</v>
      </c>
      <c r="D1486" s="1" t="str">
        <f>"8415"</f>
        <v>8415</v>
      </c>
      <c r="E1486" s="1" t="str">
        <f>"015387764"</f>
        <v>015387764</v>
      </c>
      <c r="F1486" s="1" t="s">
        <v>1892</v>
      </c>
      <c r="G1486" s="1" t="s">
        <v>16</v>
      </c>
      <c r="H1486" s="1" t="str">
        <f>"3"</f>
        <v>3</v>
      </c>
      <c r="I1486" s="2">
        <v>111.26</v>
      </c>
      <c r="J1486" s="3">
        <v>46184</v>
      </c>
      <c r="K1486" s="1" t="s">
        <v>3424</v>
      </c>
    </row>
    <row r="1487" spans="1:11" x14ac:dyDescent="0.35">
      <c r="A1487" s="1" t="s">
        <v>3162</v>
      </c>
      <c r="B1487" s="1" t="s">
        <v>3396</v>
      </c>
      <c r="C1487" s="1" t="s">
        <v>3472</v>
      </c>
      <c r="D1487" s="1" t="str">
        <f>"8415"</f>
        <v>8415</v>
      </c>
      <c r="E1487" s="1" t="str">
        <f>"015387012"</f>
        <v>015387012</v>
      </c>
      <c r="F1487" s="1" t="s">
        <v>1892</v>
      </c>
      <c r="G1487" s="1" t="s">
        <v>16</v>
      </c>
      <c r="H1487" s="1" t="str">
        <f>"12"</f>
        <v>12</v>
      </c>
      <c r="I1487" s="2">
        <v>111.26</v>
      </c>
      <c r="J1487" s="3">
        <v>46184</v>
      </c>
      <c r="K1487" s="1" t="s">
        <v>3424</v>
      </c>
    </row>
    <row r="1488" spans="1:11" x14ac:dyDescent="0.35">
      <c r="A1488" s="1" t="s">
        <v>3162</v>
      </c>
      <c r="B1488" s="1" t="s">
        <v>3191</v>
      </c>
      <c r="C1488" s="1" t="s">
        <v>3194</v>
      </c>
      <c r="D1488" s="1" t="str">
        <f>"1095"</f>
        <v>1095</v>
      </c>
      <c r="E1488" s="1" t="str">
        <f>"015404437"</f>
        <v>015404437</v>
      </c>
      <c r="F1488" s="1" t="s">
        <v>3195</v>
      </c>
      <c r="G1488" s="1" t="s">
        <v>16</v>
      </c>
      <c r="H1488" s="1" t="str">
        <f>"8"</f>
        <v>8</v>
      </c>
      <c r="I1488" s="2">
        <v>45.02</v>
      </c>
      <c r="J1488" s="3">
        <v>46185</v>
      </c>
      <c r="K1488" s="1" t="s">
        <v>3196</v>
      </c>
    </row>
    <row r="1489" spans="1:11" x14ac:dyDescent="0.35">
      <c r="A1489" s="1" t="s">
        <v>3162</v>
      </c>
      <c r="B1489" s="1" t="s">
        <v>3191</v>
      </c>
      <c r="C1489" s="1" t="s">
        <v>3200</v>
      </c>
      <c r="D1489" s="1" t="str">
        <f>"2330"</f>
        <v>2330</v>
      </c>
      <c r="E1489" s="1" t="s">
        <v>70</v>
      </c>
      <c r="F1489" s="1" t="s">
        <v>71</v>
      </c>
      <c r="G1489" s="1" t="s">
        <v>16</v>
      </c>
      <c r="H1489" s="1" t="str">
        <f>"1"</f>
        <v>1</v>
      </c>
      <c r="I1489" s="2" t="str">
        <f>"79455"</f>
        <v>79455</v>
      </c>
      <c r="J1489" s="3">
        <v>46185</v>
      </c>
      <c r="K1489" s="1" t="s">
        <v>3201</v>
      </c>
    </row>
    <row r="1490" spans="1:11" x14ac:dyDescent="0.35">
      <c r="A1490" s="1" t="s">
        <v>3162</v>
      </c>
      <c r="B1490" s="1" t="s">
        <v>3191</v>
      </c>
      <c r="C1490" s="1" t="s">
        <v>3202</v>
      </c>
      <c r="D1490" s="1" t="str">
        <f>"2330"</f>
        <v>2330</v>
      </c>
      <c r="E1490" s="1" t="s">
        <v>70</v>
      </c>
      <c r="F1490" s="1" t="s">
        <v>71</v>
      </c>
      <c r="G1490" s="1" t="s">
        <v>16</v>
      </c>
      <c r="H1490" s="1" t="str">
        <f>"1"</f>
        <v>1</v>
      </c>
      <c r="I1490" s="2" t="str">
        <f>"79455"</f>
        <v>79455</v>
      </c>
      <c r="J1490" s="3">
        <v>46185</v>
      </c>
      <c r="K1490" s="1" t="s">
        <v>3201</v>
      </c>
    </row>
    <row r="1491" spans="1:11" x14ac:dyDescent="0.35">
      <c r="A1491" s="1" t="s">
        <v>3162</v>
      </c>
      <c r="B1491" s="1" t="s">
        <v>3191</v>
      </c>
      <c r="C1491" s="1" t="s">
        <v>3203</v>
      </c>
      <c r="D1491" s="1" t="str">
        <f>"2330"</f>
        <v>2330</v>
      </c>
      <c r="E1491" s="1" t="s">
        <v>70</v>
      </c>
      <c r="F1491" s="1" t="s">
        <v>71</v>
      </c>
      <c r="G1491" s="1" t="s">
        <v>16</v>
      </c>
      <c r="H1491" s="1" t="str">
        <f>"1"</f>
        <v>1</v>
      </c>
      <c r="I1491" s="2" t="str">
        <f>"5000"</f>
        <v>5000</v>
      </c>
      <c r="J1491" s="3">
        <v>46185</v>
      </c>
      <c r="K1491" s="1" t="s">
        <v>3204</v>
      </c>
    </row>
    <row r="1492" spans="1:11" x14ac:dyDescent="0.35">
      <c r="A1492" s="1" t="s">
        <v>3162</v>
      </c>
      <c r="B1492" s="1" t="s">
        <v>3191</v>
      </c>
      <c r="C1492" s="1" t="s">
        <v>3233</v>
      </c>
      <c r="D1492" s="1" t="str">
        <f>"8465"</f>
        <v>8465</v>
      </c>
      <c r="E1492" s="1" t="s">
        <v>3234</v>
      </c>
      <c r="F1492" s="1" t="s">
        <v>3235</v>
      </c>
      <c r="G1492" s="1" t="s">
        <v>16</v>
      </c>
      <c r="H1492" s="1" t="str">
        <f>"3"</f>
        <v>3</v>
      </c>
      <c r="I1492" s="2" t="str">
        <f>"50"</f>
        <v>50</v>
      </c>
      <c r="J1492" s="3">
        <v>46185</v>
      </c>
      <c r="K1492" s="1" t="s">
        <v>3236</v>
      </c>
    </row>
    <row r="1493" spans="1:11" x14ac:dyDescent="0.35">
      <c r="A1493" s="1" t="s">
        <v>3162</v>
      </c>
      <c r="B1493" s="1" t="s">
        <v>3178</v>
      </c>
      <c r="C1493" s="1" t="s">
        <v>3179</v>
      </c>
      <c r="D1493" s="1" t="str">
        <f>"1005"</f>
        <v>1005</v>
      </c>
      <c r="E1493" s="1" t="str">
        <f>"014534227"</f>
        <v>014534227</v>
      </c>
      <c r="F1493" s="1" t="s">
        <v>3180</v>
      </c>
      <c r="G1493" s="1" t="s">
        <v>16</v>
      </c>
      <c r="H1493" s="1" t="str">
        <f>"1"</f>
        <v>1</v>
      </c>
      <c r="I1493" s="2">
        <v>80.95</v>
      </c>
      <c r="J1493" s="3">
        <v>46190</v>
      </c>
      <c r="K1493" s="1" t="s">
        <v>3181</v>
      </c>
    </row>
    <row r="1494" spans="1:11" x14ac:dyDescent="0.35">
      <c r="A1494" s="1" t="s">
        <v>3162</v>
      </c>
      <c r="B1494" s="1" t="s">
        <v>3178</v>
      </c>
      <c r="C1494" s="1" t="s">
        <v>3182</v>
      </c>
      <c r="D1494" s="1" t="str">
        <f>"1005"</f>
        <v>1005</v>
      </c>
      <c r="E1494" s="1" t="str">
        <f>"015656693"</f>
        <v>015656693</v>
      </c>
      <c r="F1494" s="1" t="s">
        <v>3183</v>
      </c>
      <c r="G1494" s="1" t="s">
        <v>16</v>
      </c>
      <c r="H1494" s="1" t="str">
        <f>"10"</f>
        <v>10</v>
      </c>
      <c r="I1494" s="2">
        <v>49.48</v>
      </c>
      <c r="J1494" s="3">
        <v>46190</v>
      </c>
      <c r="K1494" s="1" t="s">
        <v>3184</v>
      </c>
    </row>
    <row r="1495" spans="1:11" x14ac:dyDescent="0.35">
      <c r="A1495" s="1" t="s">
        <v>3162</v>
      </c>
      <c r="B1495" s="1" t="s">
        <v>3191</v>
      </c>
      <c r="C1495" s="1" t="s">
        <v>3214</v>
      </c>
      <c r="D1495" s="1" t="str">
        <f>"6230"</f>
        <v>6230</v>
      </c>
      <c r="E1495" s="1" t="str">
        <f>"013827265"</f>
        <v>013827265</v>
      </c>
      <c r="F1495" s="1" t="s">
        <v>3215</v>
      </c>
      <c r="G1495" s="1" t="s">
        <v>16</v>
      </c>
      <c r="H1495" s="1" t="str">
        <f>"2"</f>
        <v>2</v>
      </c>
      <c r="I1495" s="2" t="str">
        <f>"18400"</f>
        <v>18400</v>
      </c>
      <c r="J1495" s="3">
        <v>46195</v>
      </c>
      <c r="K1495" s="1" t="s">
        <v>5165</v>
      </c>
    </row>
    <row r="1496" spans="1:11" x14ac:dyDescent="0.35">
      <c r="A1496" s="1" t="s">
        <v>3162</v>
      </c>
      <c r="B1496" s="1" t="s">
        <v>3248</v>
      </c>
      <c r="C1496" s="1" t="s">
        <v>3260</v>
      </c>
      <c r="D1496" s="1" t="str">
        <f>"2420"</f>
        <v>2420</v>
      </c>
      <c r="E1496" s="1" t="s">
        <v>501</v>
      </c>
      <c r="F1496" s="1" t="s">
        <v>502</v>
      </c>
      <c r="G1496" s="1" t="s">
        <v>16</v>
      </c>
      <c r="H1496" s="1" t="str">
        <f>"1"</f>
        <v>1</v>
      </c>
      <c r="I1496" s="2" t="str">
        <f>"25000"</f>
        <v>25000</v>
      </c>
      <c r="J1496" s="3">
        <v>46195</v>
      </c>
      <c r="K1496" s="1" t="s">
        <v>3261</v>
      </c>
    </row>
    <row r="1497" spans="1:11" x14ac:dyDescent="0.35">
      <c r="A1497" s="1" t="s">
        <v>3162</v>
      </c>
      <c r="B1497" s="1" t="s">
        <v>3284</v>
      </c>
      <c r="C1497" s="1" t="s">
        <v>3294</v>
      </c>
      <c r="D1497" s="1" t="str">
        <f>"2340"</f>
        <v>2340</v>
      </c>
      <c r="E1497" s="1" t="s">
        <v>2017</v>
      </c>
      <c r="F1497" s="1" t="s">
        <v>2018</v>
      </c>
      <c r="G1497" s="1" t="s">
        <v>16</v>
      </c>
      <c r="H1497" s="1" t="str">
        <f>"1"</f>
        <v>1</v>
      </c>
      <c r="I1497" s="2" t="str">
        <f>"3938"</f>
        <v>3938</v>
      </c>
      <c r="J1497" s="3">
        <v>46198</v>
      </c>
      <c r="K1497" s="1" t="s">
        <v>3295</v>
      </c>
    </row>
    <row r="1498" spans="1:11" x14ac:dyDescent="0.35">
      <c r="A1498" s="1" t="s">
        <v>3162</v>
      </c>
      <c r="B1498" s="1" t="s">
        <v>3284</v>
      </c>
      <c r="C1498" s="1" t="s">
        <v>3307</v>
      </c>
      <c r="D1498" s="1" t="str">
        <f>"5830"</f>
        <v>5830</v>
      </c>
      <c r="E1498" s="1" t="str">
        <f>"016520929"</f>
        <v>016520929</v>
      </c>
      <c r="F1498" s="1" t="s">
        <v>1767</v>
      </c>
      <c r="G1498" s="1" t="s">
        <v>16</v>
      </c>
      <c r="H1498" s="1" t="str">
        <f>"1"</f>
        <v>1</v>
      </c>
      <c r="I1498" s="2" t="str">
        <f>"25000"</f>
        <v>25000</v>
      </c>
      <c r="J1498" s="3">
        <v>46198</v>
      </c>
      <c r="K1498" s="1" t="s">
        <v>3308</v>
      </c>
    </row>
    <row r="1499" spans="1:11" x14ac:dyDescent="0.35">
      <c r="A1499" s="1" t="s">
        <v>3162</v>
      </c>
      <c r="B1499" s="1" t="s">
        <v>3284</v>
      </c>
      <c r="C1499" s="1" t="s">
        <v>3313</v>
      </c>
      <c r="D1499" s="1" t="str">
        <f>"6230"</f>
        <v>6230</v>
      </c>
      <c r="E1499" s="1" t="s">
        <v>3314</v>
      </c>
      <c r="F1499" s="1" t="s">
        <v>3315</v>
      </c>
      <c r="G1499" s="1" t="s">
        <v>16</v>
      </c>
      <c r="H1499" s="1" t="str">
        <f>"5"</f>
        <v>5</v>
      </c>
      <c r="I1499" s="2">
        <v>5231.62</v>
      </c>
      <c r="J1499" s="3">
        <v>46198</v>
      </c>
      <c r="K1499" s="1" t="s">
        <v>3316</v>
      </c>
    </row>
    <row r="1500" spans="1:11" x14ac:dyDescent="0.35">
      <c r="A1500" s="1" t="s">
        <v>3162</v>
      </c>
      <c r="B1500" s="1" t="s">
        <v>3284</v>
      </c>
      <c r="C1500" s="1" t="s">
        <v>3324</v>
      </c>
      <c r="D1500" s="1" t="str">
        <f>"7810"</f>
        <v>7810</v>
      </c>
      <c r="E1500" s="1" t="str">
        <f>"016219400"</f>
        <v>016219400</v>
      </c>
      <c r="F1500" s="1" t="s">
        <v>1057</v>
      </c>
      <c r="G1500" s="1" t="s">
        <v>16</v>
      </c>
      <c r="H1500" s="1" t="str">
        <f>"2"</f>
        <v>2</v>
      </c>
      <c r="I1500" s="2" t="str">
        <f>"250"</f>
        <v>250</v>
      </c>
      <c r="J1500" s="3">
        <v>46198</v>
      </c>
      <c r="K1500" s="1" t="s">
        <v>3325</v>
      </c>
    </row>
    <row r="1501" spans="1:11" x14ac:dyDescent="0.35">
      <c r="A1501" s="1" t="s">
        <v>3162</v>
      </c>
      <c r="B1501" s="1" t="s">
        <v>3284</v>
      </c>
      <c r="C1501" s="1" t="s">
        <v>3326</v>
      </c>
      <c r="D1501" s="1" t="str">
        <f>"7830"</f>
        <v>7830</v>
      </c>
      <c r="E1501" s="1" t="s">
        <v>1871</v>
      </c>
      <c r="F1501" s="1" t="s">
        <v>1872</v>
      </c>
      <c r="G1501" s="1" t="s">
        <v>16</v>
      </c>
      <c r="H1501" s="1" t="str">
        <f>"1"</f>
        <v>1</v>
      </c>
      <c r="I1501" s="2" t="str">
        <f>"28000"</f>
        <v>28000</v>
      </c>
      <c r="J1501" s="3">
        <v>46198</v>
      </c>
      <c r="K1501" s="1" t="s">
        <v>3327</v>
      </c>
    </row>
    <row r="1502" spans="1:11" x14ac:dyDescent="0.35">
      <c r="A1502" s="1" t="s">
        <v>3162</v>
      </c>
      <c r="B1502" s="1" t="s">
        <v>3163</v>
      </c>
      <c r="C1502" s="1" t="s">
        <v>3169</v>
      </c>
      <c r="D1502" s="1" t="str">
        <f>"3920"</f>
        <v>3920</v>
      </c>
      <c r="E1502" s="1" t="str">
        <f>"016817315"</f>
        <v>016817315</v>
      </c>
      <c r="F1502" s="1" t="s">
        <v>3170</v>
      </c>
      <c r="G1502" s="1" t="s">
        <v>16</v>
      </c>
      <c r="H1502" s="1" t="str">
        <f>"2"</f>
        <v>2</v>
      </c>
      <c r="I1502" s="2">
        <v>3795.95</v>
      </c>
      <c r="J1502" s="3">
        <v>46202</v>
      </c>
      <c r="K1502" s="1" t="s">
        <v>3171</v>
      </c>
    </row>
    <row r="1503" spans="1:11" x14ac:dyDescent="0.35">
      <c r="A1503" s="1" t="s">
        <v>3162</v>
      </c>
      <c r="B1503" s="1" t="s">
        <v>3362</v>
      </c>
      <c r="C1503" s="1" t="s">
        <v>3367</v>
      </c>
      <c r="D1503" s="1" t="str">
        <f>"2340"</f>
        <v>2340</v>
      </c>
      <c r="E1503" s="1" t="s">
        <v>535</v>
      </c>
      <c r="F1503" s="1" t="s">
        <v>536</v>
      </c>
      <c r="G1503" s="1" t="s">
        <v>16</v>
      </c>
      <c r="H1503" s="1" t="str">
        <f>"1"</f>
        <v>1</v>
      </c>
      <c r="I1503" s="2" t="str">
        <f>"7500"</f>
        <v>7500</v>
      </c>
      <c r="J1503" s="3">
        <v>46202</v>
      </c>
      <c r="K1503" s="1" t="s">
        <v>3368</v>
      </c>
    </row>
    <row r="1504" spans="1:11" x14ac:dyDescent="0.35">
      <c r="A1504" s="1" t="s">
        <v>3162</v>
      </c>
      <c r="B1504" s="1" t="s">
        <v>3375</v>
      </c>
      <c r="C1504" s="1" t="s">
        <v>3376</v>
      </c>
      <c r="D1504" s="1" t="str">
        <f>"2330"</f>
        <v>2330</v>
      </c>
      <c r="E1504" s="1" t="str">
        <f>"013875443"</f>
        <v>013875443</v>
      </c>
      <c r="F1504" s="1" t="s">
        <v>979</v>
      </c>
      <c r="G1504" s="1" t="s">
        <v>16</v>
      </c>
      <c r="H1504" s="1" t="str">
        <f>"1"</f>
        <v>1</v>
      </c>
      <c r="I1504" s="2" t="str">
        <f>"9535"</f>
        <v>9535</v>
      </c>
      <c r="J1504" s="3">
        <v>46202</v>
      </c>
      <c r="K1504" s="1" t="s">
        <v>3377</v>
      </c>
    </row>
    <row r="1505" spans="1:11" x14ac:dyDescent="0.35">
      <c r="A1505" s="1" t="s">
        <v>3162</v>
      </c>
      <c r="B1505" s="1" t="s">
        <v>3375</v>
      </c>
      <c r="C1505" s="1" t="s">
        <v>3380</v>
      </c>
      <c r="D1505" s="1" t="str">
        <f>"2340"</f>
        <v>2340</v>
      </c>
      <c r="E1505" s="1" t="s">
        <v>2017</v>
      </c>
      <c r="F1505" s="1" t="s">
        <v>2018</v>
      </c>
      <c r="G1505" s="1" t="s">
        <v>16</v>
      </c>
      <c r="H1505" s="1" t="str">
        <f>"1"</f>
        <v>1</v>
      </c>
      <c r="I1505" s="2" t="str">
        <f>"3938"</f>
        <v>3938</v>
      </c>
      <c r="J1505" s="3">
        <v>46202</v>
      </c>
      <c r="K1505" s="1" t="s">
        <v>3381</v>
      </c>
    </row>
    <row r="1506" spans="1:11" x14ac:dyDescent="0.35">
      <c r="A1506" s="1" t="s">
        <v>3162</v>
      </c>
      <c r="B1506" s="1" t="s">
        <v>3375</v>
      </c>
      <c r="C1506" s="1" t="s">
        <v>3384</v>
      </c>
      <c r="D1506" s="1" t="str">
        <f>"2340"</f>
        <v>2340</v>
      </c>
      <c r="E1506" s="1" t="s">
        <v>2017</v>
      </c>
      <c r="F1506" s="1" t="s">
        <v>2018</v>
      </c>
      <c r="G1506" s="1" t="s">
        <v>16</v>
      </c>
      <c r="H1506" s="1" t="str">
        <f>"1"</f>
        <v>1</v>
      </c>
      <c r="I1506" s="2" t="str">
        <f>"3938"</f>
        <v>3938</v>
      </c>
      <c r="J1506" s="3">
        <v>46202</v>
      </c>
      <c r="K1506" s="1" t="s">
        <v>3385</v>
      </c>
    </row>
    <row r="1507" spans="1:11" x14ac:dyDescent="0.35">
      <c r="A1507" s="1" t="s">
        <v>3162</v>
      </c>
      <c r="B1507" s="1" t="s">
        <v>3375</v>
      </c>
      <c r="C1507" s="1" t="s">
        <v>3386</v>
      </c>
      <c r="D1507" s="1" t="str">
        <f>"2340"</f>
        <v>2340</v>
      </c>
      <c r="E1507" s="1" t="s">
        <v>2017</v>
      </c>
      <c r="F1507" s="1" t="s">
        <v>2018</v>
      </c>
      <c r="G1507" s="1" t="s">
        <v>16</v>
      </c>
      <c r="H1507" s="1" t="str">
        <f>"1"</f>
        <v>1</v>
      </c>
      <c r="I1507" s="2" t="str">
        <f>"3938"</f>
        <v>3938</v>
      </c>
      <c r="J1507" s="3">
        <v>46202</v>
      </c>
      <c r="K1507" s="1" t="s">
        <v>3385</v>
      </c>
    </row>
    <row r="1508" spans="1:11" x14ac:dyDescent="0.35">
      <c r="A1508" s="1" t="s">
        <v>3162</v>
      </c>
      <c r="B1508" s="1" t="s">
        <v>3375</v>
      </c>
      <c r="C1508" s="1" t="s">
        <v>3389</v>
      </c>
      <c r="D1508" s="1" t="str">
        <f>"5120"</f>
        <v>5120</v>
      </c>
      <c r="E1508" s="1" t="s">
        <v>576</v>
      </c>
      <c r="F1508" s="1" t="s">
        <v>577</v>
      </c>
      <c r="G1508" s="1" t="s">
        <v>16</v>
      </c>
      <c r="H1508" s="1" t="str">
        <f>"10"</f>
        <v>10</v>
      </c>
      <c r="I1508" s="2" t="str">
        <f>"16240"</f>
        <v>16240</v>
      </c>
      <c r="J1508" s="3">
        <v>46202</v>
      </c>
      <c r="K1508" s="1" t="s">
        <v>3390</v>
      </c>
    </row>
    <row r="1509" spans="1:11" x14ac:dyDescent="0.35">
      <c r="A1509" s="1" t="s">
        <v>3162</v>
      </c>
      <c r="B1509" s="1" t="s">
        <v>3375</v>
      </c>
      <c r="C1509" s="1" t="s">
        <v>3391</v>
      </c>
      <c r="D1509" s="1" t="str">
        <f>"5130"</f>
        <v>5130</v>
      </c>
      <c r="E1509" s="1" t="s">
        <v>744</v>
      </c>
      <c r="F1509" s="1" t="s">
        <v>745</v>
      </c>
      <c r="G1509" s="1" t="s">
        <v>16</v>
      </c>
      <c r="H1509" s="1" t="str">
        <f>"7"</f>
        <v>7</v>
      </c>
      <c r="I1509" s="2" t="str">
        <f>"25"</f>
        <v>25</v>
      </c>
      <c r="J1509" s="3">
        <v>46202</v>
      </c>
      <c r="K1509" s="1" t="s">
        <v>3392</v>
      </c>
    </row>
    <row r="1510" spans="1:11" x14ac:dyDescent="0.35">
      <c r="A1510" s="1" t="s">
        <v>3162</v>
      </c>
      <c r="B1510" s="1" t="s">
        <v>3375</v>
      </c>
      <c r="C1510" s="1" t="s">
        <v>3393</v>
      </c>
      <c r="D1510" s="1" t="str">
        <f>"5130"</f>
        <v>5130</v>
      </c>
      <c r="E1510" s="1" t="s">
        <v>744</v>
      </c>
      <c r="F1510" s="1" t="s">
        <v>745</v>
      </c>
      <c r="G1510" s="1" t="s">
        <v>16</v>
      </c>
      <c r="H1510" s="1" t="str">
        <f>"8"</f>
        <v>8</v>
      </c>
      <c r="I1510" s="2">
        <v>112.36</v>
      </c>
      <c r="J1510" s="3">
        <v>46202</v>
      </c>
      <c r="K1510" s="1" t="s">
        <v>3392</v>
      </c>
    </row>
    <row r="1511" spans="1:11" x14ac:dyDescent="0.35">
      <c r="A1511" s="1" t="s">
        <v>3162</v>
      </c>
      <c r="B1511" s="1" t="s">
        <v>3375</v>
      </c>
      <c r="C1511" s="1" t="s">
        <v>3394</v>
      </c>
      <c r="D1511" s="1" t="str">
        <f>"6115"</f>
        <v>6115</v>
      </c>
      <c r="E1511" s="1" t="str">
        <f>"013199033"</f>
        <v>013199033</v>
      </c>
      <c r="F1511" s="1" t="s">
        <v>224</v>
      </c>
      <c r="G1511" s="1" t="s">
        <v>16</v>
      </c>
      <c r="H1511" s="1" t="str">
        <f>"1"</f>
        <v>1</v>
      </c>
      <c r="I1511" s="2" t="str">
        <f>"18183"</f>
        <v>18183</v>
      </c>
      <c r="J1511" s="3">
        <v>46202</v>
      </c>
      <c r="K1511" s="1" t="s">
        <v>3395</v>
      </c>
    </row>
    <row r="1512" spans="1:11" x14ac:dyDescent="0.35">
      <c r="A1512" s="1" t="s">
        <v>3473</v>
      </c>
      <c r="B1512" s="1" t="s">
        <v>3612</v>
      </c>
      <c r="C1512" s="1" t="s">
        <v>3615</v>
      </c>
      <c r="D1512" s="1" t="str">
        <f>"7830"</f>
        <v>7830</v>
      </c>
      <c r="E1512" s="1" t="s">
        <v>3616</v>
      </c>
      <c r="F1512" s="1" t="s">
        <v>3617</v>
      </c>
      <c r="G1512" s="1" t="s">
        <v>16</v>
      </c>
      <c r="H1512" s="1" t="str">
        <f>"1"</f>
        <v>1</v>
      </c>
      <c r="I1512" s="2" t="str">
        <f>"12750"</f>
        <v>12750</v>
      </c>
      <c r="J1512" s="3">
        <v>46126</v>
      </c>
      <c r="K1512" s="1" t="s">
        <v>3618</v>
      </c>
    </row>
    <row r="1513" spans="1:11" x14ac:dyDescent="0.35">
      <c r="A1513" s="1" t="s">
        <v>3473</v>
      </c>
      <c r="B1513" s="1" t="s">
        <v>3612</v>
      </c>
      <c r="C1513" s="1" t="s">
        <v>3613</v>
      </c>
      <c r="D1513" s="1" t="str">
        <f>"2610"</f>
        <v>2610</v>
      </c>
      <c r="E1513" s="1" t="str">
        <f>"015592516"</f>
        <v>015592516</v>
      </c>
      <c r="F1513" s="1" t="s">
        <v>466</v>
      </c>
      <c r="G1513" s="1" t="s">
        <v>16</v>
      </c>
      <c r="H1513" s="1" t="str">
        <f>"6"</f>
        <v>6</v>
      </c>
      <c r="I1513" s="2">
        <v>1855.92</v>
      </c>
      <c r="J1513" s="3">
        <v>46127</v>
      </c>
      <c r="K1513" s="1" t="s">
        <v>3614</v>
      </c>
    </row>
    <row r="1514" spans="1:11" x14ac:dyDescent="0.35">
      <c r="A1514" s="1" t="s">
        <v>3473</v>
      </c>
      <c r="B1514" s="1" t="s">
        <v>3474</v>
      </c>
      <c r="C1514" s="1" t="s">
        <v>3488</v>
      </c>
      <c r="D1514" s="1" t="str">
        <f>"2320"</f>
        <v>2320</v>
      </c>
      <c r="E1514" s="1" t="str">
        <f>"014846748"</f>
        <v>014846748</v>
      </c>
      <c r="F1514" s="1" t="s">
        <v>271</v>
      </c>
      <c r="G1514" s="1" t="s">
        <v>16</v>
      </c>
      <c r="H1514" s="1" t="str">
        <f>"1"</f>
        <v>1</v>
      </c>
      <c r="I1514" s="2" t="str">
        <f>"27234"</f>
        <v>27234</v>
      </c>
      <c r="J1514" s="3">
        <v>46129</v>
      </c>
      <c r="K1514" s="1" t="s">
        <v>3489</v>
      </c>
    </row>
    <row r="1515" spans="1:11" x14ac:dyDescent="0.35">
      <c r="A1515" s="1" t="s">
        <v>3473</v>
      </c>
      <c r="B1515" s="1" t="s">
        <v>3474</v>
      </c>
      <c r="C1515" s="1" t="s">
        <v>3494</v>
      </c>
      <c r="D1515" s="1" t="str">
        <f>"3895"</f>
        <v>3895</v>
      </c>
      <c r="E1515" s="1" t="s">
        <v>107</v>
      </c>
      <c r="F1515" s="1" t="s">
        <v>108</v>
      </c>
      <c r="G1515" s="1" t="s">
        <v>16</v>
      </c>
      <c r="H1515" s="1" t="str">
        <f>"1"</f>
        <v>1</v>
      </c>
      <c r="I1515" s="2" t="str">
        <f>"72007"</f>
        <v>72007</v>
      </c>
      <c r="J1515" s="3">
        <v>46129</v>
      </c>
      <c r="K1515" s="1" t="s">
        <v>3495</v>
      </c>
    </row>
    <row r="1516" spans="1:11" x14ac:dyDescent="0.35">
      <c r="A1516" s="1" t="s">
        <v>3473</v>
      </c>
      <c r="B1516" s="1" t="s">
        <v>3474</v>
      </c>
      <c r="C1516" s="1" t="s">
        <v>3532</v>
      </c>
      <c r="D1516" s="1" t="str">
        <f>"6695"</f>
        <v>6695</v>
      </c>
      <c r="E1516" s="1" t="str">
        <f>"014320311"</f>
        <v>014320311</v>
      </c>
      <c r="F1516" s="1" t="s">
        <v>3533</v>
      </c>
      <c r="G1516" s="1" t="s">
        <v>16</v>
      </c>
      <c r="H1516" s="1" t="str">
        <f>"4"</f>
        <v>4</v>
      </c>
      <c r="I1516" s="2" t="str">
        <f>"950"</f>
        <v>950</v>
      </c>
      <c r="J1516" s="3">
        <v>46129</v>
      </c>
      <c r="K1516" s="1" t="s">
        <v>3534</v>
      </c>
    </row>
    <row r="1517" spans="1:11" x14ac:dyDescent="0.35">
      <c r="A1517" s="1" t="s">
        <v>3473</v>
      </c>
      <c r="B1517" s="1" t="s">
        <v>3474</v>
      </c>
      <c r="C1517" s="1" t="s">
        <v>3578</v>
      </c>
      <c r="D1517" s="1" t="str">
        <f>"8465"</f>
        <v>8465</v>
      </c>
      <c r="E1517" s="1" t="str">
        <f>"015247263"</f>
        <v>015247263</v>
      </c>
      <c r="F1517" s="1" t="s">
        <v>2866</v>
      </c>
      <c r="G1517" s="1" t="s">
        <v>16</v>
      </c>
      <c r="H1517" s="1" t="str">
        <f>"14"</f>
        <v>14</v>
      </c>
      <c r="I1517" s="2">
        <v>17.5</v>
      </c>
      <c r="J1517" s="3">
        <v>46129</v>
      </c>
      <c r="K1517" s="1" t="s">
        <v>3579</v>
      </c>
    </row>
    <row r="1518" spans="1:11" x14ac:dyDescent="0.35">
      <c r="A1518" s="1" t="s">
        <v>3473</v>
      </c>
      <c r="B1518" s="1" t="s">
        <v>3474</v>
      </c>
      <c r="C1518" s="1" t="s">
        <v>3580</v>
      </c>
      <c r="D1518" s="1" t="str">
        <f>"8465"</f>
        <v>8465</v>
      </c>
      <c r="E1518" s="1" t="str">
        <f>"016418924"</f>
        <v>016418924</v>
      </c>
      <c r="F1518" s="1" t="s">
        <v>57</v>
      </c>
      <c r="G1518" s="1" t="s">
        <v>16</v>
      </c>
      <c r="H1518" s="1" t="str">
        <f>"8"</f>
        <v>8</v>
      </c>
      <c r="I1518" s="2">
        <v>37.9</v>
      </c>
      <c r="J1518" s="3">
        <v>46129</v>
      </c>
      <c r="K1518" s="1" t="s">
        <v>3581</v>
      </c>
    </row>
    <row r="1519" spans="1:11" x14ac:dyDescent="0.35">
      <c r="A1519" s="1" t="s">
        <v>3473</v>
      </c>
      <c r="B1519" s="1" t="s">
        <v>3474</v>
      </c>
      <c r="C1519" s="1" t="s">
        <v>3582</v>
      </c>
      <c r="D1519" s="1" t="str">
        <f>"8465"</f>
        <v>8465</v>
      </c>
      <c r="E1519" s="1" t="str">
        <f>"015247226"</f>
        <v>015247226</v>
      </c>
      <c r="F1519" s="1" t="s">
        <v>1253</v>
      </c>
      <c r="G1519" s="1" t="s">
        <v>16</v>
      </c>
      <c r="H1519" s="1" t="str">
        <f>"50"</f>
        <v>50</v>
      </c>
      <c r="I1519" s="2">
        <v>11.72</v>
      </c>
      <c r="J1519" s="3">
        <v>46129</v>
      </c>
      <c r="K1519" s="1" t="s">
        <v>3583</v>
      </c>
    </row>
    <row r="1520" spans="1:11" x14ac:dyDescent="0.35">
      <c r="A1520" s="1" t="s">
        <v>3473</v>
      </c>
      <c r="B1520" s="1" t="s">
        <v>3474</v>
      </c>
      <c r="C1520" s="1" t="s">
        <v>3584</v>
      </c>
      <c r="D1520" s="1" t="str">
        <f>"8465"</f>
        <v>8465</v>
      </c>
      <c r="E1520" s="1" t="str">
        <f>"015245285"</f>
        <v>015245285</v>
      </c>
      <c r="F1520" s="1" t="s">
        <v>2512</v>
      </c>
      <c r="G1520" s="1" t="s">
        <v>16</v>
      </c>
      <c r="H1520" s="1" t="str">
        <f>"14"</f>
        <v>14</v>
      </c>
      <c r="I1520" s="2" t="str">
        <f>"81"</f>
        <v>81</v>
      </c>
      <c r="J1520" s="3">
        <v>46129</v>
      </c>
      <c r="K1520" s="1" t="s">
        <v>3585</v>
      </c>
    </row>
    <row r="1521" spans="1:11" x14ac:dyDescent="0.35">
      <c r="A1521" s="1" t="s">
        <v>3473</v>
      </c>
      <c r="B1521" s="1" t="s">
        <v>3474</v>
      </c>
      <c r="C1521" s="1" t="s">
        <v>3586</v>
      </c>
      <c r="D1521" s="1" t="str">
        <f>"8465"</f>
        <v>8465</v>
      </c>
      <c r="E1521" s="1" t="str">
        <f>"015247324"</f>
        <v>015247324</v>
      </c>
      <c r="F1521" s="1" t="s">
        <v>3587</v>
      </c>
      <c r="G1521" s="1" t="s">
        <v>16</v>
      </c>
      <c r="H1521" s="1" t="str">
        <f>"14"</f>
        <v>14</v>
      </c>
      <c r="I1521" s="2">
        <v>5.25</v>
      </c>
      <c r="J1521" s="3">
        <v>46129</v>
      </c>
      <c r="K1521" s="1" t="s">
        <v>3588</v>
      </c>
    </row>
    <row r="1522" spans="1:11" x14ac:dyDescent="0.35">
      <c r="A1522" s="1" t="s">
        <v>3473</v>
      </c>
      <c r="B1522" s="1" t="s">
        <v>3474</v>
      </c>
      <c r="C1522" s="1" t="s">
        <v>3589</v>
      </c>
      <c r="D1522" s="1" t="str">
        <f>"8465"</f>
        <v>8465</v>
      </c>
      <c r="E1522" s="1" t="str">
        <f>"015196440"</f>
        <v>015196440</v>
      </c>
      <c r="F1522" s="1" t="s">
        <v>3590</v>
      </c>
      <c r="G1522" s="1" t="s">
        <v>16</v>
      </c>
      <c r="H1522" s="1" t="str">
        <f>"10"</f>
        <v>10</v>
      </c>
      <c r="I1522" s="2">
        <v>27.59</v>
      </c>
      <c r="J1522" s="3">
        <v>46129</v>
      </c>
      <c r="K1522" s="1" t="s">
        <v>3591</v>
      </c>
    </row>
    <row r="1523" spans="1:11" x14ac:dyDescent="0.35">
      <c r="A1523" s="1" t="s">
        <v>3473</v>
      </c>
      <c r="B1523" s="1" t="s">
        <v>3474</v>
      </c>
      <c r="C1523" s="1" t="s">
        <v>3592</v>
      </c>
      <c r="D1523" s="1" t="str">
        <f>"8465"</f>
        <v>8465</v>
      </c>
      <c r="E1523" s="1" t="str">
        <f>"015250577"</f>
        <v>015250577</v>
      </c>
      <c r="F1523" s="1" t="s">
        <v>3593</v>
      </c>
      <c r="G1523" s="1" t="s">
        <v>16</v>
      </c>
      <c r="H1523" s="1" t="str">
        <f>"14"</f>
        <v>14</v>
      </c>
      <c r="I1523" s="2">
        <v>42.36</v>
      </c>
      <c r="J1523" s="3">
        <v>46129</v>
      </c>
      <c r="K1523" s="1" t="s">
        <v>3594</v>
      </c>
    </row>
    <row r="1524" spans="1:11" x14ac:dyDescent="0.35">
      <c r="A1524" s="1" t="s">
        <v>3473</v>
      </c>
      <c r="B1524" s="1" t="s">
        <v>3474</v>
      </c>
      <c r="C1524" s="1" t="s">
        <v>3595</v>
      </c>
      <c r="D1524" s="1" t="str">
        <f>"8465"</f>
        <v>8465</v>
      </c>
      <c r="E1524" s="1" t="str">
        <f>"015801303"</f>
        <v>015801303</v>
      </c>
      <c r="F1524" s="1" t="s">
        <v>51</v>
      </c>
      <c r="G1524" s="1" t="s">
        <v>16</v>
      </c>
      <c r="H1524" s="1" t="str">
        <f>"14"</f>
        <v>14</v>
      </c>
      <c r="I1524" s="2">
        <v>19.87</v>
      </c>
      <c r="J1524" s="3">
        <v>46129</v>
      </c>
      <c r="K1524" s="1" t="s">
        <v>3596</v>
      </c>
    </row>
    <row r="1525" spans="1:11" x14ac:dyDescent="0.35">
      <c r="A1525" s="1" t="s">
        <v>3473</v>
      </c>
      <c r="B1525" s="1" t="s">
        <v>3474</v>
      </c>
      <c r="C1525" s="1" t="s">
        <v>3597</v>
      </c>
      <c r="D1525" s="1" t="str">
        <f>"8465"</f>
        <v>8465</v>
      </c>
      <c r="E1525" s="1" t="str">
        <f>"016733449"</f>
        <v>016733449</v>
      </c>
      <c r="F1525" s="1" t="s">
        <v>1265</v>
      </c>
      <c r="G1525" s="1" t="s">
        <v>16</v>
      </c>
      <c r="H1525" s="1" t="str">
        <f>"14"</f>
        <v>14</v>
      </c>
      <c r="I1525" s="2">
        <v>19.97</v>
      </c>
      <c r="J1525" s="3">
        <v>46129</v>
      </c>
      <c r="K1525" s="1" t="s">
        <v>3598</v>
      </c>
    </row>
    <row r="1526" spans="1:11" x14ac:dyDescent="0.35">
      <c r="A1526" s="1" t="s">
        <v>3473</v>
      </c>
      <c r="B1526" s="1" t="s">
        <v>3474</v>
      </c>
      <c r="C1526" s="1" t="s">
        <v>3599</v>
      </c>
      <c r="D1526" s="1" t="str">
        <f>"8465"</f>
        <v>8465</v>
      </c>
      <c r="E1526" s="1" t="str">
        <f>"015247309"</f>
        <v>015247309</v>
      </c>
      <c r="F1526" s="1" t="s">
        <v>3600</v>
      </c>
      <c r="G1526" s="1" t="s">
        <v>16</v>
      </c>
      <c r="H1526" s="1" t="str">
        <f>"14"</f>
        <v>14</v>
      </c>
      <c r="I1526" s="2">
        <v>11.19</v>
      </c>
      <c r="J1526" s="3">
        <v>46129</v>
      </c>
      <c r="K1526" s="1" t="s">
        <v>3601</v>
      </c>
    </row>
    <row r="1527" spans="1:11" x14ac:dyDescent="0.35">
      <c r="A1527" s="1" t="s">
        <v>3473</v>
      </c>
      <c r="B1527" s="1" t="s">
        <v>3474</v>
      </c>
      <c r="C1527" s="1" t="s">
        <v>3602</v>
      </c>
      <c r="D1527" s="1" t="str">
        <f>"8465"</f>
        <v>8465</v>
      </c>
      <c r="E1527" s="1" t="str">
        <f>"015245250"</f>
        <v>015245250</v>
      </c>
      <c r="F1527" s="1" t="s">
        <v>529</v>
      </c>
      <c r="G1527" s="1" t="s">
        <v>16</v>
      </c>
      <c r="H1527" s="1" t="str">
        <f>"14"</f>
        <v>14</v>
      </c>
      <c r="I1527" s="2">
        <v>75.150000000000006</v>
      </c>
      <c r="J1527" s="3">
        <v>46129</v>
      </c>
      <c r="K1527" s="1" t="s">
        <v>3603</v>
      </c>
    </row>
    <row r="1528" spans="1:11" x14ac:dyDescent="0.35">
      <c r="A1528" s="1" t="s">
        <v>3473</v>
      </c>
      <c r="B1528" s="1" t="s">
        <v>3474</v>
      </c>
      <c r="C1528" s="1" t="s">
        <v>3604</v>
      </c>
      <c r="D1528" s="1" t="str">
        <f>"8465"</f>
        <v>8465</v>
      </c>
      <c r="E1528" s="1" t="str">
        <f>"015802756"</f>
        <v>015802756</v>
      </c>
      <c r="F1528" s="1" t="s">
        <v>3605</v>
      </c>
      <c r="G1528" s="1" t="s">
        <v>16</v>
      </c>
      <c r="H1528" s="1" t="str">
        <f>"21"</f>
        <v>21</v>
      </c>
      <c r="I1528" s="2">
        <v>3.55</v>
      </c>
      <c r="J1528" s="3">
        <v>46129</v>
      </c>
      <c r="K1528" s="1" t="s">
        <v>3606</v>
      </c>
    </row>
    <row r="1529" spans="1:11" x14ac:dyDescent="0.35">
      <c r="A1529" s="1" t="s">
        <v>3473</v>
      </c>
      <c r="B1529" s="1" t="s">
        <v>3474</v>
      </c>
      <c r="C1529" s="1" t="s">
        <v>3609</v>
      </c>
      <c r="D1529" s="1" t="str">
        <f>"8465"</f>
        <v>8465</v>
      </c>
      <c r="E1529" s="1" t="str">
        <f>"016733400"</f>
        <v>016733400</v>
      </c>
      <c r="F1529" s="1" t="s">
        <v>3610</v>
      </c>
      <c r="G1529" s="1" t="s">
        <v>16</v>
      </c>
      <c r="H1529" s="1" t="str">
        <f>"5"</f>
        <v>5</v>
      </c>
      <c r="I1529" s="2">
        <v>45.18</v>
      </c>
      <c r="J1529" s="3">
        <v>46129</v>
      </c>
      <c r="K1529" s="1" t="s">
        <v>3611</v>
      </c>
    </row>
    <row r="1530" spans="1:11" x14ac:dyDescent="0.35">
      <c r="A1530" s="1" t="s">
        <v>3473</v>
      </c>
      <c r="B1530" s="1" t="s">
        <v>3474</v>
      </c>
      <c r="C1530" s="1" t="s">
        <v>3475</v>
      </c>
      <c r="D1530" s="1" t="str">
        <f>"1095"</f>
        <v>1095</v>
      </c>
      <c r="E1530" s="1" t="str">
        <f>"004070674"</f>
        <v>004070674</v>
      </c>
      <c r="F1530" s="1" t="s">
        <v>2010</v>
      </c>
      <c r="G1530" s="1" t="s">
        <v>16</v>
      </c>
      <c r="H1530" s="1" t="str">
        <f>"14"</f>
        <v>14</v>
      </c>
      <c r="I1530" s="2">
        <v>1098.96</v>
      </c>
      <c r="J1530" s="3">
        <v>46133</v>
      </c>
      <c r="K1530" s="1" t="s">
        <v>3476</v>
      </c>
    </row>
    <row r="1531" spans="1:11" x14ac:dyDescent="0.35">
      <c r="A1531" s="1" t="s">
        <v>3473</v>
      </c>
      <c r="B1531" s="1" t="s">
        <v>3474</v>
      </c>
      <c r="C1531" s="1" t="s">
        <v>3481</v>
      </c>
      <c r="D1531" s="1" t="str">
        <f>"1095"</f>
        <v>1095</v>
      </c>
      <c r="E1531" s="1" t="str">
        <f>"015717342"</f>
        <v>015717342</v>
      </c>
      <c r="F1531" s="1" t="s">
        <v>3286</v>
      </c>
      <c r="G1531" s="1" t="s">
        <v>16</v>
      </c>
      <c r="H1531" s="1" t="str">
        <f>"1"</f>
        <v>1</v>
      </c>
      <c r="I1531" s="2">
        <v>1316.35</v>
      </c>
      <c r="J1531" s="3">
        <v>46133</v>
      </c>
      <c r="K1531" s="1" t="s">
        <v>3482</v>
      </c>
    </row>
    <row r="1532" spans="1:11" x14ac:dyDescent="0.35">
      <c r="A1532" s="1" t="s">
        <v>3473</v>
      </c>
      <c r="B1532" s="1" t="s">
        <v>3474</v>
      </c>
      <c r="C1532" s="1" t="s">
        <v>3505</v>
      </c>
      <c r="D1532" s="1" t="str">
        <f>"4240"</f>
        <v>4240</v>
      </c>
      <c r="E1532" s="1" t="str">
        <f>"017092183"</f>
        <v>017092183</v>
      </c>
      <c r="F1532" s="1" t="s">
        <v>3506</v>
      </c>
      <c r="G1532" s="1" t="s">
        <v>16</v>
      </c>
      <c r="H1532" s="1" t="str">
        <f>"12"</f>
        <v>12</v>
      </c>
      <c r="I1532" s="2">
        <v>245.73</v>
      </c>
      <c r="J1532" s="3">
        <v>46133</v>
      </c>
      <c r="K1532" s="1" t="s">
        <v>3507</v>
      </c>
    </row>
    <row r="1533" spans="1:11" x14ac:dyDescent="0.35">
      <c r="A1533" s="1" t="s">
        <v>3473</v>
      </c>
      <c r="B1533" s="1" t="s">
        <v>3474</v>
      </c>
      <c r="C1533" s="1" t="s">
        <v>3528</v>
      </c>
      <c r="D1533" s="1" t="str">
        <f>"6650"</f>
        <v>6650</v>
      </c>
      <c r="E1533" s="1" t="s">
        <v>3529</v>
      </c>
      <c r="F1533" s="1" t="s">
        <v>3530</v>
      </c>
      <c r="G1533" s="1" t="s">
        <v>16</v>
      </c>
      <c r="H1533" s="1" t="str">
        <f>"1"</f>
        <v>1</v>
      </c>
      <c r="I1533" s="2" t="str">
        <f>"13545"</f>
        <v>13545</v>
      </c>
      <c r="J1533" s="3">
        <v>46133</v>
      </c>
      <c r="K1533" s="1" t="s">
        <v>3531</v>
      </c>
    </row>
    <row r="1534" spans="1:11" x14ac:dyDescent="0.35">
      <c r="A1534" s="1" t="s">
        <v>3473</v>
      </c>
      <c r="B1534" s="1" t="s">
        <v>3474</v>
      </c>
      <c r="C1534" s="1" t="s">
        <v>3542</v>
      </c>
      <c r="D1534" s="1" t="str">
        <f>"6920"</f>
        <v>6920</v>
      </c>
      <c r="E1534" s="1" t="s">
        <v>3539</v>
      </c>
      <c r="F1534" s="1" t="s">
        <v>3540</v>
      </c>
      <c r="G1534" s="1" t="s">
        <v>16</v>
      </c>
      <c r="H1534" s="1" t="str">
        <f>"1"</f>
        <v>1</v>
      </c>
      <c r="I1534" s="2">
        <v>2499.9899999999998</v>
      </c>
      <c r="J1534" s="3">
        <v>46133</v>
      </c>
      <c r="K1534" s="1" t="s">
        <v>3543</v>
      </c>
    </row>
    <row r="1535" spans="1:11" x14ac:dyDescent="0.35">
      <c r="A1535" s="1" t="s">
        <v>3473</v>
      </c>
      <c r="B1535" s="1" t="s">
        <v>3474</v>
      </c>
      <c r="C1535" s="1" t="s">
        <v>3545</v>
      </c>
      <c r="D1535" s="1" t="str">
        <f>"6930"</f>
        <v>6930</v>
      </c>
      <c r="E1535" s="1" t="s">
        <v>3546</v>
      </c>
      <c r="F1535" s="1" t="s">
        <v>3547</v>
      </c>
      <c r="G1535" s="1" t="s">
        <v>16</v>
      </c>
      <c r="H1535" s="1" t="str">
        <f>"1"</f>
        <v>1</v>
      </c>
      <c r="I1535" s="2" t="str">
        <f>"5000"</f>
        <v>5000</v>
      </c>
      <c r="J1535" s="3">
        <v>46133</v>
      </c>
      <c r="K1535" s="1" t="s">
        <v>3548</v>
      </c>
    </row>
    <row r="1536" spans="1:11" x14ac:dyDescent="0.35">
      <c r="A1536" s="1" t="s">
        <v>3473</v>
      </c>
      <c r="B1536" s="1" t="s">
        <v>3474</v>
      </c>
      <c r="C1536" s="1" t="s">
        <v>3549</v>
      </c>
      <c r="D1536" s="1" t="str">
        <f>"6930"</f>
        <v>6930</v>
      </c>
      <c r="E1536" s="1" t="s">
        <v>3546</v>
      </c>
      <c r="F1536" s="1" t="s">
        <v>3547</v>
      </c>
      <c r="G1536" s="1" t="s">
        <v>16</v>
      </c>
      <c r="H1536" s="1" t="str">
        <f>"1"</f>
        <v>1</v>
      </c>
      <c r="I1536" s="2" t="str">
        <f>"5000"</f>
        <v>5000</v>
      </c>
      <c r="J1536" s="3">
        <v>46133</v>
      </c>
      <c r="K1536" s="1" t="s">
        <v>3548</v>
      </c>
    </row>
    <row r="1537" spans="1:11" x14ac:dyDescent="0.35">
      <c r="A1537" s="1" t="s">
        <v>3473</v>
      </c>
      <c r="B1537" s="1" t="s">
        <v>3474</v>
      </c>
      <c r="C1537" s="1" t="s">
        <v>3550</v>
      </c>
      <c r="D1537" s="1" t="str">
        <f>"6930"</f>
        <v>6930</v>
      </c>
      <c r="E1537" s="1" t="s">
        <v>3546</v>
      </c>
      <c r="F1537" s="1" t="s">
        <v>3547</v>
      </c>
      <c r="G1537" s="1" t="s">
        <v>16</v>
      </c>
      <c r="H1537" s="1" t="str">
        <f>"1"</f>
        <v>1</v>
      </c>
      <c r="I1537" s="2" t="str">
        <f>"5000"</f>
        <v>5000</v>
      </c>
      <c r="J1537" s="3">
        <v>46133</v>
      </c>
      <c r="K1537" s="1" t="s">
        <v>3548</v>
      </c>
    </row>
    <row r="1538" spans="1:11" x14ac:dyDescent="0.35">
      <c r="A1538" s="1" t="s">
        <v>3473</v>
      </c>
      <c r="B1538" s="1" t="s">
        <v>3474</v>
      </c>
      <c r="C1538" s="1" t="s">
        <v>3514</v>
      </c>
      <c r="D1538" s="1" t="str">
        <f>"5410"</f>
        <v>5410</v>
      </c>
      <c r="E1538" s="1" t="str">
        <f>"015197185"</f>
        <v>015197185</v>
      </c>
      <c r="F1538" s="1" t="s">
        <v>3515</v>
      </c>
      <c r="G1538" s="1" t="s">
        <v>16</v>
      </c>
      <c r="H1538" s="1" t="str">
        <f>"2"</f>
        <v>2</v>
      </c>
      <c r="I1538" s="2">
        <v>3831.66</v>
      </c>
      <c r="J1538" s="3">
        <v>46140</v>
      </c>
      <c r="K1538" s="1" t="s">
        <v>3516</v>
      </c>
    </row>
    <row r="1539" spans="1:11" x14ac:dyDescent="0.35">
      <c r="A1539" s="1" t="s">
        <v>3473</v>
      </c>
      <c r="B1539" s="1" t="s">
        <v>3474</v>
      </c>
      <c r="C1539" s="1" t="s">
        <v>3535</v>
      </c>
      <c r="D1539" s="1" t="str">
        <f>"6910"</f>
        <v>6910</v>
      </c>
      <c r="E1539" s="1" t="str">
        <f>"016749021"</f>
        <v>016749021</v>
      </c>
      <c r="F1539" s="1" t="s">
        <v>3536</v>
      </c>
      <c r="G1539" s="1" t="s">
        <v>16</v>
      </c>
      <c r="H1539" s="1" t="str">
        <f>"3"</f>
        <v>3</v>
      </c>
      <c r="I1539" s="2" t="str">
        <f>"29990"</f>
        <v>29990</v>
      </c>
      <c r="J1539" s="3">
        <v>46140</v>
      </c>
      <c r="K1539" s="1" t="s">
        <v>3537</v>
      </c>
    </row>
    <row r="1540" spans="1:11" x14ac:dyDescent="0.35">
      <c r="A1540" s="1" t="s">
        <v>3473</v>
      </c>
      <c r="B1540" s="1" t="s">
        <v>3474</v>
      </c>
      <c r="C1540" s="1" t="s">
        <v>3477</v>
      </c>
      <c r="D1540" s="1" t="str">
        <f>"1095"</f>
        <v>1095</v>
      </c>
      <c r="E1540" s="1" t="str">
        <f>"015432189"</f>
        <v>015432189</v>
      </c>
      <c r="F1540" s="1" t="s">
        <v>25</v>
      </c>
      <c r="G1540" s="1" t="s">
        <v>16</v>
      </c>
      <c r="H1540" s="1" t="str">
        <f>"9"</f>
        <v>9</v>
      </c>
      <c r="I1540" s="2" t="str">
        <f>"959"</f>
        <v>959</v>
      </c>
      <c r="J1540" s="3">
        <v>46168</v>
      </c>
      <c r="K1540" s="1" t="s">
        <v>3478</v>
      </c>
    </row>
    <row r="1541" spans="1:11" x14ac:dyDescent="0.35">
      <c r="A1541" s="1" t="s">
        <v>3473</v>
      </c>
      <c r="B1541" s="1" t="s">
        <v>3474</v>
      </c>
      <c r="C1541" s="1" t="s">
        <v>3479</v>
      </c>
      <c r="D1541" s="1" t="str">
        <f>"1095"</f>
        <v>1095</v>
      </c>
      <c r="E1541" s="1" t="str">
        <f>"015432189"</f>
        <v>015432189</v>
      </c>
      <c r="F1541" s="1" t="s">
        <v>25</v>
      </c>
      <c r="G1541" s="1" t="s">
        <v>16</v>
      </c>
      <c r="H1541" s="1" t="str">
        <f>"5"</f>
        <v>5</v>
      </c>
      <c r="I1541" s="2" t="str">
        <f>"959"</f>
        <v>959</v>
      </c>
      <c r="J1541" s="3">
        <v>46168</v>
      </c>
      <c r="K1541" s="1" t="s">
        <v>3480</v>
      </c>
    </row>
    <row r="1542" spans="1:11" x14ac:dyDescent="0.35">
      <c r="A1542" s="1" t="s">
        <v>3473</v>
      </c>
      <c r="B1542" s="1" t="s">
        <v>3474</v>
      </c>
      <c r="C1542" s="1" t="s">
        <v>3483</v>
      </c>
      <c r="D1542" s="1" t="str">
        <f>"1550"</f>
        <v>1550</v>
      </c>
      <c r="E1542" s="1" t="str">
        <f>"015389256"</f>
        <v>015389256</v>
      </c>
      <c r="F1542" s="1" t="s">
        <v>203</v>
      </c>
      <c r="G1542" s="1" t="s">
        <v>16</v>
      </c>
      <c r="H1542" s="1" t="str">
        <f>"2"</f>
        <v>2</v>
      </c>
      <c r="I1542" s="2" t="str">
        <f>"100000"</f>
        <v>100000</v>
      </c>
      <c r="J1542" s="3">
        <v>46168</v>
      </c>
      <c r="K1542" s="1" t="s">
        <v>3484</v>
      </c>
    </row>
    <row r="1543" spans="1:11" x14ac:dyDescent="0.35">
      <c r="A1543" s="1" t="s">
        <v>3473</v>
      </c>
      <c r="B1543" s="1" t="s">
        <v>3474</v>
      </c>
      <c r="C1543" s="1" t="s">
        <v>3490</v>
      </c>
      <c r="D1543" s="1" t="str">
        <f>"2330"</f>
        <v>2330</v>
      </c>
      <c r="E1543" s="1" t="s">
        <v>70</v>
      </c>
      <c r="F1543" s="1" t="s">
        <v>71</v>
      </c>
      <c r="G1543" s="1" t="s">
        <v>16</v>
      </c>
      <c r="H1543" s="1" t="str">
        <f>"1"</f>
        <v>1</v>
      </c>
      <c r="I1543" s="2" t="str">
        <f>"14555"</f>
        <v>14555</v>
      </c>
      <c r="J1543" s="3">
        <v>46168</v>
      </c>
      <c r="K1543" s="1" t="s">
        <v>3491</v>
      </c>
    </row>
    <row r="1544" spans="1:11" x14ac:dyDescent="0.35">
      <c r="A1544" s="1" t="s">
        <v>3473</v>
      </c>
      <c r="B1544" s="1" t="s">
        <v>3474</v>
      </c>
      <c r="C1544" s="1" t="s">
        <v>3492</v>
      </c>
      <c r="D1544" s="1" t="str">
        <f>"2360"</f>
        <v>2360</v>
      </c>
      <c r="E1544" s="1" t="str">
        <f>"016631022"</f>
        <v>016631022</v>
      </c>
      <c r="F1544" s="1" t="s">
        <v>2021</v>
      </c>
      <c r="G1544" s="1" t="s">
        <v>16</v>
      </c>
      <c r="H1544" s="1" t="str">
        <f>"1"</f>
        <v>1</v>
      </c>
      <c r="I1544" s="2">
        <v>53375.13</v>
      </c>
      <c r="J1544" s="3">
        <v>46168</v>
      </c>
      <c r="K1544" s="1" t="s">
        <v>3493</v>
      </c>
    </row>
    <row r="1545" spans="1:11" x14ac:dyDescent="0.35">
      <c r="A1545" s="1" t="s">
        <v>3473</v>
      </c>
      <c r="B1545" s="1" t="s">
        <v>3474</v>
      </c>
      <c r="C1545" s="1" t="s">
        <v>3498</v>
      </c>
      <c r="D1545" s="1" t="str">
        <f>"4240"</f>
        <v>4240</v>
      </c>
      <c r="E1545" s="1" t="s">
        <v>2930</v>
      </c>
      <c r="F1545" s="1" t="s">
        <v>2931</v>
      </c>
      <c r="G1545" s="1" t="s">
        <v>16</v>
      </c>
      <c r="H1545" s="1" t="str">
        <f>"50"</f>
        <v>50</v>
      </c>
      <c r="I1545" s="2">
        <v>5.43</v>
      </c>
      <c r="J1545" s="3">
        <v>46168</v>
      </c>
      <c r="K1545" s="1" t="s">
        <v>3499</v>
      </c>
    </row>
    <row r="1546" spans="1:11" x14ac:dyDescent="0.35">
      <c r="A1546" s="1" t="s">
        <v>3473</v>
      </c>
      <c r="B1546" s="1" t="s">
        <v>3474</v>
      </c>
      <c r="C1546" s="1" t="s">
        <v>3502</v>
      </c>
      <c r="D1546" s="1" t="str">
        <f>"4240"</f>
        <v>4240</v>
      </c>
      <c r="E1546" s="1" t="str">
        <f>"016707121"</f>
        <v>016707121</v>
      </c>
      <c r="F1546" s="1" t="s">
        <v>3503</v>
      </c>
      <c r="G1546" s="1" t="s">
        <v>16</v>
      </c>
      <c r="H1546" s="1" t="str">
        <f>"50"</f>
        <v>50</v>
      </c>
      <c r="I1546" s="2">
        <v>17.32</v>
      </c>
      <c r="J1546" s="3">
        <v>46168</v>
      </c>
      <c r="K1546" s="1" t="s">
        <v>3504</v>
      </c>
    </row>
    <row r="1547" spans="1:11" x14ac:dyDescent="0.35">
      <c r="A1547" s="1" t="s">
        <v>3473</v>
      </c>
      <c r="B1547" s="1" t="s">
        <v>3474</v>
      </c>
      <c r="C1547" s="1" t="s">
        <v>3508</v>
      </c>
      <c r="D1547" s="1" t="str">
        <f>"4240"</f>
        <v>4240</v>
      </c>
      <c r="E1547" s="1" t="s">
        <v>2930</v>
      </c>
      <c r="F1547" s="1" t="s">
        <v>2931</v>
      </c>
      <c r="G1547" s="1" t="s">
        <v>16</v>
      </c>
      <c r="H1547" s="1" t="str">
        <f>"50"</f>
        <v>50</v>
      </c>
      <c r="I1547" s="2">
        <v>5.43</v>
      </c>
      <c r="J1547" s="3">
        <v>46168</v>
      </c>
      <c r="K1547" s="1" t="s">
        <v>3509</v>
      </c>
    </row>
    <row r="1548" spans="1:11" x14ac:dyDescent="0.35">
      <c r="A1548" s="1" t="s">
        <v>3473</v>
      </c>
      <c r="B1548" s="1" t="s">
        <v>3474</v>
      </c>
      <c r="C1548" s="1" t="s">
        <v>3510</v>
      </c>
      <c r="D1548" s="1" t="str">
        <f>"4240"</f>
        <v>4240</v>
      </c>
      <c r="E1548" s="1" t="s">
        <v>2930</v>
      </c>
      <c r="F1548" s="1" t="s">
        <v>2931</v>
      </c>
      <c r="G1548" s="1" t="s">
        <v>16</v>
      </c>
      <c r="H1548" s="1" t="str">
        <f>"4"</f>
        <v>4</v>
      </c>
      <c r="I1548" s="2" t="str">
        <f>"50"</f>
        <v>50</v>
      </c>
      <c r="J1548" s="3">
        <v>46168</v>
      </c>
      <c r="K1548" s="1" t="s">
        <v>3511</v>
      </c>
    </row>
    <row r="1549" spans="1:11" x14ac:dyDescent="0.35">
      <c r="A1549" s="1" t="s">
        <v>3473</v>
      </c>
      <c r="B1549" s="1" t="s">
        <v>3474</v>
      </c>
      <c r="C1549" s="1" t="s">
        <v>3512</v>
      </c>
      <c r="D1549" s="1" t="str">
        <f>"5120"</f>
        <v>5120</v>
      </c>
      <c r="E1549" s="1" t="str">
        <f>"014767556"</f>
        <v>014767556</v>
      </c>
      <c r="F1549" s="1" t="s">
        <v>586</v>
      </c>
      <c r="G1549" s="1" t="s">
        <v>16</v>
      </c>
      <c r="H1549" s="1" t="str">
        <f>"20"</f>
        <v>20</v>
      </c>
      <c r="I1549" s="2">
        <v>61.83</v>
      </c>
      <c r="J1549" s="3">
        <v>46168</v>
      </c>
      <c r="K1549" s="1" t="s">
        <v>3513</v>
      </c>
    </row>
    <row r="1550" spans="1:11" x14ac:dyDescent="0.35">
      <c r="A1550" s="1" t="s">
        <v>3473</v>
      </c>
      <c r="B1550" s="1" t="s">
        <v>3474</v>
      </c>
      <c r="C1550" s="1" t="s">
        <v>3517</v>
      </c>
      <c r="D1550" s="1" t="str">
        <f>"5411"</f>
        <v>5411</v>
      </c>
      <c r="E1550" s="1" t="str">
        <f>"012802909"</f>
        <v>012802909</v>
      </c>
      <c r="F1550" s="1" t="s">
        <v>1033</v>
      </c>
      <c r="G1550" s="1" t="s">
        <v>16</v>
      </c>
      <c r="H1550" s="1" t="str">
        <f>"1"</f>
        <v>1</v>
      </c>
      <c r="I1550" s="2" t="str">
        <f>"597507"</f>
        <v>597507</v>
      </c>
      <c r="J1550" s="3">
        <v>46168</v>
      </c>
      <c r="K1550" s="1" t="s">
        <v>3518</v>
      </c>
    </row>
    <row r="1551" spans="1:11" x14ac:dyDescent="0.35">
      <c r="A1551" s="1" t="s">
        <v>3473</v>
      </c>
      <c r="B1551" s="1" t="s">
        <v>3474</v>
      </c>
      <c r="C1551" s="1" t="s">
        <v>3519</v>
      </c>
      <c r="D1551" s="1" t="str">
        <f>"6115"</f>
        <v>6115</v>
      </c>
      <c r="E1551" s="1" t="str">
        <f>"013491536"</f>
        <v>013491536</v>
      </c>
      <c r="F1551" s="1" t="s">
        <v>3520</v>
      </c>
      <c r="G1551" s="1" t="s">
        <v>16</v>
      </c>
      <c r="H1551" s="1" t="str">
        <f>"1"</f>
        <v>1</v>
      </c>
      <c r="I1551" s="2" t="str">
        <f>"164000"</f>
        <v>164000</v>
      </c>
      <c r="J1551" s="3">
        <v>46168</v>
      </c>
      <c r="K1551" s="1" t="s">
        <v>3521</v>
      </c>
    </row>
    <row r="1552" spans="1:11" x14ac:dyDescent="0.35">
      <c r="A1552" s="1" t="s">
        <v>3473</v>
      </c>
      <c r="B1552" s="1" t="s">
        <v>3474</v>
      </c>
      <c r="C1552" s="1" t="s">
        <v>3522</v>
      </c>
      <c r="D1552" s="1" t="str">
        <f>"6350"</f>
        <v>6350</v>
      </c>
      <c r="E1552" s="1" t="str">
        <f>"016414645"</f>
        <v>016414645</v>
      </c>
      <c r="F1552" s="1" t="s">
        <v>3523</v>
      </c>
      <c r="G1552" s="1" t="s">
        <v>215</v>
      </c>
      <c r="H1552" s="1" t="str">
        <f>"1"</f>
        <v>1</v>
      </c>
      <c r="I1552" s="2">
        <v>31352.080000000002</v>
      </c>
      <c r="J1552" s="3">
        <v>46168</v>
      </c>
      <c r="K1552" s="1" t="s">
        <v>3524</v>
      </c>
    </row>
    <row r="1553" spans="1:11" x14ac:dyDescent="0.35">
      <c r="A1553" s="1" t="s">
        <v>3473</v>
      </c>
      <c r="B1553" s="1" t="s">
        <v>3474</v>
      </c>
      <c r="C1553" s="1" t="s">
        <v>3538</v>
      </c>
      <c r="D1553" s="1" t="str">
        <f>"6920"</f>
        <v>6920</v>
      </c>
      <c r="E1553" s="1" t="s">
        <v>3539</v>
      </c>
      <c r="F1553" s="1" t="s">
        <v>3540</v>
      </c>
      <c r="G1553" s="1" t="s">
        <v>16</v>
      </c>
      <c r="H1553" s="1" t="str">
        <f>"6"</f>
        <v>6</v>
      </c>
      <c r="I1553" s="2" t="str">
        <f>"3375"</f>
        <v>3375</v>
      </c>
      <c r="J1553" s="3">
        <v>46168</v>
      </c>
      <c r="K1553" s="1" t="s">
        <v>3541</v>
      </c>
    </row>
    <row r="1554" spans="1:11" x14ac:dyDescent="0.35">
      <c r="A1554" s="1" t="s">
        <v>3473</v>
      </c>
      <c r="B1554" s="1" t="s">
        <v>3474</v>
      </c>
      <c r="C1554" s="1" t="s">
        <v>3544</v>
      </c>
      <c r="D1554" s="1" t="str">
        <f>"6920"</f>
        <v>6920</v>
      </c>
      <c r="E1554" s="1" t="s">
        <v>3539</v>
      </c>
      <c r="F1554" s="1" t="s">
        <v>3540</v>
      </c>
      <c r="G1554" s="1" t="s">
        <v>16</v>
      </c>
      <c r="H1554" s="1" t="str">
        <f>"1"</f>
        <v>1</v>
      </c>
      <c r="I1554" s="2">
        <v>225697.55</v>
      </c>
      <c r="J1554" s="3">
        <v>46168</v>
      </c>
      <c r="K1554" s="1" t="s">
        <v>3541</v>
      </c>
    </row>
    <row r="1555" spans="1:11" x14ac:dyDescent="0.35">
      <c r="A1555" s="1" t="s">
        <v>3473</v>
      </c>
      <c r="B1555" s="1" t="s">
        <v>3474</v>
      </c>
      <c r="C1555" s="1" t="s">
        <v>3551</v>
      </c>
      <c r="D1555" s="1" t="str">
        <f>"7022"</f>
        <v>7022</v>
      </c>
      <c r="E1555" s="1" t="str">
        <f>"015358774"</f>
        <v>015358774</v>
      </c>
      <c r="F1555" s="1" t="s">
        <v>3552</v>
      </c>
      <c r="G1555" s="1" t="s">
        <v>16</v>
      </c>
      <c r="H1555" s="1" t="str">
        <f>"12"</f>
        <v>12</v>
      </c>
      <c r="I1555" s="2" t="str">
        <f>"11660"</f>
        <v>11660</v>
      </c>
      <c r="J1555" s="3">
        <v>46168</v>
      </c>
      <c r="K1555" s="1" t="s">
        <v>3553</v>
      </c>
    </row>
    <row r="1556" spans="1:11" x14ac:dyDescent="0.35">
      <c r="A1556" s="1" t="s">
        <v>3473</v>
      </c>
      <c r="B1556" s="1" t="s">
        <v>3474</v>
      </c>
      <c r="C1556" s="1" t="s">
        <v>3554</v>
      </c>
      <c r="D1556" s="1" t="str">
        <f>"7910"</f>
        <v>7910</v>
      </c>
      <c r="E1556" s="1" t="s">
        <v>3555</v>
      </c>
      <c r="F1556" s="1" t="s">
        <v>3556</v>
      </c>
      <c r="G1556" s="1" t="s">
        <v>16</v>
      </c>
      <c r="H1556" s="1" t="str">
        <f>"1"</f>
        <v>1</v>
      </c>
      <c r="I1556" s="2" t="str">
        <f>"300"</f>
        <v>300</v>
      </c>
      <c r="J1556" s="3">
        <v>46168</v>
      </c>
      <c r="K1556" s="1" t="s">
        <v>3557</v>
      </c>
    </row>
    <row r="1557" spans="1:11" x14ac:dyDescent="0.35">
      <c r="A1557" s="1" t="s">
        <v>3473</v>
      </c>
      <c r="B1557" s="1" t="s">
        <v>3474</v>
      </c>
      <c r="C1557" s="1" t="s">
        <v>3558</v>
      </c>
      <c r="D1557" s="1" t="str">
        <f>"8340"</f>
        <v>8340</v>
      </c>
      <c r="E1557" s="1" t="str">
        <f>"015388762"</f>
        <v>015388762</v>
      </c>
      <c r="F1557" s="1" t="s">
        <v>253</v>
      </c>
      <c r="G1557" s="1" t="s">
        <v>16</v>
      </c>
      <c r="H1557" s="1" t="str">
        <f>"1"</f>
        <v>1</v>
      </c>
      <c r="I1557" s="2">
        <v>23833.13</v>
      </c>
      <c r="J1557" s="3">
        <v>46168</v>
      </c>
      <c r="K1557" s="1" t="s">
        <v>3559</v>
      </c>
    </row>
    <row r="1558" spans="1:11" x14ac:dyDescent="0.35">
      <c r="A1558" s="1" t="s">
        <v>3473</v>
      </c>
      <c r="B1558" s="1" t="s">
        <v>3474</v>
      </c>
      <c r="C1558" s="1" t="s">
        <v>3560</v>
      </c>
      <c r="D1558" s="1" t="str">
        <f>"8340"</f>
        <v>8340</v>
      </c>
      <c r="E1558" s="1" t="str">
        <f>"015140577"</f>
        <v>015140577</v>
      </c>
      <c r="F1558" s="1" t="s">
        <v>3561</v>
      </c>
      <c r="G1558" s="1" t="s">
        <v>16</v>
      </c>
      <c r="H1558" s="1" t="str">
        <f>"1"</f>
        <v>1</v>
      </c>
      <c r="I1558" s="2">
        <v>157152.75</v>
      </c>
      <c r="J1558" s="3">
        <v>46168</v>
      </c>
      <c r="K1558" s="1" t="s">
        <v>3562</v>
      </c>
    </row>
    <row r="1559" spans="1:11" x14ac:dyDescent="0.35">
      <c r="A1559" s="1" t="s">
        <v>3473</v>
      </c>
      <c r="B1559" s="1" t="s">
        <v>3474</v>
      </c>
      <c r="C1559" s="1" t="s">
        <v>3563</v>
      </c>
      <c r="D1559" s="1" t="str">
        <f>"8340"</f>
        <v>8340</v>
      </c>
      <c r="E1559" s="1" t="str">
        <f>"015331697"</f>
        <v>015331697</v>
      </c>
      <c r="F1559" s="1" t="s">
        <v>3564</v>
      </c>
      <c r="G1559" s="1" t="s">
        <v>16</v>
      </c>
      <c r="H1559" s="1" t="str">
        <f>"1"</f>
        <v>1</v>
      </c>
      <c r="I1559" s="2">
        <v>129900.19</v>
      </c>
      <c r="J1559" s="3">
        <v>46168</v>
      </c>
      <c r="K1559" s="1" t="s">
        <v>3565</v>
      </c>
    </row>
    <row r="1560" spans="1:11" x14ac:dyDescent="0.35">
      <c r="A1560" s="1" t="s">
        <v>3473</v>
      </c>
      <c r="B1560" s="1" t="s">
        <v>3474</v>
      </c>
      <c r="C1560" s="1" t="s">
        <v>3569</v>
      </c>
      <c r="D1560" s="1" t="str">
        <f>"8415"</f>
        <v>8415</v>
      </c>
      <c r="E1560" s="1" t="s">
        <v>3570</v>
      </c>
      <c r="F1560" s="1" t="s">
        <v>3571</v>
      </c>
      <c r="G1560" s="1" t="s">
        <v>458</v>
      </c>
      <c r="H1560" s="1" t="str">
        <f>"9"</f>
        <v>9</v>
      </c>
      <c r="I1560" s="2">
        <v>22.9</v>
      </c>
      <c r="J1560" s="3">
        <v>46168</v>
      </c>
      <c r="K1560" s="1" t="s">
        <v>3572</v>
      </c>
    </row>
    <row r="1561" spans="1:11" x14ac:dyDescent="0.35">
      <c r="A1561" s="1" t="s">
        <v>3473</v>
      </c>
      <c r="B1561" s="1" t="s">
        <v>3474</v>
      </c>
      <c r="C1561" s="1" t="s">
        <v>3573</v>
      </c>
      <c r="D1561" s="1" t="str">
        <f>"8415"</f>
        <v>8415</v>
      </c>
      <c r="E1561" s="1" t="str">
        <f>"015302350"</f>
        <v>015302350</v>
      </c>
      <c r="F1561" s="1" t="s">
        <v>1092</v>
      </c>
      <c r="G1561" s="1" t="s">
        <v>311</v>
      </c>
      <c r="H1561" s="1" t="str">
        <f>"26"</f>
        <v>26</v>
      </c>
      <c r="I1561" s="2">
        <v>17.41</v>
      </c>
      <c r="J1561" s="3">
        <v>46168</v>
      </c>
      <c r="K1561" s="1" t="s">
        <v>3574</v>
      </c>
    </row>
    <row r="1562" spans="1:11" x14ac:dyDescent="0.35">
      <c r="A1562" s="1" t="s">
        <v>3473</v>
      </c>
      <c r="B1562" s="1" t="s">
        <v>3474</v>
      </c>
      <c r="C1562" s="1" t="s">
        <v>3575</v>
      </c>
      <c r="D1562" s="1" t="str">
        <f>"8415"</f>
        <v>8415</v>
      </c>
      <c r="E1562" s="1" t="str">
        <f>"015302157"</f>
        <v>015302157</v>
      </c>
      <c r="F1562" s="1" t="s">
        <v>3576</v>
      </c>
      <c r="G1562" s="1" t="s">
        <v>311</v>
      </c>
      <c r="H1562" s="1" t="str">
        <f>"9"</f>
        <v>9</v>
      </c>
      <c r="I1562" s="2">
        <v>9.2899999999999991</v>
      </c>
      <c r="J1562" s="3">
        <v>46168</v>
      </c>
      <c r="K1562" s="1" t="s">
        <v>3577</v>
      </c>
    </row>
    <row r="1563" spans="1:11" x14ac:dyDescent="0.35">
      <c r="A1563" s="1" t="s">
        <v>3473</v>
      </c>
      <c r="B1563" s="1" t="s">
        <v>3474</v>
      </c>
      <c r="C1563" s="1" t="s">
        <v>3607</v>
      </c>
      <c r="D1563" s="1" t="str">
        <f>"8465"</f>
        <v>8465</v>
      </c>
      <c r="E1563" s="1" t="str">
        <f>"015247240"</f>
        <v>015247240</v>
      </c>
      <c r="F1563" s="1" t="s">
        <v>2516</v>
      </c>
      <c r="G1563" s="1" t="s">
        <v>16</v>
      </c>
      <c r="H1563" s="1" t="str">
        <f>"14"</f>
        <v>14</v>
      </c>
      <c r="I1563" s="2">
        <v>47.37</v>
      </c>
      <c r="J1563" s="3">
        <v>46168</v>
      </c>
      <c r="K1563" s="1" t="s">
        <v>3608</v>
      </c>
    </row>
    <row r="1564" spans="1:11" x14ac:dyDescent="0.35">
      <c r="A1564" s="1" t="s">
        <v>3473</v>
      </c>
      <c r="B1564" s="1" t="s">
        <v>3474</v>
      </c>
      <c r="C1564" s="1" t="s">
        <v>3496</v>
      </c>
      <c r="D1564" s="1" t="str">
        <f>"4240"</f>
        <v>4240</v>
      </c>
      <c r="E1564" s="1" t="str">
        <f>"015476218"</f>
        <v>015476218</v>
      </c>
      <c r="F1564" s="1" t="s">
        <v>557</v>
      </c>
      <c r="G1564" s="1" t="s">
        <v>16</v>
      </c>
      <c r="H1564" s="1" t="str">
        <f>"3"</f>
        <v>3</v>
      </c>
      <c r="I1564" s="2" t="str">
        <f>"60"</f>
        <v>60</v>
      </c>
      <c r="J1564" s="3">
        <v>46178</v>
      </c>
      <c r="K1564" s="1" t="s">
        <v>3497</v>
      </c>
    </row>
    <row r="1565" spans="1:11" x14ac:dyDescent="0.35">
      <c r="A1565" s="1" t="s">
        <v>3473</v>
      </c>
      <c r="B1565" s="1" t="s">
        <v>3474</v>
      </c>
      <c r="C1565" s="1" t="s">
        <v>3500</v>
      </c>
      <c r="D1565" s="1" t="str">
        <f>"4240"</f>
        <v>4240</v>
      </c>
      <c r="E1565" s="1" t="str">
        <f>"016306712"</f>
        <v>016306712</v>
      </c>
      <c r="F1565" s="1" t="s">
        <v>557</v>
      </c>
      <c r="G1565" s="1" t="s">
        <v>16</v>
      </c>
      <c r="H1565" s="1" t="str">
        <f>"1"</f>
        <v>1</v>
      </c>
      <c r="I1565" s="2">
        <v>68.75</v>
      </c>
      <c r="J1565" s="3">
        <v>46178</v>
      </c>
      <c r="K1565" s="1" t="s">
        <v>3497</v>
      </c>
    </row>
    <row r="1566" spans="1:11" x14ac:dyDescent="0.35">
      <c r="A1566" s="1" t="s">
        <v>3473</v>
      </c>
      <c r="B1566" s="1" t="s">
        <v>3474</v>
      </c>
      <c r="C1566" s="1" t="s">
        <v>3501</v>
      </c>
      <c r="D1566" s="1" t="str">
        <f>"4240"</f>
        <v>4240</v>
      </c>
      <c r="E1566" s="1" t="str">
        <f>"015405585"</f>
        <v>015405585</v>
      </c>
      <c r="F1566" s="1" t="s">
        <v>557</v>
      </c>
      <c r="G1566" s="1" t="s">
        <v>16</v>
      </c>
      <c r="H1566" s="1" t="str">
        <f>"1"</f>
        <v>1</v>
      </c>
      <c r="I1566" s="2">
        <v>69.349999999999994</v>
      </c>
      <c r="J1566" s="3">
        <v>46178</v>
      </c>
      <c r="K1566" s="1" t="s">
        <v>3497</v>
      </c>
    </row>
    <row r="1567" spans="1:11" x14ac:dyDescent="0.35">
      <c r="A1567" s="1" t="s">
        <v>3473</v>
      </c>
      <c r="B1567" s="1" t="s">
        <v>3474</v>
      </c>
      <c r="C1567" s="1" t="s">
        <v>3525</v>
      </c>
      <c r="D1567" s="1" t="str">
        <f>"6530"</f>
        <v>6530</v>
      </c>
      <c r="E1567" s="1" t="str">
        <f>"014902487"</f>
        <v>014902487</v>
      </c>
      <c r="F1567" s="1" t="s">
        <v>3526</v>
      </c>
      <c r="G1567" s="1" t="s">
        <v>16</v>
      </c>
      <c r="H1567" s="1" t="str">
        <f>"3"</f>
        <v>3</v>
      </c>
      <c r="I1567" s="2">
        <v>306.26</v>
      </c>
      <c r="J1567" s="3">
        <v>46178</v>
      </c>
      <c r="K1567" s="1" t="s">
        <v>3527</v>
      </c>
    </row>
    <row r="1568" spans="1:11" x14ac:dyDescent="0.35">
      <c r="A1568" s="1" t="s">
        <v>3473</v>
      </c>
      <c r="B1568" s="1" t="s">
        <v>3474</v>
      </c>
      <c r="C1568" s="1" t="s">
        <v>3485</v>
      </c>
      <c r="D1568" s="1" t="str">
        <f>"2320"</f>
        <v>2320</v>
      </c>
      <c r="E1568" s="1" t="str">
        <f>"015068483"</f>
        <v>015068483</v>
      </c>
      <c r="F1568" s="1" t="s">
        <v>3486</v>
      </c>
      <c r="G1568" s="1" t="s">
        <v>16</v>
      </c>
      <c r="H1568" s="1" t="str">
        <f>"1"</f>
        <v>1</v>
      </c>
      <c r="I1568" s="2" t="str">
        <f>"100185"</f>
        <v>100185</v>
      </c>
      <c r="J1568" s="3">
        <v>46191</v>
      </c>
      <c r="K1568" s="1" t="s">
        <v>3487</v>
      </c>
    </row>
    <row r="1569" spans="1:11" x14ac:dyDescent="0.35">
      <c r="A1569" s="1" t="s">
        <v>3473</v>
      </c>
      <c r="B1569" s="1" t="s">
        <v>3474</v>
      </c>
      <c r="C1569" s="1" t="s">
        <v>3566</v>
      </c>
      <c r="D1569" s="1" t="str">
        <f>"8340"</f>
        <v>8340</v>
      </c>
      <c r="E1569" s="1" t="str">
        <f>"017063167"</f>
        <v>017063167</v>
      </c>
      <c r="F1569" s="1" t="s">
        <v>3567</v>
      </c>
      <c r="G1569" s="1" t="s">
        <v>215</v>
      </c>
      <c r="H1569" s="1" t="str">
        <f>"7"</f>
        <v>7</v>
      </c>
      <c r="I1569" s="2">
        <v>1923.04</v>
      </c>
      <c r="J1569" s="3">
        <v>46191</v>
      </c>
      <c r="K1569" s="1" t="s">
        <v>3568</v>
      </c>
    </row>
    <row r="1570" spans="1:11" x14ac:dyDescent="0.35">
      <c r="A1570" s="1" t="s">
        <v>3619</v>
      </c>
      <c r="B1570" s="1" t="s">
        <v>3814</v>
      </c>
      <c r="C1570" s="1" t="s">
        <v>3817</v>
      </c>
      <c r="D1570" s="1" t="str">
        <f>"5180"</f>
        <v>5180</v>
      </c>
      <c r="E1570" s="1" t="str">
        <f>"015595981"</f>
        <v>015595981</v>
      </c>
      <c r="F1570" s="1" t="s">
        <v>1076</v>
      </c>
      <c r="G1570" s="1" t="s">
        <v>215</v>
      </c>
      <c r="H1570" s="1" t="str">
        <f>"2"</f>
        <v>2</v>
      </c>
      <c r="I1570" s="2" t="str">
        <f>"1774"</f>
        <v>1774</v>
      </c>
      <c r="J1570" s="3">
        <v>46114</v>
      </c>
      <c r="K1570" s="1" t="s">
        <v>3818</v>
      </c>
    </row>
    <row r="1571" spans="1:11" x14ac:dyDescent="0.35">
      <c r="A1571" s="1" t="s">
        <v>3619</v>
      </c>
      <c r="B1571" s="1" t="s">
        <v>3814</v>
      </c>
      <c r="C1571" s="1" t="s">
        <v>3822</v>
      </c>
      <c r="D1571" s="1" t="str">
        <f>"5965"</f>
        <v>5965</v>
      </c>
      <c r="E1571" s="1" t="str">
        <f>"016190258"</f>
        <v>016190258</v>
      </c>
      <c r="F1571" s="1" t="s">
        <v>1561</v>
      </c>
      <c r="G1571" s="1" t="s">
        <v>16</v>
      </c>
      <c r="H1571" s="1" t="str">
        <f>"4"</f>
        <v>4</v>
      </c>
      <c r="I1571" s="2" t="str">
        <f>"3049"</f>
        <v>3049</v>
      </c>
      <c r="J1571" s="3">
        <v>46114</v>
      </c>
      <c r="K1571" s="1" t="s">
        <v>3823</v>
      </c>
    </row>
    <row r="1572" spans="1:11" x14ac:dyDescent="0.35">
      <c r="A1572" s="1" t="s">
        <v>3619</v>
      </c>
      <c r="B1572" s="1" t="s">
        <v>3625</v>
      </c>
      <c r="C1572" s="1" t="s">
        <v>3708</v>
      </c>
      <c r="D1572" s="1" t="str">
        <f>"8415"</f>
        <v>8415</v>
      </c>
      <c r="E1572" s="1" t="str">
        <f>"015387785"</f>
        <v>015387785</v>
      </c>
      <c r="F1572" s="1" t="s">
        <v>3709</v>
      </c>
      <c r="G1572" s="1" t="s">
        <v>16</v>
      </c>
      <c r="H1572" s="1" t="str">
        <f>"5"</f>
        <v>5</v>
      </c>
      <c r="I1572" s="2">
        <v>21.96</v>
      </c>
      <c r="J1572" s="3">
        <v>46115</v>
      </c>
      <c r="K1572" s="1" t="s">
        <v>3710</v>
      </c>
    </row>
    <row r="1573" spans="1:11" x14ac:dyDescent="0.35">
      <c r="A1573" s="1" t="s">
        <v>3619</v>
      </c>
      <c r="B1573" s="1" t="s">
        <v>3625</v>
      </c>
      <c r="C1573" s="1" t="s">
        <v>3733</v>
      </c>
      <c r="D1573" s="1" t="str">
        <f>"8465"</f>
        <v>8465</v>
      </c>
      <c r="E1573" s="1" t="str">
        <f>"016733400"</f>
        <v>016733400</v>
      </c>
      <c r="F1573" s="1" t="s">
        <v>3610</v>
      </c>
      <c r="G1573" s="1" t="s">
        <v>16</v>
      </c>
      <c r="H1573" s="1" t="str">
        <f>"1"</f>
        <v>1</v>
      </c>
      <c r="I1573" s="2">
        <v>45.18</v>
      </c>
      <c r="J1573" s="3">
        <v>46115</v>
      </c>
      <c r="K1573" s="1" t="s">
        <v>3734</v>
      </c>
    </row>
    <row r="1574" spans="1:11" x14ac:dyDescent="0.35">
      <c r="A1574" s="1" t="s">
        <v>3619</v>
      </c>
      <c r="B1574" s="1" t="s">
        <v>3625</v>
      </c>
      <c r="C1574" s="1" t="s">
        <v>3735</v>
      </c>
      <c r="D1574" s="1" t="str">
        <f>"8465"</f>
        <v>8465</v>
      </c>
      <c r="E1574" s="1" t="str">
        <f>"015248368"</f>
        <v>015248368</v>
      </c>
      <c r="F1574" s="1" t="s">
        <v>3736</v>
      </c>
      <c r="G1574" s="1" t="s">
        <v>16</v>
      </c>
      <c r="H1574" s="1" t="str">
        <f>"1"</f>
        <v>1</v>
      </c>
      <c r="I1574" s="2">
        <v>25.72</v>
      </c>
      <c r="J1574" s="3">
        <v>46115</v>
      </c>
      <c r="K1574" s="1" t="s">
        <v>3737</v>
      </c>
    </row>
    <row r="1575" spans="1:11" x14ac:dyDescent="0.35">
      <c r="A1575" s="1" t="s">
        <v>3619</v>
      </c>
      <c r="B1575" s="1" t="s">
        <v>3625</v>
      </c>
      <c r="C1575" s="1" t="s">
        <v>3738</v>
      </c>
      <c r="D1575" s="1" t="str">
        <f>"8465"</f>
        <v>8465</v>
      </c>
      <c r="E1575" s="1" t="str">
        <f>"015247240"</f>
        <v>015247240</v>
      </c>
      <c r="F1575" s="1" t="s">
        <v>2516</v>
      </c>
      <c r="G1575" s="1" t="s">
        <v>16</v>
      </c>
      <c r="H1575" s="1" t="str">
        <f>"1"</f>
        <v>1</v>
      </c>
      <c r="I1575" s="2">
        <v>47.37</v>
      </c>
      <c r="J1575" s="3">
        <v>46115</v>
      </c>
      <c r="K1575" s="1" t="s">
        <v>3737</v>
      </c>
    </row>
    <row r="1576" spans="1:11" x14ac:dyDescent="0.35">
      <c r="A1576" s="1" t="s">
        <v>3619</v>
      </c>
      <c r="B1576" s="1" t="s">
        <v>3824</v>
      </c>
      <c r="C1576" s="1" t="s">
        <v>3825</v>
      </c>
      <c r="D1576" s="1" t="str">
        <f>"5180"</f>
        <v>5180</v>
      </c>
      <c r="E1576" s="1" t="str">
        <f>"015878129"</f>
        <v>015878129</v>
      </c>
      <c r="F1576" s="1" t="s">
        <v>2993</v>
      </c>
      <c r="G1576" s="1" t="s">
        <v>16</v>
      </c>
      <c r="H1576" s="1" t="str">
        <f>"1"</f>
        <v>1</v>
      </c>
      <c r="I1576" s="2">
        <v>1720.12</v>
      </c>
      <c r="J1576" s="3">
        <v>46115</v>
      </c>
      <c r="K1576" s="1" t="s">
        <v>3826</v>
      </c>
    </row>
    <row r="1577" spans="1:11" x14ac:dyDescent="0.35">
      <c r="A1577" s="1" t="s">
        <v>3619</v>
      </c>
      <c r="B1577" s="1" t="s">
        <v>3824</v>
      </c>
      <c r="C1577" s="1" t="s">
        <v>3830</v>
      </c>
      <c r="D1577" s="1" t="str">
        <f>"5180"</f>
        <v>5180</v>
      </c>
      <c r="E1577" s="1" t="str">
        <f>"015582771"</f>
        <v>015582771</v>
      </c>
      <c r="F1577" s="1" t="s">
        <v>2938</v>
      </c>
      <c r="G1577" s="1" t="s">
        <v>215</v>
      </c>
      <c r="H1577" s="1" t="str">
        <f>"1"</f>
        <v>1</v>
      </c>
      <c r="I1577" s="2">
        <v>3706.3</v>
      </c>
      <c r="J1577" s="3">
        <v>46115</v>
      </c>
      <c r="K1577" s="1" t="s">
        <v>3826</v>
      </c>
    </row>
    <row r="1578" spans="1:11" x14ac:dyDescent="0.35">
      <c r="A1578" s="1" t="s">
        <v>3619</v>
      </c>
      <c r="B1578" s="1" t="s">
        <v>3824</v>
      </c>
      <c r="C1578" s="1" t="s">
        <v>3838</v>
      </c>
      <c r="D1578" s="1" t="str">
        <f>"8415"</f>
        <v>8415</v>
      </c>
      <c r="E1578" s="1" t="s">
        <v>1139</v>
      </c>
      <c r="F1578" s="1" t="s">
        <v>1140</v>
      </c>
      <c r="G1578" s="1" t="s">
        <v>16</v>
      </c>
      <c r="H1578" s="1" t="str">
        <f>"8"</f>
        <v>8</v>
      </c>
      <c r="I1578" s="2">
        <v>65.02</v>
      </c>
      <c r="J1578" s="3">
        <v>46115</v>
      </c>
      <c r="K1578" s="1" t="s">
        <v>3839</v>
      </c>
    </row>
    <row r="1579" spans="1:11" x14ac:dyDescent="0.35">
      <c r="A1579" s="1" t="s">
        <v>3619</v>
      </c>
      <c r="B1579" s="1" t="s">
        <v>3824</v>
      </c>
      <c r="C1579" s="1" t="s">
        <v>3840</v>
      </c>
      <c r="D1579" s="1" t="str">
        <f>"8415"</f>
        <v>8415</v>
      </c>
      <c r="E1579" s="1" t="s">
        <v>1139</v>
      </c>
      <c r="F1579" s="1" t="s">
        <v>1140</v>
      </c>
      <c r="G1579" s="1" t="s">
        <v>16</v>
      </c>
      <c r="H1579" s="1" t="str">
        <f>"50"</f>
        <v>50</v>
      </c>
      <c r="I1579" s="2">
        <v>65.02</v>
      </c>
      <c r="J1579" s="3">
        <v>46115</v>
      </c>
      <c r="K1579" s="1" t="s">
        <v>3839</v>
      </c>
    </row>
    <row r="1580" spans="1:11" x14ac:dyDescent="0.35">
      <c r="A1580" s="1" t="s">
        <v>3619</v>
      </c>
      <c r="B1580" s="1" t="s">
        <v>3625</v>
      </c>
      <c r="C1580" s="1" t="s">
        <v>3671</v>
      </c>
      <c r="D1580" s="1" t="str">
        <f>"7025"</f>
        <v>7025</v>
      </c>
      <c r="E1580" s="1" t="s">
        <v>3672</v>
      </c>
      <c r="F1580" s="1" t="s">
        <v>3673</v>
      </c>
      <c r="G1580" s="1" t="s">
        <v>16</v>
      </c>
      <c r="H1580" s="1" t="str">
        <f>"25"</f>
        <v>25</v>
      </c>
      <c r="I1580" s="2" t="str">
        <f>"15"</f>
        <v>15</v>
      </c>
      <c r="J1580" s="3">
        <v>46122</v>
      </c>
      <c r="K1580" s="1" t="s">
        <v>3674</v>
      </c>
    </row>
    <row r="1581" spans="1:11" x14ac:dyDescent="0.35">
      <c r="A1581" s="1" t="s">
        <v>3619</v>
      </c>
      <c r="B1581" s="1" t="s">
        <v>3625</v>
      </c>
      <c r="C1581" s="1" t="s">
        <v>3687</v>
      </c>
      <c r="D1581" s="1" t="str">
        <f>"7195"</f>
        <v>7195</v>
      </c>
      <c r="E1581" s="1" t="str">
        <f>"015909071"</f>
        <v>015909071</v>
      </c>
      <c r="F1581" s="1" t="s">
        <v>3688</v>
      </c>
      <c r="G1581" s="1" t="s">
        <v>16</v>
      </c>
      <c r="H1581" s="1" t="str">
        <f>"4"</f>
        <v>4</v>
      </c>
      <c r="I1581" s="2">
        <v>60.34</v>
      </c>
      <c r="J1581" s="3">
        <v>46122</v>
      </c>
      <c r="K1581" s="1" t="s">
        <v>3689</v>
      </c>
    </row>
    <row r="1582" spans="1:11" x14ac:dyDescent="0.35">
      <c r="A1582" s="1" t="s">
        <v>3619</v>
      </c>
      <c r="B1582" s="1" t="s">
        <v>3625</v>
      </c>
      <c r="C1582" s="1" t="s">
        <v>3694</v>
      </c>
      <c r="D1582" s="1" t="str">
        <f>"7240"</f>
        <v>7240</v>
      </c>
      <c r="E1582" s="1" t="s">
        <v>3695</v>
      </c>
      <c r="F1582" s="1" t="s">
        <v>3696</v>
      </c>
      <c r="G1582" s="1" t="s">
        <v>16</v>
      </c>
      <c r="H1582" s="1" t="str">
        <f>"15"</f>
        <v>15</v>
      </c>
      <c r="I1582" s="2" t="str">
        <f>"30"</f>
        <v>30</v>
      </c>
      <c r="J1582" s="3">
        <v>46122</v>
      </c>
      <c r="K1582" s="1" t="s">
        <v>3697</v>
      </c>
    </row>
    <row r="1583" spans="1:11" x14ac:dyDescent="0.35">
      <c r="A1583" s="1" t="s">
        <v>3619</v>
      </c>
      <c r="B1583" s="1" t="s">
        <v>3625</v>
      </c>
      <c r="C1583" s="1" t="s">
        <v>3700</v>
      </c>
      <c r="D1583" s="1" t="str">
        <f>"8145"</f>
        <v>8145</v>
      </c>
      <c r="E1583" s="1" t="s">
        <v>489</v>
      </c>
      <c r="F1583" s="1" t="s">
        <v>490</v>
      </c>
      <c r="G1583" s="1" t="s">
        <v>16</v>
      </c>
      <c r="H1583" s="1" t="str">
        <f>"10"</f>
        <v>10</v>
      </c>
      <c r="I1583" s="2" t="str">
        <f>"100"</f>
        <v>100</v>
      </c>
      <c r="J1583" s="3">
        <v>46122</v>
      </c>
      <c r="K1583" s="1" t="s">
        <v>3701</v>
      </c>
    </row>
    <row r="1584" spans="1:11" x14ac:dyDescent="0.35">
      <c r="A1584" s="1" t="s">
        <v>3619</v>
      </c>
      <c r="B1584" s="1" t="s">
        <v>3753</v>
      </c>
      <c r="C1584" s="1" t="s">
        <v>3754</v>
      </c>
      <c r="D1584" s="1" t="str">
        <f>"1005"</f>
        <v>1005</v>
      </c>
      <c r="E1584" s="1" t="str">
        <f>"007915420"</f>
        <v>007915420</v>
      </c>
      <c r="F1584" s="1" t="s">
        <v>3755</v>
      </c>
      <c r="G1584" s="1" t="s">
        <v>16</v>
      </c>
      <c r="H1584" s="1" t="str">
        <f>"6"</f>
        <v>6</v>
      </c>
      <c r="I1584" s="2">
        <v>51.21</v>
      </c>
      <c r="J1584" s="3">
        <v>46122</v>
      </c>
      <c r="K1584" s="1" t="s">
        <v>3756</v>
      </c>
    </row>
    <row r="1585" spans="1:11" x14ac:dyDescent="0.35">
      <c r="A1585" s="1" t="s">
        <v>3619</v>
      </c>
      <c r="B1585" s="1" t="s">
        <v>3753</v>
      </c>
      <c r="C1585" s="1" t="s">
        <v>3762</v>
      </c>
      <c r="D1585" s="1" t="str">
        <f>"3510"</f>
        <v>3510</v>
      </c>
      <c r="E1585" s="1" t="s">
        <v>3763</v>
      </c>
      <c r="F1585" s="1" t="s">
        <v>3764</v>
      </c>
      <c r="G1585" s="1" t="s">
        <v>16</v>
      </c>
      <c r="H1585" s="1" t="str">
        <f>"2"</f>
        <v>2</v>
      </c>
      <c r="I1585" s="2" t="str">
        <f>"357"</f>
        <v>357</v>
      </c>
      <c r="J1585" s="3">
        <v>46122</v>
      </c>
      <c r="K1585" s="1" t="s">
        <v>3765</v>
      </c>
    </row>
    <row r="1586" spans="1:11" x14ac:dyDescent="0.35">
      <c r="A1586" s="1" t="s">
        <v>3619</v>
      </c>
      <c r="B1586" s="1" t="s">
        <v>3753</v>
      </c>
      <c r="C1586" s="1" t="s">
        <v>3769</v>
      </c>
      <c r="D1586" s="1" t="str">
        <f>"5180"</f>
        <v>5180</v>
      </c>
      <c r="E1586" s="1" t="s">
        <v>88</v>
      </c>
      <c r="F1586" s="1" t="s">
        <v>89</v>
      </c>
      <c r="G1586" s="1" t="s">
        <v>16</v>
      </c>
      <c r="H1586" s="1" t="str">
        <f>"1"</f>
        <v>1</v>
      </c>
      <c r="I1586" s="2" t="str">
        <f>"700"</f>
        <v>700</v>
      </c>
      <c r="J1586" s="3">
        <v>46122</v>
      </c>
      <c r="K1586" s="1" t="s">
        <v>3770</v>
      </c>
    </row>
    <row r="1587" spans="1:11" x14ac:dyDescent="0.35">
      <c r="A1587" s="1" t="s">
        <v>3619</v>
      </c>
      <c r="B1587" s="1" t="s">
        <v>3753</v>
      </c>
      <c r="C1587" s="1" t="s">
        <v>3771</v>
      </c>
      <c r="D1587" s="1" t="str">
        <f>"5305"</f>
        <v>5305</v>
      </c>
      <c r="E1587" s="1" t="str">
        <f>"000129634"</f>
        <v>000129634</v>
      </c>
      <c r="F1587" s="1" t="s">
        <v>3772</v>
      </c>
      <c r="G1587" s="1" t="s">
        <v>2587</v>
      </c>
      <c r="H1587" s="1" t="str">
        <f>"100"</f>
        <v>100</v>
      </c>
      <c r="I1587" s="2">
        <v>5.58</v>
      </c>
      <c r="J1587" s="3">
        <v>46122</v>
      </c>
      <c r="K1587" s="1" t="s">
        <v>3773</v>
      </c>
    </row>
    <row r="1588" spans="1:11" x14ac:dyDescent="0.35">
      <c r="A1588" s="1" t="s">
        <v>3619</v>
      </c>
      <c r="B1588" s="1" t="s">
        <v>3753</v>
      </c>
      <c r="C1588" s="1" t="s">
        <v>3774</v>
      </c>
      <c r="D1588" s="1" t="str">
        <f>"6525"</f>
        <v>6525</v>
      </c>
      <c r="E1588" s="1" t="str">
        <f>"015298445"</f>
        <v>015298445</v>
      </c>
      <c r="F1588" s="1" t="s">
        <v>3775</v>
      </c>
      <c r="G1588" s="1" t="s">
        <v>16</v>
      </c>
      <c r="H1588" s="1" t="str">
        <f>"1"</f>
        <v>1</v>
      </c>
      <c r="I1588" s="2">
        <v>20711.5</v>
      </c>
      <c r="J1588" s="3">
        <v>46122</v>
      </c>
      <c r="K1588" s="1" t="s">
        <v>3776</v>
      </c>
    </row>
    <row r="1589" spans="1:11" x14ac:dyDescent="0.35">
      <c r="A1589" s="1" t="s">
        <v>3619</v>
      </c>
      <c r="B1589" s="1" t="s">
        <v>3753</v>
      </c>
      <c r="C1589" s="1" t="s">
        <v>3777</v>
      </c>
      <c r="D1589" s="1" t="str">
        <f>"6605"</f>
        <v>6605</v>
      </c>
      <c r="E1589" s="1" t="str">
        <f>"015716052"</f>
        <v>015716052</v>
      </c>
      <c r="F1589" s="1" t="s">
        <v>480</v>
      </c>
      <c r="G1589" s="1" t="s">
        <v>16</v>
      </c>
      <c r="H1589" s="1" t="str">
        <f>"1"</f>
        <v>1</v>
      </c>
      <c r="I1589" s="2">
        <v>62.75</v>
      </c>
      <c r="J1589" s="3">
        <v>46122</v>
      </c>
      <c r="K1589" s="1" t="s">
        <v>3778</v>
      </c>
    </row>
    <row r="1590" spans="1:11" x14ac:dyDescent="0.35">
      <c r="A1590" s="1" t="s">
        <v>3619</v>
      </c>
      <c r="B1590" s="1" t="s">
        <v>3753</v>
      </c>
      <c r="C1590" s="1" t="s">
        <v>3779</v>
      </c>
      <c r="D1590" s="1" t="str">
        <f>"6665"</f>
        <v>6665</v>
      </c>
      <c r="E1590" s="1" t="str">
        <f>"219061023"</f>
        <v>219061023</v>
      </c>
      <c r="F1590" s="1" t="s">
        <v>3780</v>
      </c>
      <c r="G1590" s="1" t="s">
        <v>16</v>
      </c>
      <c r="H1590" s="1" t="str">
        <f>"4"</f>
        <v>4</v>
      </c>
      <c r="I1590" s="2" t="str">
        <f>"2450"</f>
        <v>2450</v>
      </c>
      <c r="J1590" s="3">
        <v>46122</v>
      </c>
      <c r="K1590" s="1" t="s">
        <v>3781</v>
      </c>
    </row>
    <row r="1591" spans="1:11" x14ac:dyDescent="0.35">
      <c r="A1591" s="1" t="s">
        <v>3619</v>
      </c>
      <c r="B1591" s="1" t="s">
        <v>3753</v>
      </c>
      <c r="C1591" s="1" t="s">
        <v>3782</v>
      </c>
      <c r="D1591" s="1" t="str">
        <f>"6665"</f>
        <v>6665</v>
      </c>
      <c r="E1591" s="1" t="str">
        <f>"219061023"</f>
        <v>219061023</v>
      </c>
      <c r="F1591" s="1" t="s">
        <v>3780</v>
      </c>
      <c r="G1591" s="1" t="s">
        <v>16</v>
      </c>
      <c r="H1591" s="1" t="str">
        <f>"10"</f>
        <v>10</v>
      </c>
      <c r="I1591" s="2" t="str">
        <f>"2450"</f>
        <v>2450</v>
      </c>
      <c r="J1591" s="3">
        <v>46122</v>
      </c>
      <c r="K1591" s="1" t="s">
        <v>3783</v>
      </c>
    </row>
    <row r="1592" spans="1:11" x14ac:dyDescent="0.35">
      <c r="A1592" s="1" t="s">
        <v>3619</v>
      </c>
      <c r="B1592" s="1" t="s">
        <v>3753</v>
      </c>
      <c r="C1592" s="1" t="s">
        <v>3784</v>
      </c>
      <c r="D1592" s="1" t="str">
        <f>"7105"</f>
        <v>7105</v>
      </c>
      <c r="E1592" s="1" t="s">
        <v>3785</v>
      </c>
      <c r="F1592" s="1" t="s">
        <v>3786</v>
      </c>
      <c r="G1592" s="1" t="s">
        <v>16</v>
      </c>
      <c r="H1592" s="1" t="str">
        <f>"4"</f>
        <v>4</v>
      </c>
      <c r="I1592" s="2" t="str">
        <f>"500"</f>
        <v>500</v>
      </c>
      <c r="J1592" s="3">
        <v>46122</v>
      </c>
      <c r="K1592" s="1" t="s">
        <v>3787</v>
      </c>
    </row>
    <row r="1593" spans="1:11" x14ac:dyDescent="0.35">
      <c r="A1593" s="1" t="s">
        <v>3619</v>
      </c>
      <c r="B1593" s="1" t="s">
        <v>3753</v>
      </c>
      <c r="C1593" s="1" t="s">
        <v>3788</v>
      </c>
      <c r="D1593" s="1" t="str">
        <f>"7110"</f>
        <v>7110</v>
      </c>
      <c r="E1593" s="1" t="s">
        <v>2966</v>
      </c>
      <c r="F1593" s="1" t="s">
        <v>2967</v>
      </c>
      <c r="G1593" s="1" t="s">
        <v>16</v>
      </c>
      <c r="H1593" s="1" t="str">
        <f>"4"</f>
        <v>4</v>
      </c>
      <c r="I1593" s="2" t="str">
        <f>"100"</f>
        <v>100</v>
      </c>
      <c r="J1593" s="3">
        <v>46122</v>
      </c>
      <c r="K1593" s="1" t="s">
        <v>3789</v>
      </c>
    </row>
    <row r="1594" spans="1:11" x14ac:dyDescent="0.35">
      <c r="A1594" s="1" t="s">
        <v>3619</v>
      </c>
      <c r="B1594" s="1" t="s">
        <v>3753</v>
      </c>
      <c r="C1594" s="1" t="s">
        <v>3790</v>
      </c>
      <c r="D1594" s="1" t="str">
        <f>"7195"</f>
        <v>7195</v>
      </c>
      <c r="E1594" s="1" t="str">
        <f>"015909071"</f>
        <v>015909071</v>
      </c>
      <c r="F1594" s="1" t="s">
        <v>3688</v>
      </c>
      <c r="G1594" s="1" t="s">
        <v>16</v>
      </c>
      <c r="H1594" s="1" t="str">
        <f>"10"</f>
        <v>10</v>
      </c>
      <c r="I1594" s="2">
        <v>60.34</v>
      </c>
      <c r="J1594" s="3">
        <v>46122</v>
      </c>
      <c r="K1594" s="1" t="s">
        <v>3791</v>
      </c>
    </row>
    <row r="1595" spans="1:11" x14ac:dyDescent="0.35">
      <c r="A1595" s="1" t="s">
        <v>3619</v>
      </c>
      <c r="B1595" s="1" t="s">
        <v>3753</v>
      </c>
      <c r="C1595" s="1" t="s">
        <v>3792</v>
      </c>
      <c r="D1595" s="1" t="str">
        <f>"7310"</f>
        <v>7310</v>
      </c>
      <c r="E1595" s="1" t="s">
        <v>3793</v>
      </c>
      <c r="F1595" s="1" t="s">
        <v>3794</v>
      </c>
      <c r="G1595" s="1" t="s">
        <v>16</v>
      </c>
      <c r="H1595" s="1" t="str">
        <f>"3"</f>
        <v>3</v>
      </c>
      <c r="I1595" s="2" t="str">
        <f>"3000"</f>
        <v>3000</v>
      </c>
      <c r="J1595" s="3">
        <v>46122</v>
      </c>
      <c r="K1595" s="1" t="s">
        <v>3795</v>
      </c>
    </row>
    <row r="1596" spans="1:11" x14ac:dyDescent="0.35">
      <c r="A1596" s="1" t="s">
        <v>3619</v>
      </c>
      <c r="B1596" s="1" t="s">
        <v>3753</v>
      </c>
      <c r="C1596" s="1" t="s">
        <v>3802</v>
      </c>
      <c r="D1596" s="1" t="str">
        <f>"8340"</f>
        <v>8340</v>
      </c>
      <c r="E1596" s="1" t="str">
        <f>"016288855"</f>
        <v>016288855</v>
      </c>
      <c r="F1596" s="1" t="s">
        <v>253</v>
      </c>
      <c r="G1596" s="1" t="s">
        <v>16</v>
      </c>
      <c r="H1596" s="1" t="str">
        <f>"5"</f>
        <v>5</v>
      </c>
      <c r="I1596" s="2">
        <v>396.38</v>
      </c>
      <c r="J1596" s="3">
        <v>46122</v>
      </c>
      <c r="K1596" s="1" t="s">
        <v>3803</v>
      </c>
    </row>
    <row r="1597" spans="1:11" x14ac:dyDescent="0.35">
      <c r="A1597" s="1" t="s">
        <v>3619</v>
      </c>
      <c r="B1597" s="1" t="s">
        <v>3753</v>
      </c>
      <c r="C1597" s="1" t="s">
        <v>3804</v>
      </c>
      <c r="D1597" s="1" t="str">
        <f>"8340"</f>
        <v>8340</v>
      </c>
      <c r="E1597" s="1" t="str">
        <f>"016728427"</f>
        <v>016728427</v>
      </c>
      <c r="F1597" s="1" t="s">
        <v>888</v>
      </c>
      <c r="G1597" s="1" t="s">
        <v>16</v>
      </c>
      <c r="H1597" s="1" t="str">
        <f>"2"</f>
        <v>2</v>
      </c>
      <c r="I1597" s="2">
        <v>152.96</v>
      </c>
      <c r="J1597" s="3">
        <v>46122</v>
      </c>
      <c r="K1597" s="1" t="s">
        <v>3805</v>
      </c>
    </row>
    <row r="1598" spans="1:11" x14ac:dyDescent="0.35">
      <c r="A1598" s="1" t="s">
        <v>3619</v>
      </c>
      <c r="B1598" s="1" t="s">
        <v>3753</v>
      </c>
      <c r="C1598" s="1" t="s">
        <v>3806</v>
      </c>
      <c r="D1598" s="1" t="str">
        <f>"8415"</f>
        <v>8415</v>
      </c>
      <c r="E1598" s="1" t="str">
        <f>"002237628"</f>
        <v>002237628</v>
      </c>
      <c r="F1598" s="1" t="s">
        <v>2764</v>
      </c>
      <c r="G1598" s="1" t="s">
        <v>16</v>
      </c>
      <c r="H1598" s="1" t="str">
        <f>"18"</f>
        <v>18</v>
      </c>
      <c r="I1598" s="2">
        <v>56.83</v>
      </c>
      <c r="J1598" s="3">
        <v>46122</v>
      </c>
      <c r="K1598" s="1" t="s">
        <v>3807</v>
      </c>
    </row>
    <row r="1599" spans="1:11" x14ac:dyDescent="0.35">
      <c r="A1599" s="1" t="s">
        <v>3619</v>
      </c>
      <c r="B1599" s="1" t="s">
        <v>3753</v>
      </c>
      <c r="C1599" s="1" t="s">
        <v>3808</v>
      </c>
      <c r="D1599" s="1" t="str">
        <f>"8415"</f>
        <v>8415</v>
      </c>
      <c r="E1599" s="1" t="str">
        <f>"015841034"</f>
        <v>015841034</v>
      </c>
      <c r="F1599" s="1" t="s">
        <v>675</v>
      </c>
      <c r="G1599" s="1" t="s">
        <v>16</v>
      </c>
      <c r="H1599" s="1" t="str">
        <f>"1"</f>
        <v>1</v>
      </c>
      <c r="I1599" s="2">
        <v>134.36000000000001</v>
      </c>
      <c r="J1599" s="3">
        <v>46122</v>
      </c>
      <c r="K1599" s="1" t="s">
        <v>3809</v>
      </c>
    </row>
    <row r="1600" spans="1:11" x14ac:dyDescent="0.35">
      <c r="A1600" s="1" t="s">
        <v>3619</v>
      </c>
      <c r="B1600" s="1" t="s">
        <v>3753</v>
      </c>
      <c r="C1600" s="1" t="s">
        <v>3810</v>
      </c>
      <c r="D1600" s="1" t="str">
        <f>"8415"</f>
        <v>8415</v>
      </c>
      <c r="E1600" s="1" t="str">
        <f>"015778425"</f>
        <v>015778425</v>
      </c>
      <c r="F1600" s="1" t="s">
        <v>675</v>
      </c>
      <c r="G1600" s="1" t="s">
        <v>16</v>
      </c>
      <c r="H1600" s="1" t="str">
        <f>"1"</f>
        <v>1</v>
      </c>
      <c r="I1600" s="2">
        <v>134.36000000000001</v>
      </c>
      <c r="J1600" s="3">
        <v>46122</v>
      </c>
      <c r="K1600" s="1" t="s">
        <v>3809</v>
      </c>
    </row>
    <row r="1601" spans="1:11" x14ac:dyDescent="0.35">
      <c r="A1601" s="1" t="s">
        <v>3619</v>
      </c>
      <c r="B1601" s="1" t="s">
        <v>3753</v>
      </c>
      <c r="C1601" s="1" t="s">
        <v>3811</v>
      </c>
      <c r="D1601" s="1" t="str">
        <f>"8415"</f>
        <v>8415</v>
      </c>
      <c r="E1601" s="1" t="str">
        <f>"015386752"</f>
        <v>015386752</v>
      </c>
      <c r="F1601" s="1" t="s">
        <v>493</v>
      </c>
      <c r="G1601" s="1" t="s">
        <v>16</v>
      </c>
      <c r="H1601" s="1" t="str">
        <f>"1"</f>
        <v>1</v>
      </c>
      <c r="I1601" s="2">
        <v>63.88</v>
      </c>
      <c r="J1601" s="3">
        <v>46122</v>
      </c>
      <c r="K1601" s="1" t="s">
        <v>3807</v>
      </c>
    </row>
    <row r="1602" spans="1:11" x14ac:dyDescent="0.35">
      <c r="A1602" s="1" t="s">
        <v>3619</v>
      </c>
      <c r="B1602" s="1" t="s">
        <v>3753</v>
      </c>
      <c r="C1602" s="1" t="s">
        <v>3812</v>
      </c>
      <c r="D1602" s="1" t="str">
        <f>"8415"</f>
        <v>8415</v>
      </c>
      <c r="E1602" s="1" t="str">
        <f>"015778518"</f>
        <v>015778518</v>
      </c>
      <c r="F1602" s="1" t="s">
        <v>675</v>
      </c>
      <c r="G1602" s="1" t="s">
        <v>16</v>
      </c>
      <c r="H1602" s="1" t="str">
        <f>"1"</f>
        <v>1</v>
      </c>
      <c r="I1602" s="2">
        <v>134.36000000000001</v>
      </c>
      <c r="J1602" s="3">
        <v>46122</v>
      </c>
      <c r="K1602" s="1" t="s">
        <v>3809</v>
      </c>
    </row>
    <row r="1603" spans="1:11" x14ac:dyDescent="0.35">
      <c r="A1603" s="1" t="s">
        <v>3619</v>
      </c>
      <c r="B1603" s="1" t="s">
        <v>3753</v>
      </c>
      <c r="C1603" s="1" t="s">
        <v>3813</v>
      </c>
      <c r="D1603" s="1" t="str">
        <f>"8415"</f>
        <v>8415</v>
      </c>
      <c r="E1603" s="1" t="str">
        <f>"015386747"</f>
        <v>015386747</v>
      </c>
      <c r="F1603" s="1" t="s">
        <v>493</v>
      </c>
      <c r="G1603" s="1" t="s">
        <v>16</v>
      </c>
      <c r="H1603" s="1" t="str">
        <f>"1"</f>
        <v>1</v>
      </c>
      <c r="I1603" s="2">
        <v>63.88</v>
      </c>
      <c r="J1603" s="3">
        <v>46122</v>
      </c>
      <c r="K1603" s="1" t="s">
        <v>3807</v>
      </c>
    </row>
    <row r="1604" spans="1:11" x14ac:dyDescent="0.35">
      <c r="A1604" s="1" t="s">
        <v>3619</v>
      </c>
      <c r="B1604" s="1" t="s">
        <v>3824</v>
      </c>
      <c r="C1604" s="1" t="s">
        <v>3827</v>
      </c>
      <c r="D1604" s="1" t="str">
        <f>"5180"</f>
        <v>5180</v>
      </c>
      <c r="E1604" s="1" t="str">
        <f>"015375424"</f>
        <v>015375424</v>
      </c>
      <c r="F1604" s="1" t="s">
        <v>478</v>
      </c>
      <c r="G1604" s="1" t="s">
        <v>215</v>
      </c>
      <c r="H1604" s="1" t="str">
        <f>"1"</f>
        <v>1</v>
      </c>
      <c r="I1604" s="2" t="str">
        <f>"10334"</f>
        <v>10334</v>
      </c>
      <c r="J1604" s="3">
        <v>46122</v>
      </c>
      <c r="K1604" s="1" t="s">
        <v>3826</v>
      </c>
    </row>
    <row r="1605" spans="1:11" x14ac:dyDescent="0.35">
      <c r="A1605" s="1" t="s">
        <v>3619</v>
      </c>
      <c r="B1605" s="1" t="s">
        <v>3824</v>
      </c>
      <c r="C1605" s="1" t="s">
        <v>3828</v>
      </c>
      <c r="D1605" s="1" t="str">
        <f>"5180"</f>
        <v>5180</v>
      </c>
      <c r="E1605" s="1" t="str">
        <f>"016282375"</f>
        <v>016282375</v>
      </c>
      <c r="F1605" s="1" t="s">
        <v>2993</v>
      </c>
      <c r="G1605" s="1" t="s">
        <v>215</v>
      </c>
      <c r="H1605" s="1" t="str">
        <f>"32"</f>
        <v>32</v>
      </c>
      <c r="I1605" s="2" t="str">
        <f>"3655"</f>
        <v>3655</v>
      </c>
      <c r="J1605" s="3">
        <v>46122</v>
      </c>
      <c r="K1605" s="1" t="s">
        <v>3829</v>
      </c>
    </row>
    <row r="1606" spans="1:11" x14ac:dyDescent="0.35">
      <c r="A1606" s="1" t="s">
        <v>3619</v>
      </c>
      <c r="B1606" s="1" t="s">
        <v>3824</v>
      </c>
      <c r="C1606" s="1" t="s">
        <v>3831</v>
      </c>
      <c r="D1606" s="1" t="str">
        <f>"5180"</f>
        <v>5180</v>
      </c>
      <c r="E1606" s="1" t="str">
        <f>"014830249"</f>
        <v>014830249</v>
      </c>
      <c r="F1606" s="1" t="s">
        <v>792</v>
      </c>
      <c r="G1606" s="1" t="s">
        <v>458</v>
      </c>
      <c r="H1606" s="1" t="str">
        <f>"10"</f>
        <v>10</v>
      </c>
      <c r="I1606" s="2" t="str">
        <f>"1780"</f>
        <v>1780</v>
      </c>
      <c r="J1606" s="3">
        <v>46122</v>
      </c>
      <c r="K1606" s="1" t="s">
        <v>3832</v>
      </c>
    </row>
    <row r="1607" spans="1:11" x14ac:dyDescent="0.35">
      <c r="A1607" s="1" t="s">
        <v>3619</v>
      </c>
      <c r="B1607" s="1" t="s">
        <v>3824</v>
      </c>
      <c r="C1607" s="1" t="s">
        <v>3833</v>
      </c>
      <c r="D1607" s="1" t="str">
        <f>"5180"</f>
        <v>5180</v>
      </c>
      <c r="E1607" s="1" t="str">
        <f>"014618105"</f>
        <v>014618105</v>
      </c>
      <c r="F1607" s="1" t="s">
        <v>3834</v>
      </c>
      <c r="G1607" s="1" t="s">
        <v>16</v>
      </c>
      <c r="H1607" s="1" t="str">
        <f>"4"</f>
        <v>4</v>
      </c>
      <c r="I1607" s="2">
        <v>9835.73</v>
      </c>
      <c r="J1607" s="3">
        <v>46122</v>
      </c>
      <c r="K1607" s="1" t="s">
        <v>3835</v>
      </c>
    </row>
    <row r="1608" spans="1:11" x14ac:dyDescent="0.35">
      <c r="A1608" s="1" t="s">
        <v>3619</v>
      </c>
      <c r="B1608" s="1" t="s">
        <v>3824</v>
      </c>
      <c r="C1608" s="1" t="s">
        <v>3836</v>
      </c>
      <c r="D1608" s="1" t="str">
        <f>"5180"</f>
        <v>5180</v>
      </c>
      <c r="E1608" s="1" t="str">
        <f>"015878129"</f>
        <v>015878129</v>
      </c>
      <c r="F1608" s="1" t="s">
        <v>2993</v>
      </c>
      <c r="G1608" s="1" t="s">
        <v>16</v>
      </c>
      <c r="H1608" s="1" t="str">
        <f>"6"</f>
        <v>6</v>
      </c>
      <c r="I1608" s="2">
        <v>1720.12</v>
      </c>
      <c r="J1608" s="3">
        <v>46122</v>
      </c>
      <c r="K1608" s="1" t="s">
        <v>3837</v>
      </c>
    </row>
    <row r="1609" spans="1:11" x14ac:dyDescent="0.35">
      <c r="A1609" s="1" t="s">
        <v>3619</v>
      </c>
      <c r="B1609" s="1" t="s">
        <v>3824</v>
      </c>
      <c r="C1609" s="1" t="s">
        <v>3841</v>
      </c>
      <c r="D1609" s="1" t="str">
        <f>"8465"</f>
        <v>8465</v>
      </c>
      <c r="E1609" s="1" t="str">
        <f>"015151156"</f>
        <v>015151156</v>
      </c>
      <c r="F1609" s="1" t="s">
        <v>3842</v>
      </c>
      <c r="G1609" s="1" t="s">
        <v>352</v>
      </c>
      <c r="H1609" s="1" t="str">
        <f>"25"</f>
        <v>25</v>
      </c>
      <c r="I1609" s="2">
        <v>96.42</v>
      </c>
      <c r="J1609" s="3">
        <v>46126</v>
      </c>
      <c r="K1609" s="1" t="s">
        <v>3843</v>
      </c>
    </row>
    <row r="1610" spans="1:11" x14ac:dyDescent="0.35">
      <c r="A1610" s="1" t="s">
        <v>3619</v>
      </c>
      <c r="B1610" s="1" t="s">
        <v>3753</v>
      </c>
      <c r="C1610" s="1" t="s">
        <v>3757</v>
      </c>
      <c r="D1610" s="1" t="str">
        <f>"1740"</f>
        <v>1740</v>
      </c>
      <c r="E1610" s="1" t="str">
        <f>"013894119"</f>
        <v>013894119</v>
      </c>
      <c r="F1610" s="1" t="s">
        <v>3758</v>
      </c>
      <c r="G1610" s="1" t="s">
        <v>16</v>
      </c>
      <c r="H1610" s="1" t="str">
        <f>"1"</f>
        <v>1</v>
      </c>
      <c r="I1610" s="2">
        <v>29723.74</v>
      </c>
      <c r="J1610" s="3">
        <v>46128</v>
      </c>
      <c r="K1610" s="1" t="s">
        <v>3759</v>
      </c>
    </row>
    <row r="1611" spans="1:11" x14ac:dyDescent="0.35">
      <c r="A1611" s="1" t="s">
        <v>3619</v>
      </c>
      <c r="B1611" s="1" t="s">
        <v>3753</v>
      </c>
      <c r="C1611" s="1" t="s">
        <v>3760</v>
      </c>
      <c r="D1611" s="1" t="str">
        <f>"2330"</f>
        <v>2330</v>
      </c>
      <c r="E1611" s="1" t="s">
        <v>70</v>
      </c>
      <c r="F1611" s="1" t="s">
        <v>71</v>
      </c>
      <c r="G1611" s="1" t="s">
        <v>16</v>
      </c>
      <c r="H1611" s="1" t="str">
        <f>"1"</f>
        <v>1</v>
      </c>
      <c r="I1611" s="2" t="str">
        <f>"4500"</f>
        <v>4500</v>
      </c>
      <c r="J1611" s="3">
        <v>46128</v>
      </c>
      <c r="K1611" s="1" t="s">
        <v>3761</v>
      </c>
    </row>
    <row r="1612" spans="1:11" x14ac:dyDescent="0.35">
      <c r="A1612" s="1" t="s">
        <v>3619</v>
      </c>
      <c r="B1612" s="1" t="s">
        <v>3753</v>
      </c>
      <c r="C1612" s="1" t="s">
        <v>3766</v>
      </c>
      <c r="D1612" s="1" t="str">
        <f>"4610"</f>
        <v>4610</v>
      </c>
      <c r="E1612" s="1" t="str">
        <f>"013136086"</f>
        <v>013136086</v>
      </c>
      <c r="F1612" s="1" t="s">
        <v>3767</v>
      </c>
      <c r="G1612" s="1" t="s">
        <v>16</v>
      </c>
      <c r="H1612" s="1" t="str">
        <f>"16"</f>
        <v>16</v>
      </c>
      <c r="I1612" s="2">
        <v>3992.19</v>
      </c>
      <c r="J1612" s="3">
        <v>46128</v>
      </c>
      <c r="K1612" s="1" t="s">
        <v>3768</v>
      </c>
    </row>
    <row r="1613" spans="1:11" x14ac:dyDescent="0.35">
      <c r="A1613" s="1" t="s">
        <v>3619</v>
      </c>
      <c r="B1613" s="1" t="s">
        <v>3753</v>
      </c>
      <c r="C1613" s="1" t="s">
        <v>3796</v>
      </c>
      <c r="D1613" s="1" t="str">
        <f>"7490"</f>
        <v>7490</v>
      </c>
      <c r="E1613" s="1" t="s">
        <v>3797</v>
      </c>
      <c r="F1613" s="1" t="s">
        <v>3798</v>
      </c>
      <c r="G1613" s="1" t="s">
        <v>16</v>
      </c>
      <c r="H1613" s="1" t="str">
        <f>"1"</f>
        <v>1</v>
      </c>
      <c r="I1613" s="2" t="str">
        <f>"75"</f>
        <v>75</v>
      </c>
      <c r="J1613" s="3">
        <v>46128</v>
      </c>
      <c r="K1613" s="1" t="s">
        <v>3799</v>
      </c>
    </row>
    <row r="1614" spans="1:11" x14ac:dyDescent="0.35">
      <c r="A1614" s="1" t="s">
        <v>3619</v>
      </c>
      <c r="B1614" s="1" t="s">
        <v>3753</v>
      </c>
      <c r="C1614" s="1" t="s">
        <v>3800</v>
      </c>
      <c r="D1614" s="1" t="str">
        <f>"7810"</f>
        <v>7810</v>
      </c>
      <c r="E1614" s="1" t="s">
        <v>2712</v>
      </c>
      <c r="F1614" s="1" t="s">
        <v>2713</v>
      </c>
      <c r="G1614" s="1" t="s">
        <v>16</v>
      </c>
      <c r="H1614" s="1" t="str">
        <f>"9"</f>
        <v>9</v>
      </c>
      <c r="I1614" s="2" t="str">
        <f>"50"</f>
        <v>50</v>
      </c>
      <c r="J1614" s="3">
        <v>46128</v>
      </c>
      <c r="K1614" s="1" t="s">
        <v>3801</v>
      </c>
    </row>
    <row r="1615" spans="1:11" x14ac:dyDescent="0.35">
      <c r="A1615" s="1" t="s">
        <v>3619</v>
      </c>
      <c r="B1615" s="1" t="s">
        <v>3625</v>
      </c>
      <c r="C1615" s="1" t="s">
        <v>3739</v>
      </c>
      <c r="D1615" s="1" t="str">
        <f>"8465"</f>
        <v>8465</v>
      </c>
      <c r="E1615" s="1" t="str">
        <f>"015247635"</f>
        <v>015247635</v>
      </c>
      <c r="F1615" s="1" t="s">
        <v>3740</v>
      </c>
      <c r="G1615" s="1" t="s">
        <v>16</v>
      </c>
      <c r="H1615" s="1" t="str">
        <f>"1"</f>
        <v>1</v>
      </c>
      <c r="I1615" s="2">
        <v>121.05</v>
      </c>
      <c r="J1615" s="3">
        <v>46142</v>
      </c>
      <c r="K1615" s="1" t="s">
        <v>3741</v>
      </c>
    </row>
    <row r="1616" spans="1:11" x14ac:dyDescent="0.35">
      <c r="A1616" s="1" t="s">
        <v>3619</v>
      </c>
      <c r="B1616" s="1" t="s">
        <v>3814</v>
      </c>
      <c r="C1616" s="1" t="s">
        <v>3819</v>
      </c>
      <c r="D1616" s="1" t="str">
        <f>"5365"</f>
        <v>5365</v>
      </c>
      <c r="E1616" s="1" t="str">
        <f>"015119954"</f>
        <v>015119954</v>
      </c>
      <c r="F1616" s="1" t="s">
        <v>3820</v>
      </c>
      <c r="G1616" s="1" t="s">
        <v>16</v>
      </c>
      <c r="H1616" s="1" t="str">
        <f>"1"</f>
        <v>1</v>
      </c>
      <c r="I1616" s="2">
        <v>227.39</v>
      </c>
      <c r="J1616" s="3">
        <v>46149</v>
      </c>
      <c r="K1616" s="1" t="s">
        <v>3821</v>
      </c>
    </row>
    <row r="1617" spans="1:11" x14ac:dyDescent="0.35">
      <c r="A1617" s="1" t="s">
        <v>3619</v>
      </c>
      <c r="B1617" s="1" t="s">
        <v>3625</v>
      </c>
      <c r="C1617" s="1" t="s">
        <v>3645</v>
      </c>
      <c r="D1617" s="1" t="str">
        <f>"5440"</f>
        <v>5440</v>
      </c>
      <c r="E1617" s="1" t="str">
        <f>"013449253"</f>
        <v>013449253</v>
      </c>
      <c r="F1617" s="1" t="s">
        <v>3646</v>
      </c>
      <c r="G1617" s="1" t="s">
        <v>16</v>
      </c>
      <c r="H1617" s="1" t="str">
        <f>"1"</f>
        <v>1</v>
      </c>
      <c r="I1617" s="2">
        <v>832.02</v>
      </c>
      <c r="J1617" s="3">
        <v>46150</v>
      </c>
      <c r="K1617" s="1" t="s">
        <v>3647</v>
      </c>
    </row>
    <row r="1618" spans="1:11" x14ac:dyDescent="0.35">
      <c r="A1618" s="1" t="s">
        <v>3619</v>
      </c>
      <c r="B1618" s="1" t="s">
        <v>3625</v>
      </c>
      <c r="C1618" s="1" t="s">
        <v>3648</v>
      </c>
      <c r="D1618" s="1" t="str">
        <f>"5895"</f>
        <v>5895</v>
      </c>
      <c r="E1618" s="1" t="str">
        <f>"015957000"</f>
        <v>015957000</v>
      </c>
      <c r="F1618" s="1" t="s">
        <v>3649</v>
      </c>
      <c r="G1618" s="1" t="s">
        <v>16</v>
      </c>
      <c r="H1618" s="1" t="str">
        <f>"5"</f>
        <v>5</v>
      </c>
      <c r="I1618" s="2">
        <v>46.29</v>
      </c>
      <c r="J1618" s="3">
        <v>46150</v>
      </c>
      <c r="K1618" s="1" t="s">
        <v>3650</v>
      </c>
    </row>
    <row r="1619" spans="1:11" x14ac:dyDescent="0.35">
      <c r="A1619" s="1" t="s">
        <v>3619</v>
      </c>
      <c r="B1619" s="1" t="s">
        <v>3625</v>
      </c>
      <c r="C1619" s="1" t="s">
        <v>3651</v>
      </c>
      <c r="D1619" s="1" t="str">
        <f>"6230"</f>
        <v>6230</v>
      </c>
      <c r="E1619" s="1" t="str">
        <f>"016577314"</f>
        <v>016577314</v>
      </c>
      <c r="F1619" s="1" t="s">
        <v>830</v>
      </c>
      <c r="G1619" s="1" t="s">
        <v>16</v>
      </c>
      <c r="H1619" s="1" t="str">
        <f>"3"</f>
        <v>3</v>
      </c>
      <c r="I1619" s="2">
        <v>155.58000000000001</v>
      </c>
      <c r="J1619" s="3">
        <v>46150</v>
      </c>
      <c r="K1619" s="1" t="s">
        <v>3652</v>
      </c>
    </row>
    <row r="1620" spans="1:11" x14ac:dyDescent="0.35">
      <c r="A1620" s="1" t="s">
        <v>3619</v>
      </c>
      <c r="B1620" s="1" t="s">
        <v>3625</v>
      </c>
      <c r="C1620" s="1" t="s">
        <v>3698</v>
      </c>
      <c r="D1620" s="1" t="str">
        <f>"7320"</f>
        <v>7320</v>
      </c>
      <c r="E1620" s="1" t="str">
        <f>"010435415"</f>
        <v>010435415</v>
      </c>
      <c r="F1620" s="1" t="s">
        <v>2919</v>
      </c>
      <c r="G1620" s="1" t="s">
        <v>16</v>
      </c>
      <c r="H1620" s="1" t="str">
        <f>"5"</f>
        <v>5</v>
      </c>
      <c r="I1620" s="2">
        <v>24.8</v>
      </c>
      <c r="J1620" s="3">
        <v>46150</v>
      </c>
      <c r="K1620" s="1" t="s">
        <v>3699</v>
      </c>
    </row>
    <row r="1621" spans="1:11" x14ac:dyDescent="0.35">
      <c r="A1621" s="1" t="s">
        <v>3619</v>
      </c>
      <c r="B1621" s="1" t="s">
        <v>3625</v>
      </c>
      <c r="C1621" s="1" t="s">
        <v>3746</v>
      </c>
      <c r="D1621" s="1" t="str">
        <f>"8465"</f>
        <v>8465</v>
      </c>
      <c r="E1621" s="1" t="str">
        <f>"016416358"</f>
        <v>016416358</v>
      </c>
      <c r="F1621" s="1" t="s">
        <v>653</v>
      </c>
      <c r="G1621" s="1" t="s">
        <v>16</v>
      </c>
      <c r="H1621" s="1" t="str">
        <f>"4"</f>
        <v>4</v>
      </c>
      <c r="I1621" s="2">
        <v>116.7</v>
      </c>
      <c r="J1621" s="3">
        <v>46150</v>
      </c>
      <c r="K1621" s="1" t="s">
        <v>3747</v>
      </c>
    </row>
    <row r="1622" spans="1:11" x14ac:dyDescent="0.35">
      <c r="A1622" s="1" t="s">
        <v>3619</v>
      </c>
      <c r="B1622" s="1" t="s">
        <v>3625</v>
      </c>
      <c r="C1622" s="1" t="s">
        <v>3748</v>
      </c>
      <c r="D1622" s="1" t="str">
        <f>"8465"</f>
        <v>8465</v>
      </c>
      <c r="E1622" s="1" t="str">
        <f>"014652088"</f>
        <v>014652088</v>
      </c>
      <c r="F1622" s="1" t="s">
        <v>1255</v>
      </c>
      <c r="G1622" s="1" t="s">
        <v>16</v>
      </c>
      <c r="H1622" s="1" t="str">
        <f>"1"</f>
        <v>1</v>
      </c>
      <c r="I1622" s="2">
        <v>66.31</v>
      </c>
      <c r="J1622" s="3">
        <v>46150</v>
      </c>
      <c r="K1622" s="1" t="s">
        <v>3749</v>
      </c>
    </row>
    <row r="1623" spans="1:11" x14ac:dyDescent="0.35">
      <c r="A1623" s="1" t="s">
        <v>3619</v>
      </c>
      <c r="B1623" s="1" t="s">
        <v>3750</v>
      </c>
      <c r="C1623" s="1" t="s">
        <v>3751</v>
      </c>
      <c r="D1623" s="1" t="str">
        <f>"8140"</f>
        <v>8140</v>
      </c>
      <c r="E1623" s="1" t="str">
        <f>"009601699"</f>
        <v>009601699</v>
      </c>
      <c r="F1623" s="1" t="s">
        <v>1085</v>
      </c>
      <c r="G1623" s="1" t="s">
        <v>16</v>
      </c>
      <c r="H1623" s="1" t="str">
        <f>"50"</f>
        <v>50</v>
      </c>
      <c r="I1623" s="2">
        <v>11.1</v>
      </c>
      <c r="J1623" s="3">
        <v>46171</v>
      </c>
      <c r="K1623" s="1" t="s">
        <v>3752</v>
      </c>
    </row>
    <row r="1624" spans="1:11" x14ac:dyDescent="0.35">
      <c r="A1624" s="1" t="s">
        <v>3619</v>
      </c>
      <c r="B1624" s="1" t="s">
        <v>3620</v>
      </c>
      <c r="C1624" s="1" t="s">
        <v>3621</v>
      </c>
      <c r="D1624" s="1" t="str">
        <f>"8465"</f>
        <v>8465</v>
      </c>
      <c r="E1624" s="1" t="str">
        <f>"016007830"</f>
        <v>016007830</v>
      </c>
      <c r="F1624" s="1" t="s">
        <v>259</v>
      </c>
      <c r="G1624" s="1" t="s">
        <v>16</v>
      </c>
      <c r="H1624" s="1" t="str">
        <f>"25"</f>
        <v>25</v>
      </c>
      <c r="I1624" s="2">
        <v>123.43</v>
      </c>
      <c r="J1624" s="3">
        <v>46174</v>
      </c>
      <c r="K1624" s="1" t="s">
        <v>3622</v>
      </c>
    </row>
    <row r="1625" spans="1:11" x14ac:dyDescent="0.35">
      <c r="A1625" s="1" t="s">
        <v>3619</v>
      </c>
      <c r="B1625" s="1" t="s">
        <v>3620</v>
      </c>
      <c r="C1625" s="1" t="s">
        <v>3623</v>
      </c>
      <c r="D1625" s="1" t="str">
        <f>"8465"</f>
        <v>8465</v>
      </c>
      <c r="E1625" s="1" t="str">
        <f>"016026934"</f>
        <v>016026934</v>
      </c>
      <c r="F1625" s="1" t="s">
        <v>653</v>
      </c>
      <c r="G1625" s="1" t="s">
        <v>16</v>
      </c>
      <c r="H1625" s="1" t="str">
        <f>"12"</f>
        <v>12</v>
      </c>
      <c r="I1625" s="2">
        <v>302.18</v>
      </c>
      <c r="J1625" s="3">
        <v>46174</v>
      </c>
      <c r="K1625" s="1" t="s">
        <v>3624</v>
      </c>
    </row>
    <row r="1626" spans="1:11" x14ac:dyDescent="0.35">
      <c r="A1626" s="1" t="s">
        <v>3619</v>
      </c>
      <c r="B1626" s="1" t="s">
        <v>3625</v>
      </c>
      <c r="C1626" s="1" t="s">
        <v>3641</v>
      </c>
      <c r="D1626" s="1" t="str">
        <f>"5180"</f>
        <v>5180</v>
      </c>
      <c r="E1626" s="1" t="str">
        <f>"014830249"</f>
        <v>014830249</v>
      </c>
      <c r="F1626" s="1" t="s">
        <v>792</v>
      </c>
      <c r="G1626" s="1" t="s">
        <v>458</v>
      </c>
      <c r="H1626" s="1" t="str">
        <f>"3"</f>
        <v>3</v>
      </c>
      <c r="I1626" s="2" t="str">
        <f>"1780"</f>
        <v>1780</v>
      </c>
      <c r="J1626" s="3">
        <v>46178</v>
      </c>
      <c r="K1626" s="1" t="s">
        <v>3642</v>
      </c>
    </row>
    <row r="1627" spans="1:11" x14ac:dyDescent="0.35">
      <c r="A1627" s="1" t="s">
        <v>3619</v>
      </c>
      <c r="B1627" s="1" t="s">
        <v>3625</v>
      </c>
      <c r="C1627" s="1" t="s">
        <v>3643</v>
      </c>
      <c r="D1627" s="1" t="str">
        <f>"5180"</f>
        <v>5180</v>
      </c>
      <c r="E1627" s="1" t="str">
        <f>"015068287"</f>
        <v>015068287</v>
      </c>
      <c r="F1627" s="1" t="s">
        <v>1076</v>
      </c>
      <c r="G1627" s="1" t="s">
        <v>215</v>
      </c>
      <c r="H1627" s="1" t="str">
        <f>"1"</f>
        <v>1</v>
      </c>
      <c r="I1627" s="2" t="str">
        <f>"1774"</f>
        <v>1774</v>
      </c>
      <c r="J1627" s="3">
        <v>46178</v>
      </c>
      <c r="K1627" s="1" t="s">
        <v>3644</v>
      </c>
    </row>
    <row r="1628" spans="1:11" x14ac:dyDescent="0.35">
      <c r="A1628" s="1" t="s">
        <v>3619</v>
      </c>
      <c r="B1628" s="1" t="s">
        <v>3625</v>
      </c>
      <c r="C1628" s="1" t="s">
        <v>3664</v>
      </c>
      <c r="D1628" s="1" t="str">
        <f>"7010"</f>
        <v>7010</v>
      </c>
      <c r="E1628" s="1" t="s">
        <v>1640</v>
      </c>
      <c r="F1628" s="1" t="s">
        <v>1641</v>
      </c>
      <c r="G1628" s="1" t="s">
        <v>16</v>
      </c>
      <c r="H1628" s="1" t="str">
        <f>"1"</f>
        <v>1</v>
      </c>
      <c r="I1628" s="2">
        <v>1182.43</v>
      </c>
      <c r="J1628" s="3">
        <v>46178</v>
      </c>
      <c r="K1628" s="1" t="s">
        <v>3665</v>
      </c>
    </row>
    <row r="1629" spans="1:11" x14ac:dyDescent="0.35">
      <c r="A1629" s="1" t="s">
        <v>3619</v>
      </c>
      <c r="B1629" s="1" t="s">
        <v>3625</v>
      </c>
      <c r="C1629" s="1" t="s">
        <v>3669</v>
      </c>
      <c r="D1629" s="1" t="str">
        <f>"7021"</f>
        <v>7021</v>
      </c>
      <c r="E1629" s="1" t="s">
        <v>1644</v>
      </c>
      <c r="F1629" s="1" t="s">
        <v>1645</v>
      </c>
      <c r="G1629" s="1" t="s">
        <v>16</v>
      </c>
      <c r="H1629" s="1" t="str">
        <f>"3"</f>
        <v>3</v>
      </c>
      <c r="I1629" s="2" t="str">
        <f>"400"</f>
        <v>400</v>
      </c>
      <c r="J1629" s="3">
        <v>46178</v>
      </c>
      <c r="K1629" s="1" t="s">
        <v>3670</v>
      </c>
    </row>
    <row r="1630" spans="1:11" x14ac:dyDescent="0.35">
      <c r="A1630" s="1" t="s">
        <v>3619</v>
      </c>
      <c r="B1630" s="1" t="s">
        <v>3625</v>
      </c>
      <c r="C1630" s="1" t="s">
        <v>3675</v>
      </c>
      <c r="D1630" s="1" t="str">
        <f>"7025"</f>
        <v>7025</v>
      </c>
      <c r="E1630" s="1" t="s">
        <v>1128</v>
      </c>
      <c r="F1630" s="1" t="s">
        <v>1129</v>
      </c>
      <c r="G1630" s="1" t="s">
        <v>16</v>
      </c>
      <c r="H1630" s="1" t="str">
        <f>"3"</f>
        <v>3</v>
      </c>
      <c r="I1630" s="2">
        <v>2674.22</v>
      </c>
      <c r="J1630" s="3">
        <v>46178</v>
      </c>
      <c r="K1630" s="1" t="s">
        <v>3676</v>
      </c>
    </row>
    <row r="1631" spans="1:11" x14ac:dyDescent="0.35">
      <c r="A1631" s="1" t="s">
        <v>3619</v>
      </c>
      <c r="B1631" s="1" t="s">
        <v>3625</v>
      </c>
      <c r="C1631" s="1" t="s">
        <v>3677</v>
      </c>
      <c r="D1631" s="1" t="str">
        <f>"7025"</f>
        <v>7025</v>
      </c>
      <c r="E1631" s="1" t="str">
        <f>"016844703"</f>
        <v>016844703</v>
      </c>
      <c r="F1631" s="1" t="s">
        <v>3678</v>
      </c>
      <c r="G1631" s="1" t="s">
        <v>16</v>
      </c>
      <c r="H1631" s="1" t="str">
        <f>"10"</f>
        <v>10</v>
      </c>
      <c r="I1631" s="2">
        <v>44.55</v>
      </c>
      <c r="J1631" s="3">
        <v>46178</v>
      </c>
      <c r="K1631" s="1" t="s">
        <v>3679</v>
      </c>
    </row>
    <row r="1632" spans="1:11" x14ac:dyDescent="0.35">
      <c r="A1632" s="1" t="s">
        <v>3619</v>
      </c>
      <c r="B1632" s="1" t="s">
        <v>3625</v>
      </c>
      <c r="C1632" s="1" t="s">
        <v>3680</v>
      </c>
      <c r="D1632" s="1" t="str">
        <f>"7025"</f>
        <v>7025</v>
      </c>
      <c r="E1632" s="1" t="s">
        <v>1128</v>
      </c>
      <c r="F1632" s="1" t="s">
        <v>1129</v>
      </c>
      <c r="G1632" s="1" t="s">
        <v>16</v>
      </c>
      <c r="H1632" s="1" t="str">
        <f>"2"</f>
        <v>2</v>
      </c>
      <c r="I1632" s="2" t="str">
        <f>"500"</f>
        <v>500</v>
      </c>
      <c r="J1632" s="3">
        <v>46178</v>
      </c>
      <c r="K1632" s="1" t="s">
        <v>3681</v>
      </c>
    </row>
    <row r="1633" spans="1:11" x14ac:dyDescent="0.35">
      <c r="A1633" s="1" t="s">
        <v>3619</v>
      </c>
      <c r="B1633" s="1" t="s">
        <v>3625</v>
      </c>
      <c r="C1633" s="1" t="s">
        <v>3682</v>
      </c>
      <c r="D1633" s="1" t="str">
        <f>"7025"</f>
        <v>7025</v>
      </c>
      <c r="E1633" s="1" t="s">
        <v>1128</v>
      </c>
      <c r="F1633" s="1" t="s">
        <v>1129</v>
      </c>
      <c r="G1633" s="1" t="s">
        <v>16</v>
      </c>
      <c r="H1633" s="1" t="str">
        <f>"2"</f>
        <v>2</v>
      </c>
      <c r="I1633" s="2" t="str">
        <f>"2380"</f>
        <v>2380</v>
      </c>
      <c r="J1633" s="3">
        <v>46178</v>
      </c>
      <c r="K1633" s="1" t="s">
        <v>3683</v>
      </c>
    </row>
    <row r="1634" spans="1:11" x14ac:dyDescent="0.35">
      <c r="A1634" s="1" t="s">
        <v>3619</v>
      </c>
      <c r="B1634" s="1" t="s">
        <v>3625</v>
      </c>
      <c r="C1634" s="1" t="s">
        <v>3711</v>
      </c>
      <c r="D1634" s="1" t="str">
        <f>"8430"</f>
        <v>8430</v>
      </c>
      <c r="E1634" s="1" t="str">
        <f>"014344789"</f>
        <v>014344789</v>
      </c>
      <c r="F1634" s="1" t="s">
        <v>1777</v>
      </c>
      <c r="G1634" s="1" t="s">
        <v>311</v>
      </c>
      <c r="H1634" s="1" t="str">
        <f>"5"</f>
        <v>5</v>
      </c>
      <c r="I1634" s="2">
        <v>81.680000000000007</v>
      </c>
      <c r="J1634" s="3">
        <v>46178</v>
      </c>
      <c r="K1634" s="1" t="s">
        <v>3712</v>
      </c>
    </row>
    <row r="1635" spans="1:11" x14ac:dyDescent="0.35">
      <c r="A1635" s="1" t="s">
        <v>3619</v>
      </c>
      <c r="B1635" s="1" t="s">
        <v>3625</v>
      </c>
      <c r="C1635" s="1" t="s">
        <v>3713</v>
      </c>
      <c r="D1635" s="1" t="str">
        <f>"8430"</f>
        <v>8430</v>
      </c>
      <c r="E1635" s="1" t="str">
        <f>"014344865"</f>
        <v>014344865</v>
      </c>
      <c r="F1635" s="1" t="s">
        <v>1777</v>
      </c>
      <c r="G1635" s="1" t="s">
        <v>311</v>
      </c>
      <c r="H1635" s="1" t="str">
        <f>"1"</f>
        <v>1</v>
      </c>
      <c r="I1635" s="2">
        <v>81.680000000000007</v>
      </c>
      <c r="J1635" s="3">
        <v>46178</v>
      </c>
      <c r="K1635" s="1" t="s">
        <v>3714</v>
      </c>
    </row>
    <row r="1636" spans="1:11" x14ac:dyDescent="0.35">
      <c r="A1636" s="1" t="s">
        <v>3619</v>
      </c>
      <c r="B1636" s="1" t="s">
        <v>3625</v>
      </c>
      <c r="C1636" s="1" t="s">
        <v>3715</v>
      </c>
      <c r="D1636" s="1" t="str">
        <f>"8430"</f>
        <v>8430</v>
      </c>
      <c r="E1636" s="1" t="str">
        <f>"014344862"</f>
        <v>014344862</v>
      </c>
      <c r="F1636" s="1" t="s">
        <v>1777</v>
      </c>
      <c r="G1636" s="1" t="s">
        <v>311</v>
      </c>
      <c r="H1636" s="1" t="str">
        <f>"2"</f>
        <v>2</v>
      </c>
      <c r="I1636" s="2">
        <v>81.680000000000007</v>
      </c>
      <c r="J1636" s="3">
        <v>46178</v>
      </c>
      <c r="K1636" s="1" t="s">
        <v>3714</v>
      </c>
    </row>
    <row r="1637" spans="1:11" x14ac:dyDescent="0.35">
      <c r="A1637" s="1" t="s">
        <v>3619</v>
      </c>
      <c r="B1637" s="1" t="s">
        <v>3625</v>
      </c>
      <c r="C1637" s="1" t="s">
        <v>3716</v>
      </c>
      <c r="D1637" s="1" t="str">
        <f>"8430"</f>
        <v>8430</v>
      </c>
      <c r="E1637" s="1" t="str">
        <f>"014344786"</f>
        <v>014344786</v>
      </c>
      <c r="F1637" s="1" t="s">
        <v>1777</v>
      </c>
      <c r="G1637" s="1" t="s">
        <v>311</v>
      </c>
      <c r="H1637" s="1" t="str">
        <f>"3"</f>
        <v>3</v>
      </c>
      <c r="I1637" s="2">
        <v>81.680000000000007</v>
      </c>
      <c r="J1637" s="3">
        <v>46178</v>
      </c>
      <c r="K1637" s="1" t="s">
        <v>3717</v>
      </c>
    </row>
    <row r="1638" spans="1:11" x14ac:dyDescent="0.35">
      <c r="A1638" s="1" t="s">
        <v>3619</v>
      </c>
      <c r="B1638" s="1" t="s">
        <v>3625</v>
      </c>
      <c r="C1638" s="1" t="s">
        <v>3718</v>
      </c>
      <c r="D1638" s="1" t="str">
        <f>"8430"</f>
        <v>8430</v>
      </c>
      <c r="E1638" s="1" t="str">
        <f>"014344784"</f>
        <v>014344784</v>
      </c>
      <c r="F1638" s="1" t="s">
        <v>1777</v>
      </c>
      <c r="G1638" s="1" t="s">
        <v>311</v>
      </c>
      <c r="H1638" s="1" t="str">
        <f>"3"</f>
        <v>3</v>
      </c>
      <c r="I1638" s="2">
        <v>81.680000000000007</v>
      </c>
      <c r="J1638" s="3">
        <v>46178</v>
      </c>
      <c r="K1638" s="1" t="s">
        <v>3717</v>
      </c>
    </row>
    <row r="1639" spans="1:11" x14ac:dyDescent="0.35">
      <c r="A1639" s="1" t="s">
        <v>3619</v>
      </c>
      <c r="B1639" s="1" t="s">
        <v>3625</v>
      </c>
      <c r="C1639" s="1" t="s">
        <v>3719</v>
      </c>
      <c r="D1639" s="1" t="str">
        <f>"8430"</f>
        <v>8430</v>
      </c>
      <c r="E1639" s="1" t="str">
        <f>"014344862"</f>
        <v>014344862</v>
      </c>
      <c r="F1639" s="1" t="s">
        <v>1777</v>
      </c>
      <c r="G1639" s="1" t="s">
        <v>311</v>
      </c>
      <c r="H1639" s="1" t="str">
        <f>"2"</f>
        <v>2</v>
      </c>
      <c r="I1639" s="2">
        <v>81.680000000000007</v>
      </c>
      <c r="J1639" s="3">
        <v>46178</v>
      </c>
      <c r="K1639" s="1" t="s">
        <v>3717</v>
      </c>
    </row>
    <row r="1640" spans="1:11" x14ac:dyDescent="0.35">
      <c r="A1640" s="1" t="s">
        <v>3619</v>
      </c>
      <c r="B1640" s="1" t="s">
        <v>3625</v>
      </c>
      <c r="C1640" s="1" t="s">
        <v>3720</v>
      </c>
      <c r="D1640" s="1" t="str">
        <f>"8430"</f>
        <v>8430</v>
      </c>
      <c r="E1640" s="1" t="str">
        <f>"014344798"</f>
        <v>014344798</v>
      </c>
      <c r="F1640" s="1" t="s">
        <v>1777</v>
      </c>
      <c r="G1640" s="1" t="s">
        <v>311</v>
      </c>
      <c r="H1640" s="1" t="str">
        <f>"2"</f>
        <v>2</v>
      </c>
      <c r="I1640" s="2">
        <v>81.680000000000007</v>
      </c>
      <c r="J1640" s="3">
        <v>46178</v>
      </c>
      <c r="K1640" s="1" t="s">
        <v>3717</v>
      </c>
    </row>
    <row r="1641" spans="1:11" x14ac:dyDescent="0.35">
      <c r="A1641" s="1" t="s">
        <v>3619</v>
      </c>
      <c r="B1641" s="1" t="s">
        <v>3625</v>
      </c>
      <c r="C1641" s="1" t="s">
        <v>3721</v>
      </c>
      <c r="D1641" s="1" t="str">
        <f>"8430"</f>
        <v>8430</v>
      </c>
      <c r="E1641" s="1" t="str">
        <f>"014344791"</f>
        <v>014344791</v>
      </c>
      <c r="F1641" s="1" t="s">
        <v>1777</v>
      </c>
      <c r="G1641" s="1" t="s">
        <v>311</v>
      </c>
      <c r="H1641" s="1" t="str">
        <f>"3"</f>
        <v>3</v>
      </c>
      <c r="I1641" s="2">
        <v>81.680000000000007</v>
      </c>
      <c r="J1641" s="3">
        <v>46178</v>
      </c>
      <c r="K1641" s="1" t="s">
        <v>3717</v>
      </c>
    </row>
    <row r="1642" spans="1:11" x14ac:dyDescent="0.35">
      <c r="A1642" s="1" t="s">
        <v>3619</v>
      </c>
      <c r="B1642" s="1" t="s">
        <v>3625</v>
      </c>
      <c r="C1642" s="1" t="s">
        <v>3722</v>
      </c>
      <c r="D1642" s="1" t="str">
        <f>"8430"</f>
        <v>8430</v>
      </c>
      <c r="E1642" s="1" t="str">
        <f>"014344795"</f>
        <v>014344795</v>
      </c>
      <c r="F1642" s="1" t="s">
        <v>1777</v>
      </c>
      <c r="G1642" s="1" t="s">
        <v>311</v>
      </c>
      <c r="H1642" s="1" t="str">
        <f>"3"</f>
        <v>3</v>
      </c>
      <c r="I1642" s="2">
        <v>81.680000000000007</v>
      </c>
      <c r="J1642" s="3">
        <v>46178</v>
      </c>
      <c r="K1642" s="1" t="s">
        <v>3717</v>
      </c>
    </row>
    <row r="1643" spans="1:11" x14ac:dyDescent="0.35">
      <c r="A1643" s="1" t="s">
        <v>3619</v>
      </c>
      <c r="B1643" s="1" t="s">
        <v>3625</v>
      </c>
      <c r="C1643" s="1" t="s">
        <v>3723</v>
      </c>
      <c r="D1643" s="1" t="str">
        <f>"8430"</f>
        <v>8430</v>
      </c>
      <c r="E1643" s="1" t="str">
        <f>"014344801"</f>
        <v>014344801</v>
      </c>
      <c r="F1643" s="1" t="s">
        <v>1777</v>
      </c>
      <c r="G1643" s="1" t="s">
        <v>311</v>
      </c>
      <c r="H1643" s="1" t="str">
        <f>"4"</f>
        <v>4</v>
      </c>
      <c r="I1643" s="2">
        <v>81.680000000000007</v>
      </c>
      <c r="J1643" s="3">
        <v>46178</v>
      </c>
      <c r="K1643" s="1" t="s">
        <v>3717</v>
      </c>
    </row>
    <row r="1644" spans="1:11" x14ac:dyDescent="0.35">
      <c r="A1644" s="1" t="s">
        <v>3619</v>
      </c>
      <c r="B1644" s="1" t="s">
        <v>3625</v>
      </c>
      <c r="C1644" s="1" t="s">
        <v>3727</v>
      </c>
      <c r="D1644" s="1" t="str">
        <f>"8435"</f>
        <v>8435</v>
      </c>
      <c r="E1644" s="1" t="str">
        <f>"014358785"</f>
        <v>014358785</v>
      </c>
      <c r="F1644" s="1" t="s">
        <v>3728</v>
      </c>
      <c r="G1644" s="1" t="s">
        <v>311</v>
      </c>
      <c r="H1644" s="1" t="str">
        <f>"3"</f>
        <v>3</v>
      </c>
      <c r="I1644" s="2">
        <v>61.92</v>
      </c>
      <c r="J1644" s="3">
        <v>46178</v>
      </c>
      <c r="K1644" s="1" t="s">
        <v>3714</v>
      </c>
    </row>
    <row r="1645" spans="1:11" x14ac:dyDescent="0.35">
      <c r="A1645" s="1" t="s">
        <v>3619</v>
      </c>
      <c r="B1645" s="1" t="s">
        <v>3625</v>
      </c>
      <c r="C1645" s="1" t="s">
        <v>3729</v>
      </c>
      <c r="D1645" s="1" t="str">
        <f>"8435"</f>
        <v>8435</v>
      </c>
      <c r="E1645" s="1" t="str">
        <f>"014358857"</f>
        <v>014358857</v>
      </c>
      <c r="F1645" s="1" t="s">
        <v>3728</v>
      </c>
      <c r="G1645" s="1" t="s">
        <v>311</v>
      </c>
      <c r="H1645" s="1" t="str">
        <f>"2"</f>
        <v>2</v>
      </c>
      <c r="I1645" s="2">
        <v>61.92</v>
      </c>
      <c r="J1645" s="3">
        <v>46178</v>
      </c>
      <c r="K1645" s="1" t="s">
        <v>3717</v>
      </c>
    </row>
    <row r="1646" spans="1:11" x14ac:dyDescent="0.35">
      <c r="A1646" s="1" t="s">
        <v>3619</v>
      </c>
      <c r="B1646" s="1" t="s">
        <v>3625</v>
      </c>
      <c r="C1646" s="1" t="s">
        <v>3730</v>
      </c>
      <c r="D1646" s="1" t="str">
        <f>"8435"</f>
        <v>8435</v>
      </c>
      <c r="E1646" s="1" t="str">
        <f>"014489296"</f>
        <v>014489296</v>
      </c>
      <c r="F1646" s="1" t="s">
        <v>3728</v>
      </c>
      <c r="G1646" s="1" t="s">
        <v>311</v>
      </c>
      <c r="H1646" s="1" t="str">
        <f>"1"</f>
        <v>1</v>
      </c>
      <c r="I1646" s="2">
        <v>61.92</v>
      </c>
      <c r="J1646" s="3">
        <v>46178</v>
      </c>
      <c r="K1646" s="1" t="s">
        <v>3717</v>
      </c>
    </row>
    <row r="1647" spans="1:11" x14ac:dyDescent="0.35">
      <c r="A1647" s="1" t="s">
        <v>3619</v>
      </c>
      <c r="B1647" s="1" t="s">
        <v>3625</v>
      </c>
      <c r="C1647" s="1" t="s">
        <v>3731</v>
      </c>
      <c r="D1647" s="1" t="str">
        <f>"8435"</f>
        <v>8435</v>
      </c>
      <c r="E1647" s="1" t="str">
        <f>"014358785"</f>
        <v>014358785</v>
      </c>
      <c r="F1647" s="1" t="s">
        <v>3728</v>
      </c>
      <c r="G1647" s="1" t="s">
        <v>311</v>
      </c>
      <c r="H1647" s="1" t="str">
        <f>"2"</f>
        <v>2</v>
      </c>
      <c r="I1647" s="2">
        <v>61.92</v>
      </c>
      <c r="J1647" s="3">
        <v>46178</v>
      </c>
      <c r="K1647" s="1" t="s">
        <v>3717</v>
      </c>
    </row>
    <row r="1648" spans="1:11" x14ac:dyDescent="0.35">
      <c r="A1648" s="1" t="s">
        <v>3619</v>
      </c>
      <c r="B1648" s="1" t="s">
        <v>3625</v>
      </c>
      <c r="C1648" s="1" t="s">
        <v>3732</v>
      </c>
      <c r="D1648" s="1" t="str">
        <f>"8435"</f>
        <v>8435</v>
      </c>
      <c r="E1648" s="1" t="str">
        <f>"014358819"</f>
        <v>014358819</v>
      </c>
      <c r="F1648" s="1" t="s">
        <v>3728</v>
      </c>
      <c r="G1648" s="1" t="s">
        <v>311</v>
      </c>
      <c r="H1648" s="1" t="str">
        <f>"2"</f>
        <v>2</v>
      </c>
      <c r="I1648" s="2">
        <v>61.92</v>
      </c>
      <c r="J1648" s="3">
        <v>46178</v>
      </c>
      <c r="K1648" s="1" t="s">
        <v>3717</v>
      </c>
    </row>
    <row r="1649" spans="1:11" x14ac:dyDescent="0.35">
      <c r="A1649" s="1" t="s">
        <v>3619</v>
      </c>
      <c r="B1649" s="1" t="s">
        <v>3625</v>
      </c>
      <c r="C1649" s="1" t="s">
        <v>3742</v>
      </c>
      <c r="D1649" s="1" t="str">
        <f>"8465"</f>
        <v>8465</v>
      </c>
      <c r="E1649" s="1" t="s">
        <v>1147</v>
      </c>
      <c r="F1649" s="1" t="s">
        <v>1148</v>
      </c>
      <c r="G1649" s="1" t="s">
        <v>16</v>
      </c>
      <c r="H1649" s="1" t="str">
        <f>"3"</f>
        <v>3</v>
      </c>
      <c r="I1649" s="2" t="str">
        <f>"33"</f>
        <v>33</v>
      </c>
      <c r="J1649" s="3">
        <v>46178</v>
      </c>
      <c r="K1649" s="1" t="s">
        <v>3743</v>
      </c>
    </row>
    <row r="1650" spans="1:11" x14ac:dyDescent="0.35">
      <c r="A1650" s="1" t="s">
        <v>3619</v>
      </c>
      <c r="B1650" s="1" t="s">
        <v>3625</v>
      </c>
      <c r="C1650" s="1" t="s">
        <v>3634</v>
      </c>
      <c r="D1650" s="1" t="str">
        <f>"2310"</f>
        <v>2310</v>
      </c>
      <c r="E1650" s="1" t="s">
        <v>3035</v>
      </c>
      <c r="F1650" s="1" t="s">
        <v>3036</v>
      </c>
      <c r="G1650" s="1" t="s">
        <v>16</v>
      </c>
      <c r="H1650" s="1" t="str">
        <f>"1"</f>
        <v>1</v>
      </c>
      <c r="I1650" s="2" t="str">
        <f>"18113"</f>
        <v>18113</v>
      </c>
      <c r="J1650" s="3">
        <v>46184</v>
      </c>
      <c r="K1650" s="1" t="s">
        <v>3635</v>
      </c>
    </row>
    <row r="1651" spans="1:11" x14ac:dyDescent="0.35">
      <c r="A1651" s="1" t="s">
        <v>3619</v>
      </c>
      <c r="B1651" s="1" t="s">
        <v>3625</v>
      </c>
      <c r="C1651" s="1" t="s">
        <v>3626</v>
      </c>
      <c r="D1651" s="1" t="str">
        <f>"1005"</f>
        <v>1005</v>
      </c>
      <c r="E1651" s="1" t="str">
        <f>"015696938"</f>
        <v>015696938</v>
      </c>
      <c r="F1651" s="1" t="s">
        <v>3627</v>
      </c>
      <c r="G1651" s="1" t="s">
        <v>16</v>
      </c>
      <c r="H1651" s="1" t="str">
        <f>"15"</f>
        <v>15</v>
      </c>
      <c r="I1651" s="2">
        <v>281.5</v>
      </c>
      <c r="J1651" s="3">
        <v>46196</v>
      </c>
      <c r="K1651" s="1" t="s">
        <v>3628</v>
      </c>
    </row>
    <row r="1652" spans="1:11" x14ac:dyDescent="0.35">
      <c r="A1652" s="1" t="s">
        <v>3619</v>
      </c>
      <c r="B1652" s="1" t="s">
        <v>3625</v>
      </c>
      <c r="C1652" s="1" t="s">
        <v>3629</v>
      </c>
      <c r="D1652" s="1" t="str">
        <f>"1005"</f>
        <v>1005</v>
      </c>
      <c r="E1652" s="1" t="str">
        <f>"014526771"</f>
        <v>014526771</v>
      </c>
      <c r="F1652" s="1" t="s">
        <v>2730</v>
      </c>
      <c r="G1652" s="1" t="s">
        <v>16</v>
      </c>
      <c r="H1652" s="1" t="str">
        <f>"5"</f>
        <v>5</v>
      </c>
      <c r="I1652" s="2">
        <v>123.07</v>
      </c>
      <c r="J1652" s="3">
        <v>46196</v>
      </c>
      <c r="K1652" s="1" t="s">
        <v>3630</v>
      </c>
    </row>
    <row r="1653" spans="1:11" x14ac:dyDescent="0.35">
      <c r="A1653" s="1" t="s">
        <v>3619</v>
      </c>
      <c r="B1653" s="1" t="s">
        <v>3625</v>
      </c>
      <c r="C1653" s="1" t="s">
        <v>3631</v>
      </c>
      <c r="D1653" s="1" t="str">
        <f>"1095"</f>
        <v>1095</v>
      </c>
      <c r="E1653" s="1" t="str">
        <f>"015159877"</f>
        <v>015159877</v>
      </c>
      <c r="F1653" s="1" t="s">
        <v>3632</v>
      </c>
      <c r="G1653" s="1" t="s">
        <v>16</v>
      </c>
      <c r="H1653" s="1" t="str">
        <f>"1"</f>
        <v>1</v>
      </c>
      <c r="I1653" s="2">
        <v>112.12</v>
      </c>
      <c r="J1653" s="3">
        <v>46196</v>
      </c>
      <c r="K1653" s="1" t="s">
        <v>3633</v>
      </c>
    </row>
    <row r="1654" spans="1:11" x14ac:dyDescent="0.35">
      <c r="A1654" s="1" t="s">
        <v>3619</v>
      </c>
      <c r="B1654" s="1" t="s">
        <v>3625</v>
      </c>
      <c r="C1654" s="1" t="s">
        <v>3639</v>
      </c>
      <c r="D1654" s="1" t="str">
        <f>"4240"</f>
        <v>4240</v>
      </c>
      <c r="E1654" s="1" t="str">
        <f>"016222614"</f>
        <v>016222614</v>
      </c>
      <c r="F1654" s="1" t="s">
        <v>561</v>
      </c>
      <c r="G1654" s="1" t="s">
        <v>311</v>
      </c>
      <c r="H1654" s="1" t="str">
        <f>"26"</f>
        <v>26</v>
      </c>
      <c r="I1654" s="2">
        <v>3.09</v>
      </c>
      <c r="J1654" s="3">
        <v>46196</v>
      </c>
      <c r="K1654" s="1" t="s">
        <v>3640</v>
      </c>
    </row>
    <row r="1655" spans="1:11" x14ac:dyDescent="0.35">
      <c r="A1655" s="1" t="s">
        <v>3619</v>
      </c>
      <c r="B1655" s="1" t="s">
        <v>3625</v>
      </c>
      <c r="C1655" s="1" t="s">
        <v>3653</v>
      </c>
      <c r="D1655" s="1" t="str">
        <f>"6260"</f>
        <v>6260</v>
      </c>
      <c r="E1655" s="1" t="str">
        <f>"012094434"</f>
        <v>012094434</v>
      </c>
      <c r="F1655" s="1" t="s">
        <v>3654</v>
      </c>
      <c r="G1655" s="1" t="s">
        <v>352</v>
      </c>
      <c r="H1655" s="1" t="str">
        <f>"10"</f>
        <v>10</v>
      </c>
      <c r="I1655" s="2">
        <v>55.9</v>
      </c>
      <c r="J1655" s="3">
        <v>46196</v>
      </c>
      <c r="K1655" s="1" t="s">
        <v>3655</v>
      </c>
    </row>
    <row r="1656" spans="1:11" x14ac:dyDescent="0.35">
      <c r="A1656" s="1" t="s">
        <v>3619</v>
      </c>
      <c r="B1656" s="1" t="s">
        <v>3625</v>
      </c>
      <c r="C1656" s="1" t="s">
        <v>3656</v>
      </c>
      <c r="D1656" s="1" t="str">
        <f>"6545"</f>
        <v>6545</v>
      </c>
      <c r="E1656" s="1" t="str">
        <f>"015300929"</f>
        <v>015300929</v>
      </c>
      <c r="F1656" s="1" t="s">
        <v>236</v>
      </c>
      <c r="G1656" s="1" t="s">
        <v>215</v>
      </c>
      <c r="H1656" s="1" t="str">
        <f>"10"</f>
        <v>10</v>
      </c>
      <c r="I1656" s="2">
        <v>48.71</v>
      </c>
      <c r="J1656" s="3">
        <v>46196</v>
      </c>
      <c r="K1656" s="1" t="s">
        <v>3657</v>
      </c>
    </row>
    <row r="1657" spans="1:11" x14ac:dyDescent="0.35">
      <c r="A1657" s="1" t="s">
        <v>3619</v>
      </c>
      <c r="B1657" s="1" t="s">
        <v>3625</v>
      </c>
      <c r="C1657" s="1" t="s">
        <v>3666</v>
      </c>
      <c r="D1657" s="1" t="str">
        <f>"7010"</f>
        <v>7010</v>
      </c>
      <c r="E1657" s="1" t="str">
        <f>"016946843"</f>
        <v>016946843</v>
      </c>
      <c r="F1657" s="1" t="s">
        <v>3667</v>
      </c>
      <c r="G1657" s="1" t="s">
        <v>16</v>
      </c>
      <c r="H1657" s="1" t="str">
        <f>"4"</f>
        <v>4</v>
      </c>
      <c r="I1657" s="2" t="str">
        <f>"6930"</f>
        <v>6930</v>
      </c>
      <c r="J1657" s="3">
        <v>46196</v>
      </c>
      <c r="K1657" s="1" t="s">
        <v>3668</v>
      </c>
    </row>
    <row r="1658" spans="1:11" x14ac:dyDescent="0.35">
      <c r="A1658" s="1" t="s">
        <v>3619</v>
      </c>
      <c r="B1658" s="1" t="s">
        <v>3625</v>
      </c>
      <c r="C1658" s="1" t="s">
        <v>3684</v>
      </c>
      <c r="D1658" s="1" t="str">
        <f>"7025"</f>
        <v>7025</v>
      </c>
      <c r="E1658" s="1" t="str">
        <f>"015368183"</f>
        <v>015368183</v>
      </c>
      <c r="F1658" s="1" t="s">
        <v>3685</v>
      </c>
      <c r="G1658" s="1" t="s">
        <v>16</v>
      </c>
      <c r="H1658" s="1" t="str">
        <f>"6"</f>
        <v>6</v>
      </c>
      <c r="I1658" s="2" t="str">
        <f>"1075"</f>
        <v>1075</v>
      </c>
      <c r="J1658" s="3">
        <v>46196</v>
      </c>
      <c r="K1658" s="1" t="s">
        <v>3686</v>
      </c>
    </row>
    <row r="1659" spans="1:11" x14ac:dyDescent="0.35">
      <c r="A1659" s="1" t="s">
        <v>3619</v>
      </c>
      <c r="B1659" s="1" t="s">
        <v>3625</v>
      </c>
      <c r="C1659" s="1" t="s">
        <v>3690</v>
      </c>
      <c r="D1659" s="1" t="str">
        <f>"7210"</f>
        <v>7210</v>
      </c>
      <c r="E1659" s="1" t="s">
        <v>3691</v>
      </c>
      <c r="F1659" s="1" t="s">
        <v>3692</v>
      </c>
      <c r="G1659" s="1" t="s">
        <v>16</v>
      </c>
      <c r="H1659" s="1" t="str">
        <f>"9"</f>
        <v>9</v>
      </c>
      <c r="I1659" s="2" t="str">
        <f>"60"</f>
        <v>60</v>
      </c>
      <c r="J1659" s="3">
        <v>46196</v>
      </c>
      <c r="K1659" s="1" t="s">
        <v>3693</v>
      </c>
    </row>
    <row r="1660" spans="1:11" x14ac:dyDescent="0.35">
      <c r="A1660" s="1" t="s">
        <v>3619</v>
      </c>
      <c r="B1660" s="1" t="s">
        <v>3625</v>
      </c>
      <c r="C1660" s="1" t="s">
        <v>3702</v>
      </c>
      <c r="D1660" s="1" t="str">
        <f>"8145"</f>
        <v>8145</v>
      </c>
      <c r="E1660" s="1" t="str">
        <f>"016277665"</f>
        <v>016277665</v>
      </c>
      <c r="F1660" s="1" t="s">
        <v>423</v>
      </c>
      <c r="G1660" s="1" t="s">
        <v>16</v>
      </c>
      <c r="H1660" s="1" t="str">
        <f>"2"</f>
        <v>2</v>
      </c>
      <c r="I1660" s="2">
        <v>368.76</v>
      </c>
      <c r="J1660" s="3">
        <v>46196</v>
      </c>
      <c r="K1660" s="1" t="s">
        <v>3703</v>
      </c>
    </row>
    <row r="1661" spans="1:11" x14ac:dyDescent="0.35">
      <c r="A1661" s="1" t="s">
        <v>3619</v>
      </c>
      <c r="B1661" s="1" t="s">
        <v>3625</v>
      </c>
      <c r="C1661" s="1" t="s">
        <v>3707</v>
      </c>
      <c r="D1661" s="1" t="str">
        <f>"8415"</f>
        <v>8415</v>
      </c>
      <c r="E1661" s="1" t="str">
        <f>"015494050"</f>
        <v>015494050</v>
      </c>
      <c r="F1661" s="1" t="s">
        <v>3705</v>
      </c>
      <c r="G1661" s="1" t="s">
        <v>16</v>
      </c>
      <c r="H1661" s="1" t="str">
        <f>"5"</f>
        <v>5</v>
      </c>
      <c r="I1661" s="2">
        <v>56.3</v>
      </c>
      <c r="J1661" s="3">
        <v>46196</v>
      </c>
      <c r="K1661" s="1" t="s">
        <v>3706</v>
      </c>
    </row>
    <row r="1662" spans="1:11" x14ac:dyDescent="0.35">
      <c r="A1662" s="1" t="s">
        <v>3619</v>
      </c>
      <c r="B1662" s="1" t="s">
        <v>3625</v>
      </c>
      <c r="C1662" s="1" t="s">
        <v>3724</v>
      </c>
      <c r="D1662" s="1" t="str">
        <f>"8435"</f>
        <v>8435</v>
      </c>
      <c r="E1662" s="1" t="str">
        <f>"016636807"</f>
        <v>016636807</v>
      </c>
      <c r="F1662" s="1" t="s">
        <v>3725</v>
      </c>
      <c r="G1662" s="1" t="s">
        <v>311</v>
      </c>
      <c r="H1662" s="1" t="str">
        <f>"3"</f>
        <v>3</v>
      </c>
      <c r="I1662" s="2">
        <v>121.23</v>
      </c>
      <c r="J1662" s="3">
        <v>46196</v>
      </c>
      <c r="K1662" s="1" t="s">
        <v>3726</v>
      </c>
    </row>
    <row r="1663" spans="1:11" x14ac:dyDescent="0.35">
      <c r="A1663" s="1" t="s">
        <v>3619</v>
      </c>
      <c r="B1663" s="1" t="s">
        <v>3625</v>
      </c>
      <c r="C1663" s="1" t="s">
        <v>3744</v>
      </c>
      <c r="D1663" s="1" t="str">
        <f>"8465"</f>
        <v>8465</v>
      </c>
      <c r="E1663" s="1" t="str">
        <f>"015245250"</f>
        <v>015245250</v>
      </c>
      <c r="F1663" s="1" t="s">
        <v>529</v>
      </c>
      <c r="G1663" s="1" t="s">
        <v>16</v>
      </c>
      <c r="H1663" s="1" t="str">
        <f>"6"</f>
        <v>6</v>
      </c>
      <c r="I1663" s="2">
        <v>75.150000000000006</v>
      </c>
      <c r="J1663" s="3">
        <v>46196</v>
      </c>
      <c r="K1663" s="1" t="s">
        <v>3745</v>
      </c>
    </row>
    <row r="1664" spans="1:11" x14ac:dyDescent="0.35">
      <c r="A1664" s="1" t="s">
        <v>3619</v>
      </c>
      <c r="B1664" s="1" t="s">
        <v>3625</v>
      </c>
      <c r="C1664" s="1" t="s">
        <v>3636</v>
      </c>
      <c r="D1664" s="1" t="str">
        <f>"2590"</f>
        <v>2590</v>
      </c>
      <c r="E1664" s="1" t="str">
        <f>"011596194"</f>
        <v>011596194</v>
      </c>
      <c r="F1664" s="1" t="s">
        <v>3637</v>
      </c>
      <c r="G1664" s="1" t="s">
        <v>16</v>
      </c>
      <c r="H1664" s="1" t="str">
        <f>"2"</f>
        <v>2</v>
      </c>
      <c r="I1664" s="2">
        <v>484.85</v>
      </c>
      <c r="J1664" s="3">
        <v>46199</v>
      </c>
      <c r="K1664" s="1" t="s">
        <v>3638</v>
      </c>
    </row>
    <row r="1665" spans="1:11" x14ac:dyDescent="0.35">
      <c r="A1665" s="1" t="s">
        <v>3619</v>
      </c>
      <c r="B1665" s="1" t="s">
        <v>3625</v>
      </c>
      <c r="C1665" s="1" t="s">
        <v>3661</v>
      </c>
      <c r="D1665" s="1" t="str">
        <f>"6545"</f>
        <v>6545</v>
      </c>
      <c r="E1665" s="1" t="str">
        <f>"006561094"</f>
        <v>006561094</v>
      </c>
      <c r="F1665" s="1" t="s">
        <v>3662</v>
      </c>
      <c r="G1665" s="1" t="s">
        <v>16</v>
      </c>
      <c r="H1665" s="1" t="str">
        <f>"5"</f>
        <v>5</v>
      </c>
      <c r="I1665" s="2">
        <v>116.41</v>
      </c>
      <c r="J1665" s="3">
        <v>46199</v>
      </c>
      <c r="K1665" s="1" t="s">
        <v>3660</v>
      </c>
    </row>
    <row r="1666" spans="1:11" x14ac:dyDescent="0.35">
      <c r="A1666" s="1" t="s">
        <v>3619</v>
      </c>
      <c r="B1666" s="1" t="s">
        <v>3625</v>
      </c>
      <c r="C1666" s="1" t="s">
        <v>3663</v>
      </c>
      <c r="D1666" s="1" t="str">
        <f>"6545"</f>
        <v>6545</v>
      </c>
      <c r="E1666" s="1" t="str">
        <f>"001161410"</f>
        <v>001161410</v>
      </c>
      <c r="F1666" s="1" t="s">
        <v>3659</v>
      </c>
      <c r="G1666" s="1" t="s">
        <v>16</v>
      </c>
      <c r="H1666" s="1" t="str">
        <f>"1"</f>
        <v>1</v>
      </c>
      <c r="I1666" s="2">
        <v>847.87</v>
      </c>
      <c r="J1666" s="3">
        <v>46199</v>
      </c>
      <c r="K1666" s="1" t="s">
        <v>3660</v>
      </c>
    </row>
    <row r="1667" spans="1:11" x14ac:dyDescent="0.35">
      <c r="A1667" s="1" t="s">
        <v>3619</v>
      </c>
      <c r="B1667" s="1" t="s">
        <v>3625</v>
      </c>
      <c r="C1667" s="1" t="s">
        <v>3704</v>
      </c>
      <c r="D1667" s="1" t="str">
        <f>"8415"</f>
        <v>8415</v>
      </c>
      <c r="E1667" s="1" t="str">
        <f>"015494079"</f>
        <v>015494079</v>
      </c>
      <c r="F1667" s="1" t="s">
        <v>3705</v>
      </c>
      <c r="G1667" s="1" t="s">
        <v>16</v>
      </c>
      <c r="H1667" s="1" t="str">
        <f>"10"</f>
        <v>10</v>
      </c>
      <c r="I1667" s="2">
        <v>56.3</v>
      </c>
      <c r="J1667" s="3">
        <v>46199</v>
      </c>
      <c r="K1667" s="1" t="s">
        <v>3706</v>
      </c>
    </row>
    <row r="1668" spans="1:11" x14ac:dyDescent="0.35">
      <c r="A1668" s="1" t="s">
        <v>3619</v>
      </c>
      <c r="B1668" s="1" t="s">
        <v>3625</v>
      </c>
      <c r="C1668" s="1" t="s">
        <v>3658</v>
      </c>
      <c r="D1668" s="1" t="str">
        <f>"6545"</f>
        <v>6545</v>
      </c>
      <c r="E1668" s="1" t="str">
        <f>"009196650"</f>
        <v>009196650</v>
      </c>
      <c r="F1668" s="1" t="s">
        <v>3659</v>
      </c>
      <c r="G1668" s="1" t="s">
        <v>458</v>
      </c>
      <c r="H1668" s="1" t="str">
        <f>"5"</f>
        <v>5</v>
      </c>
      <c r="I1668" s="2">
        <v>85.83</v>
      </c>
      <c r="J1668" s="3">
        <v>46202</v>
      </c>
      <c r="K1668" s="1" t="s">
        <v>3660</v>
      </c>
    </row>
    <row r="1669" spans="1:11" x14ac:dyDescent="0.35">
      <c r="A1669" s="1" t="s">
        <v>3619</v>
      </c>
      <c r="B1669" s="1" t="s">
        <v>3814</v>
      </c>
      <c r="C1669" s="1" t="s">
        <v>3815</v>
      </c>
      <c r="D1669" s="1" t="str">
        <f>"2340"</f>
        <v>2340</v>
      </c>
      <c r="E1669" s="1" t="s">
        <v>61</v>
      </c>
      <c r="F1669" s="1" t="s">
        <v>62</v>
      </c>
      <c r="G1669" s="1" t="s">
        <v>16</v>
      </c>
      <c r="H1669" s="1" t="str">
        <f>"1"</f>
        <v>1</v>
      </c>
      <c r="I1669" s="2" t="str">
        <f>"4918"</f>
        <v>4918</v>
      </c>
      <c r="J1669" s="3">
        <v>46202</v>
      </c>
      <c r="K1669" s="1" t="s">
        <v>3816</v>
      </c>
    </row>
    <row r="1670" spans="1:11" x14ac:dyDescent="0.35">
      <c r="A1670" s="1" t="s">
        <v>3844</v>
      </c>
      <c r="B1670" s="1" t="s">
        <v>4114</v>
      </c>
      <c r="C1670" s="1" t="s">
        <v>4115</v>
      </c>
      <c r="D1670" s="1" t="str">
        <f>"3930"</f>
        <v>3930</v>
      </c>
      <c r="E1670" s="1" t="str">
        <f>"011992449"</f>
        <v>011992449</v>
      </c>
      <c r="F1670" s="1" t="s">
        <v>1304</v>
      </c>
      <c r="G1670" s="1" t="s">
        <v>16</v>
      </c>
      <c r="H1670" s="1" t="str">
        <f>"1"</f>
        <v>1</v>
      </c>
      <c r="I1670" s="2">
        <v>30131.1</v>
      </c>
      <c r="J1670" s="3">
        <v>46113</v>
      </c>
      <c r="K1670" s="1" t="s">
        <v>5165</v>
      </c>
    </row>
    <row r="1671" spans="1:11" x14ac:dyDescent="0.35">
      <c r="A1671" s="1" t="s">
        <v>3844</v>
      </c>
      <c r="B1671" s="1" t="s">
        <v>3886</v>
      </c>
      <c r="C1671" s="1" t="s">
        <v>3904</v>
      </c>
      <c r="D1671" s="1" t="str">
        <f>"1240"</f>
        <v>1240</v>
      </c>
      <c r="E1671" s="1" t="str">
        <f>"015515758"</f>
        <v>015515758</v>
      </c>
      <c r="F1671" s="1" t="s">
        <v>1103</v>
      </c>
      <c r="G1671" s="1" t="s">
        <v>16</v>
      </c>
      <c r="H1671" s="1" t="str">
        <f>"3"</f>
        <v>3</v>
      </c>
      <c r="I1671" s="2" t="str">
        <f>"528"</f>
        <v>528</v>
      </c>
      <c r="J1671" s="3">
        <v>46119</v>
      </c>
      <c r="K1671" s="1" t="s">
        <v>3905</v>
      </c>
    </row>
    <row r="1672" spans="1:11" x14ac:dyDescent="0.35">
      <c r="A1672" s="1" t="s">
        <v>3844</v>
      </c>
      <c r="B1672" s="1" t="s">
        <v>3886</v>
      </c>
      <c r="C1672" s="1" t="s">
        <v>3912</v>
      </c>
      <c r="D1672" s="1" t="str">
        <f>"1240"</f>
        <v>1240</v>
      </c>
      <c r="E1672" s="1" t="str">
        <f>"015591536"</f>
        <v>015591536</v>
      </c>
      <c r="F1672" s="1" t="s">
        <v>1159</v>
      </c>
      <c r="G1672" s="1" t="s">
        <v>16</v>
      </c>
      <c r="H1672" s="1" t="str">
        <f>"4"</f>
        <v>4</v>
      </c>
      <c r="I1672" s="2" t="str">
        <f>"430"</f>
        <v>430</v>
      </c>
      <c r="J1672" s="3">
        <v>46119</v>
      </c>
      <c r="K1672" s="1" t="s">
        <v>3913</v>
      </c>
    </row>
    <row r="1673" spans="1:11" x14ac:dyDescent="0.35">
      <c r="A1673" s="1" t="s">
        <v>3844</v>
      </c>
      <c r="B1673" s="1" t="s">
        <v>3886</v>
      </c>
      <c r="C1673" s="1" t="s">
        <v>3914</v>
      </c>
      <c r="D1673" s="1" t="str">
        <f>"1240"</f>
        <v>1240</v>
      </c>
      <c r="E1673" s="1" t="str">
        <f>"015766134"</f>
        <v>015766134</v>
      </c>
      <c r="F1673" s="1" t="s">
        <v>1103</v>
      </c>
      <c r="G1673" s="1" t="s">
        <v>16</v>
      </c>
      <c r="H1673" s="1" t="str">
        <f>"9"</f>
        <v>9</v>
      </c>
      <c r="I1673" s="2" t="str">
        <f>"589"</f>
        <v>589</v>
      </c>
      <c r="J1673" s="3">
        <v>46119</v>
      </c>
      <c r="K1673" s="1" t="s">
        <v>3915</v>
      </c>
    </row>
    <row r="1674" spans="1:11" x14ac:dyDescent="0.35">
      <c r="A1674" s="1" t="s">
        <v>3844</v>
      </c>
      <c r="B1674" s="1" t="s">
        <v>4103</v>
      </c>
      <c r="C1674" s="1" t="s">
        <v>4104</v>
      </c>
      <c r="D1674" s="1" t="str">
        <f>"5830"</f>
        <v>5830</v>
      </c>
      <c r="E1674" s="1" t="s">
        <v>4105</v>
      </c>
      <c r="F1674" s="1" t="s">
        <v>4106</v>
      </c>
      <c r="G1674" s="1" t="s">
        <v>16</v>
      </c>
      <c r="H1674" s="1" t="str">
        <f>"2"</f>
        <v>2</v>
      </c>
      <c r="I1674" s="2">
        <v>1973.81</v>
      </c>
      <c r="J1674" s="3">
        <v>46119</v>
      </c>
      <c r="K1674" s="1" t="s">
        <v>4107</v>
      </c>
    </row>
    <row r="1675" spans="1:11" x14ac:dyDescent="0.35">
      <c r="A1675" s="1" t="s">
        <v>3844</v>
      </c>
      <c r="B1675" s="1" t="s">
        <v>3886</v>
      </c>
      <c r="C1675" s="1" t="s">
        <v>3922</v>
      </c>
      <c r="D1675" s="1" t="str">
        <f>"2540"</f>
        <v>2540</v>
      </c>
      <c r="E1675" s="1" t="str">
        <f>"016528581"</f>
        <v>016528581</v>
      </c>
      <c r="F1675" s="1" t="s">
        <v>888</v>
      </c>
      <c r="G1675" s="1" t="s">
        <v>16</v>
      </c>
      <c r="H1675" s="1" t="str">
        <f>"10"</f>
        <v>10</v>
      </c>
      <c r="I1675" s="2">
        <v>669.6</v>
      </c>
      <c r="J1675" s="3">
        <v>46126</v>
      </c>
      <c r="K1675" s="1" t="s">
        <v>3923</v>
      </c>
    </row>
    <row r="1676" spans="1:11" x14ac:dyDescent="0.35">
      <c r="A1676" s="1" t="s">
        <v>3844</v>
      </c>
      <c r="B1676" s="1" t="s">
        <v>3886</v>
      </c>
      <c r="C1676" s="1" t="s">
        <v>3933</v>
      </c>
      <c r="D1676" s="1" t="str">
        <f>"4240"</f>
        <v>4240</v>
      </c>
      <c r="E1676" s="1" t="str">
        <f>"016307259"</f>
        <v>016307259</v>
      </c>
      <c r="F1676" s="1" t="s">
        <v>557</v>
      </c>
      <c r="G1676" s="1" t="s">
        <v>16</v>
      </c>
      <c r="H1676" s="1" t="str">
        <f>"19"</f>
        <v>19</v>
      </c>
      <c r="I1676" s="2">
        <v>67.94</v>
      </c>
      <c r="J1676" s="3">
        <v>46126</v>
      </c>
      <c r="K1676" s="1" t="s">
        <v>3934</v>
      </c>
    </row>
    <row r="1677" spans="1:11" x14ac:dyDescent="0.35">
      <c r="A1677" s="1" t="s">
        <v>3844</v>
      </c>
      <c r="B1677" s="1" t="s">
        <v>3886</v>
      </c>
      <c r="C1677" s="1" t="s">
        <v>4000</v>
      </c>
      <c r="D1677" s="1" t="str">
        <f>"6720"</f>
        <v>6720</v>
      </c>
      <c r="E1677" s="1" t="s">
        <v>4001</v>
      </c>
      <c r="F1677" s="1" t="s">
        <v>4002</v>
      </c>
      <c r="G1677" s="1" t="s">
        <v>16</v>
      </c>
      <c r="H1677" s="1" t="str">
        <f>"16"</f>
        <v>16</v>
      </c>
      <c r="I1677" s="2" t="str">
        <f>"700"</f>
        <v>700</v>
      </c>
      <c r="J1677" s="3">
        <v>46126</v>
      </c>
      <c r="K1677" s="1" t="s">
        <v>4003</v>
      </c>
    </row>
    <row r="1678" spans="1:11" x14ac:dyDescent="0.35">
      <c r="A1678" s="1" t="s">
        <v>3844</v>
      </c>
      <c r="B1678" s="1" t="s">
        <v>3886</v>
      </c>
      <c r="C1678" s="1" t="s">
        <v>4077</v>
      </c>
      <c r="D1678" s="1" t="str">
        <f>"8465"</f>
        <v>8465</v>
      </c>
      <c r="E1678" s="1" t="str">
        <f>"016155141"</f>
        <v>016155141</v>
      </c>
      <c r="F1678" s="1" t="s">
        <v>262</v>
      </c>
      <c r="G1678" s="1" t="s">
        <v>16</v>
      </c>
      <c r="H1678" s="1" t="str">
        <f>"13"</f>
        <v>13</v>
      </c>
      <c r="I1678" s="2">
        <v>36.85</v>
      </c>
      <c r="J1678" s="3">
        <v>46126</v>
      </c>
      <c r="K1678" s="1" t="s">
        <v>4078</v>
      </c>
    </row>
    <row r="1679" spans="1:11" x14ac:dyDescent="0.35">
      <c r="A1679" s="1" t="s">
        <v>3844</v>
      </c>
      <c r="B1679" s="1" t="s">
        <v>3886</v>
      </c>
      <c r="C1679" s="1" t="s">
        <v>4079</v>
      </c>
      <c r="D1679" s="1" t="str">
        <f>"8465"</f>
        <v>8465</v>
      </c>
      <c r="E1679" s="1" t="str">
        <f>"016068756"</f>
        <v>016068756</v>
      </c>
      <c r="F1679" s="1" t="s">
        <v>647</v>
      </c>
      <c r="G1679" s="1" t="s">
        <v>16</v>
      </c>
      <c r="H1679" s="1" t="str">
        <f>"20"</f>
        <v>20</v>
      </c>
      <c r="I1679" s="2">
        <v>25.31</v>
      </c>
      <c r="J1679" s="3">
        <v>46126</v>
      </c>
      <c r="K1679" s="1" t="s">
        <v>4080</v>
      </c>
    </row>
    <row r="1680" spans="1:11" x14ac:dyDescent="0.35">
      <c r="A1680" s="1" t="s">
        <v>3844</v>
      </c>
      <c r="B1680" s="1" t="s">
        <v>3886</v>
      </c>
      <c r="C1680" s="1" t="s">
        <v>4030</v>
      </c>
      <c r="D1680" s="1" t="str">
        <f>"8415"</f>
        <v>8415</v>
      </c>
      <c r="E1680" s="1" t="str">
        <f>"015386752"</f>
        <v>015386752</v>
      </c>
      <c r="F1680" s="1" t="s">
        <v>493</v>
      </c>
      <c r="G1680" s="1" t="s">
        <v>16</v>
      </c>
      <c r="H1680" s="1" t="str">
        <f>"6"</f>
        <v>6</v>
      </c>
      <c r="I1680" s="2">
        <v>63.88</v>
      </c>
      <c r="J1680" s="3">
        <v>46129</v>
      </c>
      <c r="K1680" s="1" t="s">
        <v>4031</v>
      </c>
    </row>
    <row r="1681" spans="1:11" x14ac:dyDescent="0.35">
      <c r="A1681" s="1" t="s">
        <v>3844</v>
      </c>
      <c r="B1681" s="1" t="s">
        <v>3886</v>
      </c>
      <c r="C1681" s="1" t="s">
        <v>4069</v>
      </c>
      <c r="D1681" s="1" t="str">
        <f>"8465"</f>
        <v>8465</v>
      </c>
      <c r="E1681" s="1" t="str">
        <f>"016419671"</f>
        <v>016419671</v>
      </c>
      <c r="F1681" s="1" t="s">
        <v>4067</v>
      </c>
      <c r="G1681" s="1" t="s">
        <v>16</v>
      </c>
      <c r="H1681" s="1" t="str">
        <f>"10"</f>
        <v>10</v>
      </c>
      <c r="I1681" s="2">
        <v>40.4</v>
      </c>
      <c r="J1681" s="3">
        <v>46129</v>
      </c>
      <c r="K1681" s="1" t="s">
        <v>4070</v>
      </c>
    </row>
    <row r="1682" spans="1:11" x14ac:dyDescent="0.35">
      <c r="A1682" s="1" t="s">
        <v>3844</v>
      </c>
      <c r="B1682" s="1" t="s">
        <v>3886</v>
      </c>
      <c r="C1682" s="1" t="s">
        <v>4071</v>
      </c>
      <c r="D1682" s="1" t="str">
        <f>"8465"</f>
        <v>8465</v>
      </c>
      <c r="E1682" s="1" t="str">
        <f>"015997026"</f>
        <v>015997026</v>
      </c>
      <c r="F1682" s="1" t="s">
        <v>4072</v>
      </c>
      <c r="G1682" s="1" t="s">
        <v>311</v>
      </c>
      <c r="H1682" s="1" t="str">
        <f>"4"</f>
        <v>4</v>
      </c>
      <c r="I1682" s="2">
        <v>22.82</v>
      </c>
      <c r="J1682" s="3">
        <v>46129</v>
      </c>
      <c r="K1682" s="1" t="s">
        <v>4073</v>
      </c>
    </row>
    <row r="1683" spans="1:11" x14ac:dyDescent="0.35">
      <c r="A1683" s="1" t="s">
        <v>3844</v>
      </c>
      <c r="B1683" s="1" t="s">
        <v>3886</v>
      </c>
      <c r="C1683" s="1" t="s">
        <v>4074</v>
      </c>
      <c r="D1683" s="1" t="str">
        <f>"8465"</f>
        <v>8465</v>
      </c>
      <c r="E1683" s="1" t="str">
        <f>"015801560"</f>
        <v>015801560</v>
      </c>
      <c r="F1683" s="1" t="s">
        <v>4075</v>
      </c>
      <c r="G1683" s="1" t="s">
        <v>16</v>
      </c>
      <c r="H1683" s="1" t="str">
        <f>"11"</f>
        <v>11</v>
      </c>
      <c r="I1683" s="2">
        <v>77.33</v>
      </c>
      <c r="J1683" s="3">
        <v>46129</v>
      </c>
      <c r="K1683" s="1" t="s">
        <v>4076</v>
      </c>
    </row>
    <row r="1684" spans="1:11" x14ac:dyDescent="0.35">
      <c r="A1684" s="1" t="s">
        <v>3844</v>
      </c>
      <c r="B1684" s="1" t="s">
        <v>4118</v>
      </c>
      <c r="C1684" s="1" t="s">
        <v>4121</v>
      </c>
      <c r="D1684" s="1" t="str">
        <f>"6635"</f>
        <v>6635</v>
      </c>
      <c r="E1684" s="1" t="str">
        <f>"014654473"</f>
        <v>014654473</v>
      </c>
      <c r="F1684" s="1" t="s">
        <v>4122</v>
      </c>
      <c r="G1684" s="1" t="s">
        <v>16</v>
      </c>
      <c r="H1684" s="1" t="str">
        <f>"1"</f>
        <v>1</v>
      </c>
      <c r="I1684" s="2">
        <v>2285.5100000000002</v>
      </c>
      <c r="J1684" s="3">
        <v>46132</v>
      </c>
      <c r="K1684" s="1" t="s">
        <v>4123</v>
      </c>
    </row>
    <row r="1685" spans="1:11" x14ac:dyDescent="0.35">
      <c r="A1685" s="1" t="s">
        <v>3844</v>
      </c>
      <c r="B1685" s="1" t="s">
        <v>4118</v>
      </c>
      <c r="C1685" s="1" t="s">
        <v>4126</v>
      </c>
      <c r="D1685" s="1" t="str">
        <f>"7010"</f>
        <v>7010</v>
      </c>
      <c r="E1685" s="1" t="s">
        <v>4127</v>
      </c>
      <c r="F1685" s="1" t="s">
        <v>4128</v>
      </c>
      <c r="G1685" s="1" t="s">
        <v>16</v>
      </c>
      <c r="H1685" s="1" t="str">
        <f>"13"</f>
        <v>13</v>
      </c>
      <c r="I1685" s="2">
        <v>1466.99</v>
      </c>
      <c r="J1685" s="3">
        <v>46132</v>
      </c>
      <c r="K1685" s="1" t="s">
        <v>4129</v>
      </c>
    </row>
    <row r="1686" spans="1:11" x14ac:dyDescent="0.35">
      <c r="A1686" s="1" t="s">
        <v>3844</v>
      </c>
      <c r="B1686" s="1" t="s">
        <v>3886</v>
      </c>
      <c r="C1686" s="1" t="s">
        <v>4047</v>
      </c>
      <c r="D1686" s="1" t="str">
        <f>"8465"</f>
        <v>8465</v>
      </c>
      <c r="E1686" s="1" t="str">
        <f>"015801664"</f>
        <v>015801664</v>
      </c>
      <c r="F1686" s="1" t="s">
        <v>2516</v>
      </c>
      <c r="G1686" s="1" t="s">
        <v>16</v>
      </c>
      <c r="H1686" s="1" t="str">
        <f>"10"</f>
        <v>10</v>
      </c>
      <c r="I1686" s="2">
        <v>40.47</v>
      </c>
      <c r="J1686" s="3">
        <v>46134</v>
      </c>
      <c r="K1686" s="1" t="s">
        <v>4046</v>
      </c>
    </row>
    <row r="1687" spans="1:11" x14ac:dyDescent="0.35">
      <c r="A1687" s="1" t="s">
        <v>3844</v>
      </c>
      <c r="B1687" s="1" t="s">
        <v>3886</v>
      </c>
      <c r="C1687" s="1" t="s">
        <v>4092</v>
      </c>
      <c r="D1687" s="1" t="str">
        <f>"8465"</f>
        <v>8465</v>
      </c>
      <c r="E1687" s="1" t="str">
        <f>"016419405"</f>
        <v>016419405</v>
      </c>
      <c r="F1687" s="1" t="s">
        <v>4093</v>
      </c>
      <c r="G1687" s="1" t="s">
        <v>16</v>
      </c>
      <c r="H1687" s="1" t="str">
        <f>"10"</f>
        <v>10</v>
      </c>
      <c r="I1687" s="2">
        <v>26.22</v>
      </c>
      <c r="J1687" s="3">
        <v>46134</v>
      </c>
      <c r="K1687" s="1" t="s">
        <v>4094</v>
      </c>
    </row>
    <row r="1688" spans="1:11" x14ac:dyDescent="0.35">
      <c r="A1688" s="1" t="s">
        <v>3844</v>
      </c>
      <c r="B1688" s="1" t="s">
        <v>3886</v>
      </c>
      <c r="C1688" s="1" t="s">
        <v>4095</v>
      </c>
      <c r="D1688" s="1" t="str">
        <f>"8465"</f>
        <v>8465</v>
      </c>
      <c r="E1688" s="1" t="str">
        <f>"015851512"</f>
        <v>015851512</v>
      </c>
      <c r="F1688" s="1" t="s">
        <v>1750</v>
      </c>
      <c r="G1688" s="1" t="s">
        <v>458</v>
      </c>
      <c r="H1688" s="1" t="str">
        <f>"4"</f>
        <v>4</v>
      </c>
      <c r="I1688" s="2">
        <v>115.92</v>
      </c>
      <c r="J1688" s="3">
        <v>46134</v>
      </c>
      <c r="K1688" s="1" t="s">
        <v>4096</v>
      </c>
    </row>
    <row r="1689" spans="1:11" x14ac:dyDescent="0.35">
      <c r="A1689" s="1" t="s">
        <v>3844</v>
      </c>
      <c r="B1689" s="1" t="s">
        <v>3886</v>
      </c>
      <c r="C1689" s="1" t="s">
        <v>4097</v>
      </c>
      <c r="D1689" s="1" t="str">
        <f>"8465"</f>
        <v>8465</v>
      </c>
      <c r="E1689" s="1" t="str">
        <f>"015800689"</f>
        <v>015800689</v>
      </c>
      <c r="F1689" s="1" t="s">
        <v>57</v>
      </c>
      <c r="G1689" s="1" t="s">
        <v>16</v>
      </c>
      <c r="H1689" s="1" t="str">
        <f>"5"</f>
        <v>5</v>
      </c>
      <c r="I1689" s="2" t="str">
        <f>"36"</f>
        <v>36</v>
      </c>
      <c r="J1689" s="3">
        <v>46134</v>
      </c>
      <c r="K1689" s="1" t="s">
        <v>4098</v>
      </c>
    </row>
    <row r="1690" spans="1:11" x14ac:dyDescent="0.35">
      <c r="A1690" s="1" t="s">
        <v>3844</v>
      </c>
      <c r="B1690" s="1" t="s">
        <v>3886</v>
      </c>
      <c r="C1690" s="1" t="s">
        <v>4099</v>
      </c>
      <c r="D1690" s="1" t="str">
        <f>"8465"</f>
        <v>8465</v>
      </c>
      <c r="E1690" s="1" t="str">
        <f>"015247309"</f>
        <v>015247309</v>
      </c>
      <c r="F1690" s="1" t="s">
        <v>3600</v>
      </c>
      <c r="G1690" s="1" t="s">
        <v>16</v>
      </c>
      <c r="H1690" s="1" t="str">
        <f>"15"</f>
        <v>15</v>
      </c>
      <c r="I1690" s="2">
        <v>11.19</v>
      </c>
      <c r="J1690" s="3">
        <v>46134</v>
      </c>
      <c r="K1690" s="1" t="s">
        <v>4100</v>
      </c>
    </row>
    <row r="1691" spans="1:11" x14ac:dyDescent="0.35">
      <c r="A1691" s="1" t="s">
        <v>3844</v>
      </c>
      <c r="B1691" s="1" t="s">
        <v>3886</v>
      </c>
      <c r="C1691" s="1" t="s">
        <v>4101</v>
      </c>
      <c r="D1691" s="1" t="str">
        <f>"8465"</f>
        <v>8465</v>
      </c>
      <c r="E1691" s="1" t="str">
        <f>"015851512"</f>
        <v>015851512</v>
      </c>
      <c r="F1691" s="1" t="s">
        <v>1750</v>
      </c>
      <c r="G1691" s="1" t="s">
        <v>458</v>
      </c>
      <c r="H1691" s="1" t="str">
        <f>"4"</f>
        <v>4</v>
      </c>
      <c r="I1691" s="2">
        <v>115.92</v>
      </c>
      <c r="J1691" s="3">
        <v>46134</v>
      </c>
      <c r="K1691" s="1" t="s">
        <v>4102</v>
      </c>
    </row>
    <row r="1692" spans="1:11" x14ac:dyDescent="0.35">
      <c r="A1692" s="1" t="s">
        <v>3844</v>
      </c>
      <c r="B1692" s="1" t="s">
        <v>3886</v>
      </c>
      <c r="C1692" s="1" t="s">
        <v>3887</v>
      </c>
      <c r="D1692" s="1" t="str">
        <f>"1005"</f>
        <v>1005</v>
      </c>
      <c r="E1692" s="1" t="str">
        <f>"014534222"</f>
        <v>014534222</v>
      </c>
      <c r="F1692" s="1" t="s">
        <v>1974</v>
      </c>
      <c r="G1692" s="1" t="s">
        <v>16</v>
      </c>
      <c r="H1692" s="1" t="str">
        <f>"50"</f>
        <v>50</v>
      </c>
      <c r="I1692" s="2">
        <v>1.73</v>
      </c>
      <c r="J1692" s="3">
        <v>46140</v>
      </c>
      <c r="K1692" s="1" t="s">
        <v>3888</v>
      </c>
    </row>
    <row r="1693" spans="1:11" x14ac:dyDescent="0.35">
      <c r="A1693" s="1" t="s">
        <v>3844</v>
      </c>
      <c r="B1693" s="1" t="s">
        <v>3886</v>
      </c>
      <c r="C1693" s="1" t="s">
        <v>3889</v>
      </c>
      <c r="D1693" s="1" t="str">
        <f>"1005"</f>
        <v>1005</v>
      </c>
      <c r="E1693" s="1" t="str">
        <f>"014535386"</f>
        <v>014535386</v>
      </c>
      <c r="F1693" s="1" t="s">
        <v>1977</v>
      </c>
      <c r="G1693" s="1" t="s">
        <v>16</v>
      </c>
      <c r="H1693" s="1" t="str">
        <f>"45"</f>
        <v>45</v>
      </c>
      <c r="I1693" s="2">
        <v>2.78</v>
      </c>
      <c r="J1693" s="3">
        <v>46140</v>
      </c>
      <c r="K1693" s="1" t="s">
        <v>3890</v>
      </c>
    </row>
    <row r="1694" spans="1:11" x14ac:dyDescent="0.35">
      <c r="A1694" s="1" t="s">
        <v>3844</v>
      </c>
      <c r="B1694" s="1" t="s">
        <v>3886</v>
      </c>
      <c r="C1694" s="1" t="s">
        <v>3891</v>
      </c>
      <c r="D1694" s="1" t="str">
        <f>"1005"</f>
        <v>1005</v>
      </c>
      <c r="E1694" s="1" t="str">
        <f>"015629457"</f>
        <v>015629457</v>
      </c>
      <c r="F1694" s="1" t="s">
        <v>3040</v>
      </c>
      <c r="G1694" s="1" t="s">
        <v>3041</v>
      </c>
      <c r="H1694" s="1" t="str">
        <f>"15"</f>
        <v>15</v>
      </c>
      <c r="I1694" s="2">
        <v>382.53</v>
      </c>
      <c r="J1694" s="3">
        <v>46140</v>
      </c>
      <c r="K1694" s="1" t="s">
        <v>3892</v>
      </c>
    </row>
    <row r="1695" spans="1:11" x14ac:dyDescent="0.35">
      <c r="A1695" s="1" t="s">
        <v>3844</v>
      </c>
      <c r="B1695" s="1" t="s">
        <v>3886</v>
      </c>
      <c r="C1695" s="1" t="s">
        <v>3896</v>
      </c>
      <c r="D1695" s="1" t="str">
        <f>"1005"</f>
        <v>1005</v>
      </c>
      <c r="E1695" s="1" t="str">
        <f>"014536655"</f>
        <v>014536655</v>
      </c>
      <c r="F1695" s="1" t="s">
        <v>1979</v>
      </c>
      <c r="G1695" s="1" t="s">
        <v>16</v>
      </c>
      <c r="H1695" s="1" t="str">
        <f>"23"</f>
        <v>23</v>
      </c>
      <c r="I1695" s="2">
        <v>4.9400000000000004</v>
      </c>
      <c r="J1695" s="3">
        <v>46140</v>
      </c>
      <c r="K1695" s="1" t="s">
        <v>3890</v>
      </c>
    </row>
    <row r="1696" spans="1:11" x14ac:dyDescent="0.35">
      <c r="A1696" s="1" t="s">
        <v>3844</v>
      </c>
      <c r="B1696" s="1" t="s">
        <v>3886</v>
      </c>
      <c r="C1696" s="1" t="s">
        <v>3897</v>
      </c>
      <c r="D1696" s="1" t="str">
        <f>"1005"</f>
        <v>1005</v>
      </c>
      <c r="E1696" s="1" t="str">
        <f>"016040756"</f>
        <v>016040756</v>
      </c>
      <c r="F1696" s="1" t="s">
        <v>3898</v>
      </c>
      <c r="G1696" s="1" t="s">
        <v>16</v>
      </c>
      <c r="H1696" s="1" t="str">
        <f>"45"</f>
        <v>45</v>
      </c>
      <c r="I1696" s="2">
        <v>21.72</v>
      </c>
      <c r="J1696" s="3">
        <v>46140</v>
      </c>
      <c r="K1696" s="1" t="s">
        <v>3899</v>
      </c>
    </row>
    <row r="1697" spans="1:11" x14ac:dyDescent="0.35">
      <c r="A1697" s="1" t="s">
        <v>3844</v>
      </c>
      <c r="B1697" s="1" t="s">
        <v>3886</v>
      </c>
      <c r="C1697" s="1" t="s">
        <v>3900</v>
      </c>
      <c r="D1697" s="1" t="str">
        <f>"1005"</f>
        <v>1005</v>
      </c>
      <c r="E1697" s="1" t="str">
        <f>"015629457"</f>
        <v>015629457</v>
      </c>
      <c r="F1697" s="1" t="s">
        <v>3040</v>
      </c>
      <c r="G1697" s="1" t="s">
        <v>3041</v>
      </c>
      <c r="H1697" s="1" t="str">
        <f>"45"</f>
        <v>45</v>
      </c>
      <c r="I1697" s="2">
        <v>382.53</v>
      </c>
      <c r="J1697" s="3">
        <v>46140</v>
      </c>
      <c r="K1697" s="1" t="s">
        <v>3901</v>
      </c>
    </row>
    <row r="1698" spans="1:11" x14ac:dyDescent="0.35">
      <c r="A1698" s="1" t="s">
        <v>3844</v>
      </c>
      <c r="B1698" s="1" t="s">
        <v>3886</v>
      </c>
      <c r="C1698" s="1" t="s">
        <v>3906</v>
      </c>
      <c r="D1698" s="1" t="str">
        <f>"1240"</f>
        <v>1240</v>
      </c>
      <c r="E1698" s="1" t="str">
        <f>"015766134"</f>
        <v>015766134</v>
      </c>
      <c r="F1698" s="1" t="s">
        <v>1103</v>
      </c>
      <c r="G1698" s="1" t="s">
        <v>16</v>
      </c>
      <c r="H1698" s="1" t="str">
        <f>"10"</f>
        <v>10</v>
      </c>
      <c r="I1698" s="2" t="str">
        <f>"589"</f>
        <v>589</v>
      </c>
      <c r="J1698" s="3">
        <v>46140</v>
      </c>
      <c r="K1698" s="1" t="s">
        <v>3907</v>
      </c>
    </row>
    <row r="1699" spans="1:11" x14ac:dyDescent="0.35">
      <c r="A1699" s="1" t="s">
        <v>3844</v>
      </c>
      <c r="B1699" s="1" t="s">
        <v>3886</v>
      </c>
      <c r="C1699" s="1" t="s">
        <v>3910</v>
      </c>
      <c r="D1699" s="1" t="str">
        <f>"1240"</f>
        <v>1240</v>
      </c>
      <c r="E1699" s="1" t="str">
        <f>"015191600"</f>
        <v>015191600</v>
      </c>
      <c r="F1699" s="1" t="s">
        <v>2356</v>
      </c>
      <c r="G1699" s="1" t="s">
        <v>16</v>
      </c>
      <c r="H1699" s="1" t="str">
        <f>"5"</f>
        <v>5</v>
      </c>
      <c r="I1699" s="2" t="str">
        <f>"672"</f>
        <v>672</v>
      </c>
      <c r="J1699" s="3">
        <v>46140</v>
      </c>
      <c r="K1699" s="1" t="s">
        <v>3911</v>
      </c>
    </row>
    <row r="1700" spans="1:11" x14ac:dyDescent="0.35">
      <c r="A1700" s="1" t="s">
        <v>3844</v>
      </c>
      <c r="B1700" s="1" t="s">
        <v>3886</v>
      </c>
      <c r="C1700" s="1" t="s">
        <v>3957</v>
      </c>
      <c r="D1700" s="1" t="str">
        <f>"5180"</f>
        <v>5180</v>
      </c>
      <c r="E1700" s="1" t="str">
        <f>"002932875"</f>
        <v>002932875</v>
      </c>
      <c r="F1700" s="1" t="s">
        <v>434</v>
      </c>
      <c r="G1700" s="1" t="s">
        <v>215</v>
      </c>
      <c r="H1700" s="1" t="str">
        <f>"1"</f>
        <v>1</v>
      </c>
      <c r="I1700" s="2" t="str">
        <f>"1251"</f>
        <v>1251</v>
      </c>
      <c r="J1700" s="3">
        <v>46140</v>
      </c>
      <c r="K1700" s="1" t="s">
        <v>3958</v>
      </c>
    </row>
    <row r="1701" spans="1:11" x14ac:dyDescent="0.35">
      <c r="A1701" s="1" t="s">
        <v>3844</v>
      </c>
      <c r="B1701" s="1" t="s">
        <v>3886</v>
      </c>
      <c r="C1701" s="1" t="s">
        <v>3973</v>
      </c>
      <c r="D1701" s="1" t="str">
        <f>"6230"</f>
        <v>6230</v>
      </c>
      <c r="E1701" s="1" t="str">
        <f>"015894822"</f>
        <v>015894822</v>
      </c>
      <c r="F1701" s="1" t="s">
        <v>2368</v>
      </c>
      <c r="G1701" s="1" t="s">
        <v>16</v>
      </c>
      <c r="H1701" s="1" t="str">
        <f>"33"</f>
        <v>33</v>
      </c>
      <c r="I1701" s="2">
        <v>647.44000000000005</v>
      </c>
      <c r="J1701" s="3">
        <v>46140</v>
      </c>
      <c r="K1701" s="1" t="s">
        <v>3974</v>
      </c>
    </row>
    <row r="1702" spans="1:11" x14ac:dyDescent="0.35">
      <c r="A1702" s="1" t="s">
        <v>3844</v>
      </c>
      <c r="B1702" s="1" t="s">
        <v>3886</v>
      </c>
      <c r="C1702" s="1" t="s">
        <v>3988</v>
      </c>
      <c r="D1702" s="1" t="str">
        <f>"6545"</f>
        <v>6545</v>
      </c>
      <c r="E1702" s="1" t="str">
        <f>"015841582"</f>
        <v>015841582</v>
      </c>
      <c r="F1702" s="1" t="s">
        <v>305</v>
      </c>
      <c r="G1702" s="1" t="s">
        <v>215</v>
      </c>
      <c r="H1702" s="1" t="str">
        <f>"2"</f>
        <v>2</v>
      </c>
      <c r="I1702" s="2">
        <v>103.24</v>
      </c>
      <c r="J1702" s="3">
        <v>46140</v>
      </c>
      <c r="K1702" s="1" t="s">
        <v>3989</v>
      </c>
    </row>
    <row r="1703" spans="1:11" x14ac:dyDescent="0.35">
      <c r="A1703" s="1" t="s">
        <v>3844</v>
      </c>
      <c r="B1703" s="1" t="s">
        <v>3886</v>
      </c>
      <c r="C1703" s="1" t="s">
        <v>4045</v>
      </c>
      <c r="D1703" s="1" t="str">
        <f>"8465"</f>
        <v>8465</v>
      </c>
      <c r="E1703" s="1" t="str">
        <f>"015196440"</f>
        <v>015196440</v>
      </c>
      <c r="F1703" s="1" t="s">
        <v>3590</v>
      </c>
      <c r="G1703" s="1" t="s">
        <v>16</v>
      </c>
      <c r="H1703" s="1" t="str">
        <f>"10"</f>
        <v>10</v>
      </c>
      <c r="I1703" s="2">
        <v>27.59</v>
      </c>
      <c r="J1703" s="3">
        <v>46140</v>
      </c>
      <c r="K1703" s="1" t="s">
        <v>4046</v>
      </c>
    </row>
    <row r="1704" spans="1:11" x14ac:dyDescent="0.35">
      <c r="A1704" s="1" t="s">
        <v>3844</v>
      </c>
      <c r="B1704" s="1" t="s">
        <v>4111</v>
      </c>
      <c r="C1704" s="1" t="s">
        <v>4112</v>
      </c>
      <c r="D1704" s="1" t="str">
        <f>"2330"</f>
        <v>2330</v>
      </c>
      <c r="E1704" s="1" t="s">
        <v>70</v>
      </c>
      <c r="F1704" s="1" t="s">
        <v>71</v>
      </c>
      <c r="G1704" s="1" t="s">
        <v>16</v>
      </c>
      <c r="H1704" s="1" t="str">
        <f>"1"</f>
        <v>1</v>
      </c>
      <c r="I1704" s="2" t="str">
        <f>"18595"</f>
        <v>18595</v>
      </c>
      <c r="J1704" s="3">
        <v>46140</v>
      </c>
      <c r="K1704" s="1" t="s">
        <v>4113</v>
      </c>
    </row>
    <row r="1705" spans="1:11" x14ac:dyDescent="0.35">
      <c r="A1705" s="1" t="s">
        <v>3844</v>
      </c>
      <c r="B1705" s="1" t="s">
        <v>3886</v>
      </c>
      <c r="C1705" s="1" t="s">
        <v>3963</v>
      </c>
      <c r="D1705" s="1" t="str">
        <f>"5855"</f>
        <v>5855</v>
      </c>
      <c r="E1705" s="1" t="str">
        <f>"015356166"</f>
        <v>015356166</v>
      </c>
      <c r="F1705" s="1" t="s">
        <v>1379</v>
      </c>
      <c r="G1705" s="1" t="s">
        <v>16</v>
      </c>
      <c r="H1705" s="1" t="str">
        <f>"9"</f>
        <v>9</v>
      </c>
      <c r="I1705" s="2" t="str">
        <f>"898"</f>
        <v>898</v>
      </c>
      <c r="J1705" s="3">
        <v>46141</v>
      </c>
      <c r="K1705" s="1" t="s">
        <v>3964</v>
      </c>
    </row>
    <row r="1706" spans="1:11" x14ac:dyDescent="0.35">
      <c r="A1706" s="1" t="s">
        <v>3844</v>
      </c>
      <c r="B1706" s="1" t="s">
        <v>3886</v>
      </c>
      <c r="C1706" s="1" t="s">
        <v>3971</v>
      </c>
      <c r="D1706" s="1" t="str">
        <f>"6115"</f>
        <v>6115</v>
      </c>
      <c r="E1706" s="1" t="str">
        <f>"016122549"</f>
        <v>016122549</v>
      </c>
      <c r="F1706" s="1" t="s">
        <v>2431</v>
      </c>
      <c r="G1706" s="1" t="s">
        <v>16</v>
      </c>
      <c r="H1706" s="1" t="str">
        <f>"2"</f>
        <v>2</v>
      </c>
      <c r="I1706" s="2" t="str">
        <f>"7873"</f>
        <v>7873</v>
      </c>
      <c r="J1706" s="3">
        <v>46141</v>
      </c>
      <c r="K1706" s="1" t="s">
        <v>3972</v>
      </c>
    </row>
    <row r="1707" spans="1:11" x14ac:dyDescent="0.35">
      <c r="A1707" s="1" t="s">
        <v>3844</v>
      </c>
      <c r="B1707" s="1" t="s">
        <v>3886</v>
      </c>
      <c r="C1707" s="1" t="s">
        <v>3984</v>
      </c>
      <c r="D1707" s="1" t="str">
        <f>"6545"</f>
        <v>6545</v>
      </c>
      <c r="E1707" s="1" t="str">
        <f>"015841582"</f>
        <v>015841582</v>
      </c>
      <c r="F1707" s="1" t="s">
        <v>305</v>
      </c>
      <c r="G1707" s="1" t="s">
        <v>215</v>
      </c>
      <c r="H1707" s="1" t="str">
        <f>"15"</f>
        <v>15</v>
      </c>
      <c r="I1707" s="2">
        <v>103.24</v>
      </c>
      <c r="J1707" s="3">
        <v>46141</v>
      </c>
      <c r="K1707" s="1" t="s">
        <v>3985</v>
      </c>
    </row>
    <row r="1708" spans="1:11" x14ac:dyDescent="0.35">
      <c r="A1708" s="1" t="s">
        <v>3844</v>
      </c>
      <c r="B1708" s="1" t="s">
        <v>3886</v>
      </c>
      <c r="C1708" s="1" t="s">
        <v>3992</v>
      </c>
      <c r="D1708" s="1" t="str">
        <f>"6545"</f>
        <v>6545</v>
      </c>
      <c r="E1708" s="1" t="str">
        <f>"016675039"</f>
        <v>016675039</v>
      </c>
      <c r="F1708" s="1" t="s">
        <v>236</v>
      </c>
      <c r="G1708" s="1" t="s">
        <v>16</v>
      </c>
      <c r="H1708" s="1" t="str">
        <f>"22"</f>
        <v>22</v>
      </c>
      <c r="I1708" s="2">
        <v>200.91</v>
      </c>
      <c r="J1708" s="3">
        <v>46141</v>
      </c>
      <c r="K1708" s="1" t="s">
        <v>3993</v>
      </c>
    </row>
    <row r="1709" spans="1:11" x14ac:dyDescent="0.35">
      <c r="A1709" s="1" t="s">
        <v>3844</v>
      </c>
      <c r="B1709" s="1" t="s">
        <v>3886</v>
      </c>
      <c r="C1709" s="1" t="s">
        <v>3994</v>
      </c>
      <c r="D1709" s="1" t="str">
        <f>"6545"</f>
        <v>6545</v>
      </c>
      <c r="E1709" s="1" t="str">
        <f>"015841582"</f>
        <v>015841582</v>
      </c>
      <c r="F1709" s="1" t="s">
        <v>305</v>
      </c>
      <c r="G1709" s="1" t="s">
        <v>215</v>
      </c>
      <c r="H1709" s="1" t="str">
        <f>"15"</f>
        <v>15</v>
      </c>
      <c r="I1709" s="2">
        <v>103.24</v>
      </c>
      <c r="J1709" s="3">
        <v>46141</v>
      </c>
      <c r="K1709" s="1" t="s">
        <v>3995</v>
      </c>
    </row>
    <row r="1710" spans="1:11" x14ac:dyDescent="0.35">
      <c r="A1710" s="1" t="s">
        <v>3844</v>
      </c>
      <c r="B1710" s="1" t="s">
        <v>3886</v>
      </c>
      <c r="C1710" s="1" t="s">
        <v>3997</v>
      </c>
      <c r="D1710" s="1" t="str">
        <f>"6650"</f>
        <v>6650</v>
      </c>
      <c r="E1710" s="1" t="str">
        <f>"015997714"</f>
        <v>015997714</v>
      </c>
      <c r="F1710" s="1" t="s">
        <v>3998</v>
      </c>
      <c r="G1710" s="1" t="s">
        <v>16</v>
      </c>
      <c r="H1710" s="1" t="str">
        <f>"1"</f>
        <v>1</v>
      </c>
      <c r="I1710" s="2" t="str">
        <f>"6928"</f>
        <v>6928</v>
      </c>
      <c r="J1710" s="3">
        <v>46141</v>
      </c>
      <c r="K1710" s="1" t="s">
        <v>3999</v>
      </c>
    </row>
    <row r="1711" spans="1:11" x14ac:dyDescent="0.35">
      <c r="A1711" s="1" t="s">
        <v>3844</v>
      </c>
      <c r="B1711" s="1" t="s">
        <v>3886</v>
      </c>
      <c r="C1711" s="1" t="s">
        <v>4006</v>
      </c>
      <c r="D1711" s="1" t="str">
        <f>"7490"</f>
        <v>7490</v>
      </c>
      <c r="E1711" s="1" t="str">
        <f>"016576124"</f>
        <v>016576124</v>
      </c>
      <c r="F1711" s="1" t="s">
        <v>4007</v>
      </c>
      <c r="G1711" s="1" t="s">
        <v>16</v>
      </c>
      <c r="H1711" s="1" t="str">
        <f>"1"</f>
        <v>1</v>
      </c>
      <c r="I1711" s="2" t="str">
        <f>"116"</f>
        <v>116</v>
      </c>
      <c r="J1711" s="3">
        <v>46141</v>
      </c>
      <c r="K1711" s="1" t="s">
        <v>4008</v>
      </c>
    </row>
    <row r="1712" spans="1:11" x14ac:dyDescent="0.35">
      <c r="A1712" s="1" t="s">
        <v>3844</v>
      </c>
      <c r="B1712" s="1" t="s">
        <v>3886</v>
      </c>
      <c r="C1712" s="1" t="s">
        <v>4018</v>
      </c>
      <c r="D1712" s="1" t="str">
        <f>"8140"</f>
        <v>8140</v>
      </c>
      <c r="E1712" s="1" t="str">
        <f>"009601699"</f>
        <v>009601699</v>
      </c>
      <c r="F1712" s="1" t="s">
        <v>1085</v>
      </c>
      <c r="G1712" s="1" t="s">
        <v>16</v>
      </c>
      <c r="H1712" s="1" t="str">
        <f>"30"</f>
        <v>30</v>
      </c>
      <c r="I1712" s="2">
        <v>11.1</v>
      </c>
      <c r="J1712" s="3">
        <v>46141</v>
      </c>
      <c r="K1712" s="1" t="s">
        <v>4019</v>
      </c>
    </row>
    <row r="1713" spans="1:11" x14ac:dyDescent="0.35">
      <c r="A1713" s="1" t="s">
        <v>3844</v>
      </c>
      <c r="B1713" s="1" t="s">
        <v>3886</v>
      </c>
      <c r="C1713" s="1" t="s">
        <v>4024</v>
      </c>
      <c r="D1713" s="1" t="str">
        <f>"8415"</f>
        <v>8415</v>
      </c>
      <c r="E1713" s="1" t="str">
        <f>"015386747"</f>
        <v>015386747</v>
      </c>
      <c r="F1713" s="1" t="s">
        <v>493</v>
      </c>
      <c r="G1713" s="1" t="s">
        <v>16</v>
      </c>
      <c r="H1713" s="1" t="str">
        <f>"2"</f>
        <v>2</v>
      </c>
      <c r="I1713" s="2">
        <v>63.88</v>
      </c>
      <c r="J1713" s="3">
        <v>46141</v>
      </c>
      <c r="K1713" s="1" t="s">
        <v>4025</v>
      </c>
    </row>
    <row r="1714" spans="1:11" x14ac:dyDescent="0.35">
      <c r="A1714" s="1" t="s">
        <v>3844</v>
      </c>
      <c r="B1714" s="1" t="s">
        <v>3886</v>
      </c>
      <c r="C1714" s="1" t="s">
        <v>4026</v>
      </c>
      <c r="D1714" s="1" t="str">
        <f>"8415"</f>
        <v>8415</v>
      </c>
      <c r="E1714" s="1" t="str">
        <f>"015386289"</f>
        <v>015386289</v>
      </c>
      <c r="F1714" s="1" t="s">
        <v>1718</v>
      </c>
      <c r="G1714" s="1" t="s">
        <v>16</v>
      </c>
      <c r="H1714" s="1" t="str">
        <f>"2"</f>
        <v>2</v>
      </c>
      <c r="I1714" s="2">
        <v>137.97999999999999</v>
      </c>
      <c r="J1714" s="3">
        <v>46141</v>
      </c>
      <c r="K1714" s="1" t="s">
        <v>4027</v>
      </c>
    </row>
    <row r="1715" spans="1:11" x14ac:dyDescent="0.35">
      <c r="A1715" s="1" t="s">
        <v>3844</v>
      </c>
      <c r="B1715" s="1" t="s">
        <v>3886</v>
      </c>
      <c r="C1715" s="1" t="s">
        <v>4028</v>
      </c>
      <c r="D1715" s="1" t="str">
        <f>"8415"</f>
        <v>8415</v>
      </c>
      <c r="E1715" s="1" t="str">
        <f>"015386308"</f>
        <v>015386308</v>
      </c>
      <c r="F1715" s="1" t="s">
        <v>1718</v>
      </c>
      <c r="G1715" s="1" t="s">
        <v>16</v>
      </c>
      <c r="H1715" s="1" t="str">
        <f>"2"</f>
        <v>2</v>
      </c>
      <c r="I1715" s="2">
        <v>137.97999999999999</v>
      </c>
      <c r="J1715" s="3">
        <v>46141</v>
      </c>
      <c r="K1715" s="1" t="s">
        <v>4027</v>
      </c>
    </row>
    <row r="1716" spans="1:11" x14ac:dyDescent="0.35">
      <c r="A1716" s="1" t="s">
        <v>3844</v>
      </c>
      <c r="B1716" s="1" t="s">
        <v>3886</v>
      </c>
      <c r="C1716" s="1" t="s">
        <v>4039</v>
      </c>
      <c r="D1716" s="1" t="str">
        <f>"8465"</f>
        <v>8465</v>
      </c>
      <c r="E1716" s="1" t="str">
        <f>"015801313"</f>
        <v>015801313</v>
      </c>
      <c r="F1716" s="1" t="s">
        <v>4040</v>
      </c>
      <c r="G1716" s="1" t="s">
        <v>16</v>
      </c>
      <c r="H1716" s="1" t="str">
        <f>"15"</f>
        <v>15</v>
      </c>
      <c r="I1716" s="2">
        <v>3.39</v>
      </c>
      <c r="J1716" s="3">
        <v>46141</v>
      </c>
      <c r="K1716" s="1" t="s">
        <v>4041</v>
      </c>
    </row>
    <row r="1717" spans="1:11" x14ac:dyDescent="0.35">
      <c r="A1717" s="1" t="s">
        <v>3844</v>
      </c>
      <c r="B1717" s="1" t="s">
        <v>3886</v>
      </c>
      <c r="C1717" s="1" t="s">
        <v>4061</v>
      </c>
      <c r="D1717" s="1" t="str">
        <f>"8465"</f>
        <v>8465</v>
      </c>
      <c r="E1717" s="1" t="str">
        <f>"016419431"</f>
        <v>016419431</v>
      </c>
      <c r="F1717" s="1" t="s">
        <v>4062</v>
      </c>
      <c r="G1717" s="1" t="s">
        <v>16</v>
      </c>
      <c r="H1717" s="1" t="str">
        <f>"25"</f>
        <v>25</v>
      </c>
      <c r="I1717" s="2">
        <v>8.52</v>
      </c>
      <c r="J1717" s="3">
        <v>46141</v>
      </c>
      <c r="K1717" s="1" t="s">
        <v>4063</v>
      </c>
    </row>
    <row r="1718" spans="1:11" x14ac:dyDescent="0.35">
      <c r="A1718" s="1" t="s">
        <v>3844</v>
      </c>
      <c r="B1718" s="1" t="s">
        <v>3886</v>
      </c>
      <c r="C1718" s="1" t="s">
        <v>4064</v>
      </c>
      <c r="D1718" s="1" t="str">
        <f>"8465"</f>
        <v>8465</v>
      </c>
      <c r="E1718" s="1" t="str">
        <f>"016419377"</f>
        <v>016419377</v>
      </c>
      <c r="F1718" s="1" t="s">
        <v>2803</v>
      </c>
      <c r="G1718" s="1" t="s">
        <v>16</v>
      </c>
      <c r="H1718" s="1" t="str">
        <f>"10"</f>
        <v>10</v>
      </c>
      <c r="I1718" s="2">
        <v>6.42</v>
      </c>
      <c r="J1718" s="3">
        <v>46141</v>
      </c>
      <c r="K1718" s="1" t="s">
        <v>4065</v>
      </c>
    </row>
    <row r="1719" spans="1:11" x14ac:dyDescent="0.35">
      <c r="A1719" s="1" t="s">
        <v>3844</v>
      </c>
      <c r="B1719" s="1" t="s">
        <v>3886</v>
      </c>
      <c r="C1719" s="1" t="s">
        <v>4081</v>
      </c>
      <c r="D1719" s="1" t="str">
        <f>"8465"</f>
        <v>8465</v>
      </c>
      <c r="E1719" s="1" t="str">
        <f>"015472694"</f>
        <v>015472694</v>
      </c>
      <c r="F1719" s="1" t="s">
        <v>644</v>
      </c>
      <c r="G1719" s="1" t="s">
        <v>16</v>
      </c>
      <c r="H1719" s="1" t="str">
        <f>"5"</f>
        <v>5</v>
      </c>
      <c r="I1719" s="2">
        <v>96.33</v>
      </c>
      <c r="J1719" s="3">
        <v>46141</v>
      </c>
      <c r="K1719" s="1" t="s">
        <v>4082</v>
      </c>
    </row>
    <row r="1720" spans="1:11" x14ac:dyDescent="0.35">
      <c r="A1720" s="1" t="s">
        <v>3844</v>
      </c>
      <c r="B1720" s="1" t="s">
        <v>3886</v>
      </c>
      <c r="C1720" s="1" t="s">
        <v>4083</v>
      </c>
      <c r="D1720" s="1" t="str">
        <f>"8465"</f>
        <v>8465</v>
      </c>
      <c r="E1720" s="1" t="str">
        <f>"013936515"</f>
        <v>013936515</v>
      </c>
      <c r="F1720" s="1" t="s">
        <v>1095</v>
      </c>
      <c r="G1720" s="1" t="s">
        <v>16</v>
      </c>
      <c r="H1720" s="1" t="str">
        <f>"5"</f>
        <v>5</v>
      </c>
      <c r="I1720" s="2">
        <v>68.81</v>
      </c>
      <c r="J1720" s="3">
        <v>46141</v>
      </c>
      <c r="K1720" s="1" t="s">
        <v>4025</v>
      </c>
    </row>
    <row r="1721" spans="1:11" x14ac:dyDescent="0.35">
      <c r="A1721" s="1" t="s">
        <v>3844</v>
      </c>
      <c r="B1721" s="1" t="s">
        <v>3886</v>
      </c>
      <c r="C1721" s="1" t="s">
        <v>4087</v>
      </c>
      <c r="D1721" s="1" t="str">
        <f>"8465"</f>
        <v>8465</v>
      </c>
      <c r="E1721" s="1" t="str">
        <f>"015800701"</f>
        <v>015800701</v>
      </c>
      <c r="F1721" s="1" t="s">
        <v>4088</v>
      </c>
      <c r="G1721" s="1" t="s">
        <v>16</v>
      </c>
      <c r="H1721" s="1" t="str">
        <f>"25"</f>
        <v>25</v>
      </c>
      <c r="I1721" s="2">
        <v>4.74</v>
      </c>
      <c r="J1721" s="3">
        <v>46141</v>
      </c>
      <c r="K1721" s="1" t="s">
        <v>4089</v>
      </c>
    </row>
    <row r="1722" spans="1:11" x14ac:dyDescent="0.35">
      <c r="A1722" s="1" t="s">
        <v>3844</v>
      </c>
      <c r="B1722" s="1" t="s">
        <v>4114</v>
      </c>
      <c r="C1722" s="1" t="s">
        <v>4116</v>
      </c>
      <c r="D1722" s="1" t="str">
        <f>"4240"</f>
        <v>4240</v>
      </c>
      <c r="E1722" s="1" t="str">
        <f>"015835158"</f>
        <v>015835158</v>
      </c>
      <c r="F1722" s="1" t="s">
        <v>561</v>
      </c>
      <c r="G1722" s="1" t="s">
        <v>16</v>
      </c>
      <c r="H1722" s="1" t="str">
        <f>"354"</f>
        <v>354</v>
      </c>
      <c r="I1722" s="2">
        <v>67.39</v>
      </c>
      <c r="J1722" s="3">
        <v>46142</v>
      </c>
      <c r="K1722" s="1" t="s">
        <v>4117</v>
      </c>
    </row>
    <row r="1723" spans="1:11" x14ac:dyDescent="0.35">
      <c r="A1723" s="1" t="s">
        <v>3844</v>
      </c>
      <c r="B1723" s="1" t="s">
        <v>3886</v>
      </c>
      <c r="C1723" s="1" t="s">
        <v>3919</v>
      </c>
      <c r="D1723" s="1" t="str">
        <f>"1680"</f>
        <v>1680</v>
      </c>
      <c r="E1723" s="1" t="str">
        <f>"011295427"</f>
        <v>011295427</v>
      </c>
      <c r="F1723" s="1" t="s">
        <v>3920</v>
      </c>
      <c r="G1723" s="1" t="s">
        <v>16</v>
      </c>
      <c r="H1723" s="1" t="str">
        <f>"6"</f>
        <v>6</v>
      </c>
      <c r="I1723" s="2">
        <v>8911.08</v>
      </c>
      <c r="J1723" s="3">
        <v>46146</v>
      </c>
      <c r="K1723" s="1" t="s">
        <v>3921</v>
      </c>
    </row>
    <row r="1724" spans="1:11" x14ac:dyDescent="0.35">
      <c r="A1724" s="1" t="s">
        <v>3844</v>
      </c>
      <c r="B1724" s="1" t="s">
        <v>3886</v>
      </c>
      <c r="C1724" s="1" t="s">
        <v>3924</v>
      </c>
      <c r="D1724" s="1" t="str">
        <f>"4110"</f>
        <v>4110</v>
      </c>
      <c r="E1724" s="1" t="s">
        <v>388</v>
      </c>
      <c r="F1724" s="1" t="s">
        <v>389</v>
      </c>
      <c r="G1724" s="1" t="s">
        <v>16</v>
      </c>
      <c r="H1724" s="1" t="str">
        <f>"1"</f>
        <v>1</v>
      </c>
      <c r="I1724" s="2" t="str">
        <f>"3300"</f>
        <v>3300</v>
      </c>
      <c r="J1724" s="3">
        <v>46146</v>
      </c>
      <c r="K1724" s="1" t="s">
        <v>3925</v>
      </c>
    </row>
    <row r="1725" spans="1:11" x14ac:dyDescent="0.35">
      <c r="A1725" s="1" t="s">
        <v>3844</v>
      </c>
      <c r="B1725" s="1" t="s">
        <v>3886</v>
      </c>
      <c r="C1725" s="1" t="s">
        <v>3935</v>
      </c>
      <c r="D1725" s="1" t="str">
        <f>"4240"</f>
        <v>4240</v>
      </c>
      <c r="E1725" s="1" t="str">
        <f>"016308327"</f>
        <v>016308327</v>
      </c>
      <c r="F1725" s="1" t="s">
        <v>561</v>
      </c>
      <c r="G1725" s="1" t="s">
        <v>16</v>
      </c>
      <c r="H1725" s="1" t="str">
        <f>"7"</f>
        <v>7</v>
      </c>
      <c r="I1725" s="2">
        <v>48.01</v>
      </c>
      <c r="J1725" s="3">
        <v>46146</v>
      </c>
      <c r="K1725" s="1" t="s">
        <v>3936</v>
      </c>
    </row>
    <row r="1726" spans="1:11" x14ac:dyDescent="0.35">
      <c r="A1726" s="1" t="s">
        <v>3844</v>
      </c>
      <c r="B1726" s="1" t="s">
        <v>3886</v>
      </c>
      <c r="C1726" s="1" t="s">
        <v>3975</v>
      </c>
      <c r="D1726" s="1" t="str">
        <f>"6230"</f>
        <v>6230</v>
      </c>
      <c r="E1726" s="1" t="str">
        <f>"016134312"</f>
        <v>016134312</v>
      </c>
      <c r="F1726" s="1" t="s">
        <v>230</v>
      </c>
      <c r="G1726" s="1" t="s">
        <v>16</v>
      </c>
      <c r="H1726" s="1" t="str">
        <f>"3"</f>
        <v>3</v>
      </c>
      <c r="I1726" s="2">
        <v>92.96</v>
      </c>
      <c r="J1726" s="3">
        <v>46146</v>
      </c>
      <c r="K1726" s="1" t="s">
        <v>3976</v>
      </c>
    </row>
    <row r="1727" spans="1:11" x14ac:dyDescent="0.35">
      <c r="A1727" s="1" t="s">
        <v>3844</v>
      </c>
      <c r="B1727" s="1" t="s">
        <v>3886</v>
      </c>
      <c r="C1727" s="1" t="s">
        <v>4015</v>
      </c>
      <c r="D1727" s="1" t="str">
        <f>"8140"</f>
        <v>8140</v>
      </c>
      <c r="E1727" s="1" t="str">
        <f>"013169143"</f>
        <v>013169143</v>
      </c>
      <c r="F1727" s="1" t="s">
        <v>4016</v>
      </c>
      <c r="G1727" s="1" t="s">
        <v>16</v>
      </c>
      <c r="H1727" s="1" t="str">
        <f>"10"</f>
        <v>10</v>
      </c>
      <c r="I1727" s="2">
        <v>22.26</v>
      </c>
      <c r="J1727" s="3">
        <v>46146</v>
      </c>
      <c r="K1727" s="1" t="s">
        <v>4017</v>
      </c>
    </row>
    <row r="1728" spans="1:11" x14ac:dyDescent="0.35">
      <c r="A1728" s="1" t="s">
        <v>3844</v>
      </c>
      <c r="B1728" s="1" t="s">
        <v>3886</v>
      </c>
      <c r="C1728" s="1" t="s">
        <v>4020</v>
      </c>
      <c r="D1728" s="1" t="str">
        <f>"8145"</f>
        <v>8145</v>
      </c>
      <c r="E1728" s="1" t="str">
        <f>"015404464"</f>
        <v>015404464</v>
      </c>
      <c r="F1728" s="1" t="s">
        <v>423</v>
      </c>
      <c r="G1728" s="1" t="s">
        <v>16</v>
      </c>
      <c r="H1728" s="1" t="str">
        <f>"10"</f>
        <v>10</v>
      </c>
      <c r="I1728" s="2">
        <v>121.56</v>
      </c>
      <c r="J1728" s="3">
        <v>46146</v>
      </c>
      <c r="K1728" s="1" t="s">
        <v>4021</v>
      </c>
    </row>
    <row r="1729" spans="1:11" x14ac:dyDescent="0.35">
      <c r="A1729" s="1" t="s">
        <v>3844</v>
      </c>
      <c r="B1729" s="1" t="s">
        <v>4118</v>
      </c>
      <c r="C1729" s="1" t="s">
        <v>4124</v>
      </c>
      <c r="D1729" s="1" t="str">
        <f>"6760"</f>
        <v>6760</v>
      </c>
      <c r="E1729" s="1" t="s">
        <v>2621</v>
      </c>
      <c r="F1729" s="1" t="s">
        <v>2622</v>
      </c>
      <c r="G1729" s="1" t="s">
        <v>16</v>
      </c>
      <c r="H1729" s="1" t="str">
        <f>"1"</f>
        <v>1</v>
      </c>
      <c r="I1729" s="2" t="str">
        <f>"1650"</f>
        <v>1650</v>
      </c>
      <c r="J1729" s="3">
        <v>46150</v>
      </c>
      <c r="K1729" s="1" t="s">
        <v>4125</v>
      </c>
    </row>
    <row r="1730" spans="1:11" x14ac:dyDescent="0.35">
      <c r="A1730" s="1" t="s">
        <v>3844</v>
      </c>
      <c r="B1730" s="1" t="s">
        <v>3886</v>
      </c>
      <c r="C1730" s="1" t="s">
        <v>3926</v>
      </c>
      <c r="D1730" s="1" t="str">
        <f>"4110"</f>
        <v>4110</v>
      </c>
      <c r="E1730" s="1" t="s">
        <v>388</v>
      </c>
      <c r="F1730" s="1" t="s">
        <v>389</v>
      </c>
      <c r="G1730" s="1" t="s">
        <v>16</v>
      </c>
      <c r="H1730" s="1" t="str">
        <f>"1"</f>
        <v>1</v>
      </c>
      <c r="I1730" s="2" t="str">
        <f>"1800"</f>
        <v>1800</v>
      </c>
      <c r="J1730" s="3">
        <v>46153</v>
      </c>
      <c r="K1730" s="1" t="s">
        <v>3927</v>
      </c>
    </row>
    <row r="1731" spans="1:11" x14ac:dyDescent="0.35">
      <c r="A1731" s="1" t="s">
        <v>3844</v>
      </c>
      <c r="B1731" s="1" t="s">
        <v>3886</v>
      </c>
      <c r="C1731" s="1" t="s">
        <v>3942</v>
      </c>
      <c r="D1731" s="1" t="str">
        <f>"4520"</f>
        <v>4520</v>
      </c>
      <c r="E1731" s="1" t="str">
        <f>"015276260"</f>
        <v>015276260</v>
      </c>
      <c r="F1731" s="1" t="s">
        <v>1021</v>
      </c>
      <c r="G1731" s="1" t="s">
        <v>16</v>
      </c>
      <c r="H1731" s="1" t="str">
        <f>"3"</f>
        <v>3</v>
      </c>
      <c r="I1731" s="2">
        <v>12446.64</v>
      </c>
      <c r="J1731" s="3">
        <v>46153</v>
      </c>
      <c r="K1731" s="1" t="s">
        <v>3943</v>
      </c>
    </row>
    <row r="1732" spans="1:11" x14ac:dyDescent="0.35">
      <c r="A1732" s="1" t="s">
        <v>3844</v>
      </c>
      <c r="B1732" s="1" t="s">
        <v>3886</v>
      </c>
      <c r="C1732" s="1" t="s">
        <v>3944</v>
      </c>
      <c r="D1732" s="1" t="str">
        <f>"4910"</f>
        <v>4910</v>
      </c>
      <c r="E1732" s="1" t="s">
        <v>2425</v>
      </c>
      <c r="F1732" s="1" t="s">
        <v>2426</v>
      </c>
      <c r="G1732" s="1" t="s">
        <v>16</v>
      </c>
      <c r="H1732" s="1" t="str">
        <f>"1"</f>
        <v>1</v>
      </c>
      <c r="I1732" s="2">
        <v>78.98</v>
      </c>
      <c r="J1732" s="3">
        <v>46153</v>
      </c>
      <c r="K1732" s="1" t="s">
        <v>3945</v>
      </c>
    </row>
    <row r="1733" spans="1:11" x14ac:dyDescent="0.35">
      <c r="A1733" s="1" t="s">
        <v>3844</v>
      </c>
      <c r="B1733" s="1" t="s">
        <v>3886</v>
      </c>
      <c r="C1733" s="1" t="s">
        <v>4032</v>
      </c>
      <c r="D1733" s="1" t="str">
        <f>"8465"</f>
        <v>8465</v>
      </c>
      <c r="E1733" s="1" t="str">
        <f>"015738033"</f>
        <v>015738033</v>
      </c>
      <c r="F1733" s="1" t="s">
        <v>3332</v>
      </c>
      <c r="G1733" s="1" t="s">
        <v>16</v>
      </c>
      <c r="H1733" s="1" t="str">
        <f>"10"</f>
        <v>10</v>
      </c>
      <c r="I1733" s="2">
        <v>25.5</v>
      </c>
      <c r="J1733" s="3">
        <v>46153</v>
      </c>
      <c r="K1733" s="1" t="s">
        <v>4033</v>
      </c>
    </row>
    <row r="1734" spans="1:11" x14ac:dyDescent="0.35">
      <c r="A1734" s="1" t="s">
        <v>3844</v>
      </c>
      <c r="B1734" s="1" t="s">
        <v>3886</v>
      </c>
      <c r="C1734" s="1" t="s">
        <v>4042</v>
      </c>
      <c r="D1734" s="1" t="str">
        <f>"8465"</f>
        <v>8465</v>
      </c>
      <c r="E1734" s="1" t="str">
        <f>"015195204"</f>
        <v>015195204</v>
      </c>
      <c r="F1734" s="1" t="s">
        <v>4043</v>
      </c>
      <c r="G1734" s="1" t="s">
        <v>16</v>
      </c>
      <c r="H1734" s="1" t="str">
        <f>"10"</f>
        <v>10</v>
      </c>
      <c r="I1734" s="2">
        <v>21.8</v>
      </c>
      <c r="J1734" s="3">
        <v>46153</v>
      </c>
      <c r="K1734" s="1" t="s">
        <v>4044</v>
      </c>
    </row>
    <row r="1735" spans="1:11" x14ac:dyDescent="0.35">
      <c r="A1735" s="1" t="s">
        <v>3844</v>
      </c>
      <c r="B1735" s="1" t="s">
        <v>3886</v>
      </c>
      <c r="C1735" s="1" t="s">
        <v>4084</v>
      </c>
      <c r="D1735" s="1" t="str">
        <f>"8465"</f>
        <v>8465</v>
      </c>
      <c r="E1735" s="1" t="str">
        <f>"015195225"</f>
        <v>015195225</v>
      </c>
      <c r="F1735" s="1" t="s">
        <v>4085</v>
      </c>
      <c r="G1735" s="1" t="s">
        <v>16</v>
      </c>
      <c r="H1735" s="1" t="str">
        <f>"3"</f>
        <v>3</v>
      </c>
      <c r="I1735" s="2">
        <v>14.65</v>
      </c>
      <c r="J1735" s="3">
        <v>46153</v>
      </c>
      <c r="K1735" s="1" t="s">
        <v>4086</v>
      </c>
    </row>
    <row r="1736" spans="1:11" x14ac:dyDescent="0.35">
      <c r="A1736" s="1" t="s">
        <v>3844</v>
      </c>
      <c r="B1736" s="1" t="s">
        <v>3886</v>
      </c>
      <c r="C1736" s="1" t="s">
        <v>3916</v>
      </c>
      <c r="D1736" s="1" t="str">
        <f>"1670"</f>
        <v>1670</v>
      </c>
      <c r="E1736" s="1" t="str">
        <f>"016185844"</f>
        <v>016185844</v>
      </c>
      <c r="F1736" s="1" t="s">
        <v>3917</v>
      </c>
      <c r="G1736" s="1" t="s">
        <v>16</v>
      </c>
      <c r="H1736" s="1" t="str">
        <f>"10"</f>
        <v>10</v>
      </c>
      <c r="I1736" s="2" t="str">
        <f>"463"</f>
        <v>463</v>
      </c>
      <c r="J1736" s="3">
        <v>46154</v>
      </c>
      <c r="K1736" s="1" t="s">
        <v>3918</v>
      </c>
    </row>
    <row r="1737" spans="1:11" x14ac:dyDescent="0.35">
      <c r="A1737" s="1" t="s">
        <v>3844</v>
      </c>
      <c r="B1737" s="1" t="s">
        <v>3886</v>
      </c>
      <c r="C1737" s="1" t="s">
        <v>3959</v>
      </c>
      <c r="D1737" s="1" t="str">
        <f>"5180"</f>
        <v>5180</v>
      </c>
      <c r="E1737" s="1" t="str">
        <f>"002932875"</f>
        <v>002932875</v>
      </c>
      <c r="F1737" s="1" t="s">
        <v>434</v>
      </c>
      <c r="G1737" s="1" t="s">
        <v>215</v>
      </c>
      <c r="H1737" s="1" t="str">
        <f>"1"</f>
        <v>1</v>
      </c>
      <c r="I1737" s="2" t="str">
        <f>"1251"</f>
        <v>1251</v>
      </c>
      <c r="J1737" s="3">
        <v>46154</v>
      </c>
      <c r="K1737" s="1" t="s">
        <v>3960</v>
      </c>
    </row>
    <row r="1738" spans="1:11" x14ac:dyDescent="0.35">
      <c r="A1738" s="1" t="s">
        <v>3844</v>
      </c>
      <c r="B1738" s="1" t="s">
        <v>3886</v>
      </c>
      <c r="C1738" s="1" t="s">
        <v>3986</v>
      </c>
      <c r="D1738" s="1" t="str">
        <f>"6545"</f>
        <v>6545</v>
      </c>
      <c r="E1738" s="1" t="str">
        <f>"015300929"</f>
        <v>015300929</v>
      </c>
      <c r="F1738" s="1" t="s">
        <v>236</v>
      </c>
      <c r="G1738" s="1" t="s">
        <v>215</v>
      </c>
      <c r="H1738" s="1" t="str">
        <f>"10"</f>
        <v>10</v>
      </c>
      <c r="I1738" s="2">
        <v>48.71</v>
      </c>
      <c r="J1738" s="3">
        <v>46154</v>
      </c>
      <c r="K1738" s="1" t="s">
        <v>3987</v>
      </c>
    </row>
    <row r="1739" spans="1:11" x14ac:dyDescent="0.35">
      <c r="A1739" s="1" t="s">
        <v>3844</v>
      </c>
      <c r="B1739" s="1" t="s">
        <v>3886</v>
      </c>
      <c r="C1739" s="1" t="s">
        <v>3990</v>
      </c>
      <c r="D1739" s="1" t="str">
        <f>"6545"</f>
        <v>6545</v>
      </c>
      <c r="E1739" s="1" t="str">
        <f>"015324962"</f>
        <v>015324962</v>
      </c>
      <c r="F1739" s="1" t="s">
        <v>2053</v>
      </c>
      <c r="G1739" s="1" t="s">
        <v>215</v>
      </c>
      <c r="H1739" s="1" t="str">
        <f>"1"</f>
        <v>1</v>
      </c>
      <c r="I1739" s="2">
        <v>1868.26</v>
      </c>
      <c r="J1739" s="3">
        <v>46154</v>
      </c>
      <c r="K1739" s="1" t="s">
        <v>3991</v>
      </c>
    </row>
    <row r="1740" spans="1:11" x14ac:dyDescent="0.35">
      <c r="A1740" s="1" t="s">
        <v>3844</v>
      </c>
      <c r="B1740" s="1" t="s">
        <v>3886</v>
      </c>
      <c r="C1740" s="1" t="s">
        <v>4012</v>
      </c>
      <c r="D1740" s="1" t="str">
        <f>"7520"</f>
        <v>7520</v>
      </c>
      <c r="E1740" s="1" t="str">
        <f>"014612663"</f>
        <v>014612663</v>
      </c>
      <c r="F1740" s="1" t="s">
        <v>4013</v>
      </c>
      <c r="G1740" s="1" t="s">
        <v>286</v>
      </c>
      <c r="H1740" s="1" t="str">
        <f>"10"</f>
        <v>10</v>
      </c>
      <c r="I1740" s="2">
        <v>24.39</v>
      </c>
      <c r="J1740" s="3">
        <v>46154</v>
      </c>
      <c r="K1740" s="1" t="s">
        <v>4014</v>
      </c>
    </row>
    <row r="1741" spans="1:11" x14ac:dyDescent="0.35">
      <c r="A1741" s="1" t="s">
        <v>3844</v>
      </c>
      <c r="B1741" s="1" t="s">
        <v>3886</v>
      </c>
      <c r="C1741" s="1" t="s">
        <v>4029</v>
      </c>
      <c r="D1741" s="1" t="str">
        <f>"8415"</f>
        <v>8415</v>
      </c>
      <c r="E1741" s="1" t="str">
        <f>"015386747"</f>
        <v>015386747</v>
      </c>
      <c r="F1741" s="1" t="s">
        <v>493</v>
      </c>
      <c r="G1741" s="1" t="s">
        <v>16</v>
      </c>
      <c r="H1741" s="1" t="str">
        <f>"2"</f>
        <v>2</v>
      </c>
      <c r="I1741" s="2">
        <v>63.88</v>
      </c>
      <c r="J1741" s="3">
        <v>46154</v>
      </c>
      <c r="K1741" s="1" t="s">
        <v>4025</v>
      </c>
    </row>
    <row r="1742" spans="1:11" x14ac:dyDescent="0.35">
      <c r="A1742" s="1" t="s">
        <v>3844</v>
      </c>
      <c r="B1742" s="1" t="s">
        <v>3886</v>
      </c>
      <c r="C1742" s="1" t="s">
        <v>4034</v>
      </c>
      <c r="D1742" s="1" t="str">
        <f>"8465"</f>
        <v>8465</v>
      </c>
      <c r="E1742" s="1" t="str">
        <f>"016820448"</f>
        <v>016820448</v>
      </c>
      <c r="F1742" s="1" t="s">
        <v>4035</v>
      </c>
      <c r="G1742" s="1" t="s">
        <v>16</v>
      </c>
      <c r="H1742" s="1" t="str">
        <f>"10"</f>
        <v>10</v>
      </c>
      <c r="I1742" s="2" t="str">
        <f>"127"</f>
        <v>127</v>
      </c>
      <c r="J1742" s="3">
        <v>46154</v>
      </c>
      <c r="K1742" s="1" t="s">
        <v>4036</v>
      </c>
    </row>
    <row r="1743" spans="1:11" x14ac:dyDescent="0.35">
      <c r="A1743" s="1" t="s">
        <v>3844</v>
      </c>
      <c r="B1743" s="1" t="s">
        <v>3886</v>
      </c>
      <c r="C1743" s="1" t="s">
        <v>4037</v>
      </c>
      <c r="D1743" s="1" t="str">
        <f>"8465"</f>
        <v>8465</v>
      </c>
      <c r="E1743" s="1" t="str">
        <f>"016418924"</f>
        <v>016418924</v>
      </c>
      <c r="F1743" s="1" t="s">
        <v>57</v>
      </c>
      <c r="G1743" s="1" t="s">
        <v>16</v>
      </c>
      <c r="H1743" s="1" t="str">
        <f>"5"</f>
        <v>5</v>
      </c>
      <c r="I1743" s="2">
        <v>37.9</v>
      </c>
      <c r="J1743" s="3">
        <v>46154</v>
      </c>
      <c r="K1743" s="1" t="s">
        <v>4038</v>
      </c>
    </row>
    <row r="1744" spans="1:11" x14ac:dyDescent="0.35">
      <c r="A1744" s="1" t="s">
        <v>3844</v>
      </c>
      <c r="B1744" s="1" t="s">
        <v>3886</v>
      </c>
      <c r="C1744" s="1" t="s">
        <v>4053</v>
      </c>
      <c r="D1744" s="1" t="str">
        <f>"8465"</f>
        <v>8465</v>
      </c>
      <c r="E1744" s="1" t="str">
        <f>"016637518"</f>
        <v>016637518</v>
      </c>
      <c r="F1744" s="1" t="s">
        <v>4054</v>
      </c>
      <c r="G1744" s="1" t="s">
        <v>311</v>
      </c>
      <c r="H1744" s="1" t="str">
        <f>"5"</f>
        <v>5</v>
      </c>
      <c r="I1744" s="2">
        <v>18.29</v>
      </c>
      <c r="J1744" s="3">
        <v>46154</v>
      </c>
      <c r="K1744" s="1" t="s">
        <v>4055</v>
      </c>
    </row>
    <row r="1745" spans="1:11" x14ac:dyDescent="0.35">
      <c r="A1745" s="1" t="s">
        <v>3844</v>
      </c>
      <c r="B1745" s="1" t="s">
        <v>3886</v>
      </c>
      <c r="C1745" s="1" t="s">
        <v>4056</v>
      </c>
      <c r="D1745" s="1" t="str">
        <f>"8465"</f>
        <v>8465</v>
      </c>
      <c r="E1745" s="1" t="str">
        <f>"016637517"</f>
        <v>016637517</v>
      </c>
      <c r="F1745" s="1" t="s">
        <v>4057</v>
      </c>
      <c r="G1745" s="1" t="s">
        <v>311</v>
      </c>
      <c r="H1745" s="1" t="str">
        <f>"5"</f>
        <v>5</v>
      </c>
      <c r="I1745" s="2">
        <v>13.69</v>
      </c>
      <c r="J1745" s="3">
        <v>46154</v>
      </c>
      <c r="K1745" s="1" t="s">
        <v>4055</v>
      </c>
    </row>
    <row r="1746" spans="1:11" x14ac:dyDescent="0.35">
      <c r="A1746" s="1" t="s">
        <v>3844</v>
      </c>
      <c r="B1746" s="1" t="s">
        <v>3886</v>
      </c>
      <c r="C1746" s="1" t="s">
        <v>4058</v>
      </c>
      <c r="D1746" s="1" t="str">
        <f>"8465"</f>
        <v>8465</v>
      </c>
      <c r="E1746" s="1" t="str">
        <f>"016637518"</f>
        <v>016637518</v>
      </c>
      <c r="F1746" s="1" t="s">
        <v>4054</v>
      </c>
      <c r="G1746" s="1" t="s">
        <v>311</v>
      </c>
      <c r="H1746" s="1" t="str">
        <f>"3"</f>
        <v>3</v>
      </c>
      <c r="I1746" s="2">
        <v>18.29</v>
      </c>
      <c r="J1746" s="3">
        <v>46154</v>
      </c>
      <c r="K1746" s="1" t="s">
        <v>4059</v>
      </c>
    </row>
    <row r="1747" spans="1:11" x14ac:dyDescent="0.35">
      <c r="A1747" s="1" t="s">
        <v>3844</v>
      </c>
      <c r="B1747" s="1" t="s">
        <v>3886</v>
      </c>
      <c r="C1747" s="1" t="s">
        <v>4060</v>
      </c>
      <c r="D1747" s="1" t="str">
        <f>"8465"</f>
        <v>8465</v>
      </c>
      <c r="E1747" s="1" t="str">
        <f>"016637517"</f>
        <v>016637517</v>
      </c>
      <c r="F1747" s="1" t="s">
        <v>4057</v>
      </c>
      <c r="G1747" s="1" t="s">
        <v>311</v>
      </c>
      <c r="H1747" s="1" t="str">
        <f>"2"</f>
        <v>2</v>
      </c>
      <c r="I1747" s="2">
        <v>13.69</v>
      </c>
      <c r="J1747" s="3">
        <v>46154</v>
      </c>
      <c r="K1747" s="1" t="s">
        <v>4059</v>
      </c>
    </row>
    <row r="1748" spans="1:11" x14ac:dyDescent="0.35">
      <c r="A1748" s="1" t="s">
        <v>3844</v>
      </c>
      <c r="B1748" s="1" t="s">
        <v>3886</v>
      </c>
      <c r="C1748" s="1" t="s">
        <v>4066</v>
      </c>
      <c r="D1748" s="1" t="str">
        <f>"8465"</f>
        <v>8465</v>
      </c>
      <c r="E1748" s="1" t="str">
        <f>"016419671"</f>
        <v>016419671</v>
      </c>
      <c r="F1748" s="1" t="s">
        <v>4067</v>
      </c>
      <c r="G1748" s="1" t="s">
        <v>16</v>
      </c>
      <c r="H1748" s="1" t="str">
        <f>"5"</f>
        <v>5</v>
      </c>
      <c r="I1748" s="2">
        <v>40.4</v>
      </c>
      <c r="J1748" s="3">
        <v>46154</v>
      </c>
      <c r="K1748" s="1" t="s">
        <v>4068</v>
      </c>
    </row>
    <row r="1749" spans="1:11" x14ac:dyDescent="0.35">
      <c r="A1749" s="1" t="s">
        <v>3844</v>
      </c>
      <c r="B1749" s="1" t="s">
        <v>4130</v>
      </c>
      <c r="C1749" s="1" t="s">
        <v>4135</v>
      </c>
      <c r="D1749" s="1" t="str">
        <f>"6545"</f>
        <v>6545</v>
      </c>
      <c r="E1749" s="1" t="str">
        <f>"015748111"</f>
        <v>015748111</v>
      </c>
      <c r="F1749" s="1" t="s">
        <v>2834</v>
      </c>
      <c r="G1749" s="1" t="s">
        <v>16</v>
      </c>
      <c r="H1749" s="1" t="str">
        <f>"50"</f>
        <v>50</v>
      </c>
      <c r="I1749" s="2">
        <v>148.55000000000001</v>
      </c>
      <c r="J1749" s="3">
        <v>46157</v>
      </c>
      <c r="K1749" s="1" t="s">
        <v>4136</v>
      </c>
    </row>
    <row r="1750" spans="1:11" x14ac:dyDescent="0.35">
      <c r="A1750" s="1" t="s">
        <v>3844</v>
      </c>
      <c r="B1750" s="1" t="s">
        <v>4137</v>
      </c>
      <c r="C1750" s="1" t="s">
        <v>4138</v>
      </c>
      <c r="D1750" s="1" t="str">
        <f>"6115"</f>
        <v>6115</v>
      </c>
      <c r="E1750" s="1" t="str">
        <f>"016307935"</f>
        <v>016307935</v>
      </c>
      <c r="F1750" s="1" t="s">
        <v>4139</v>
      </c>
      <c r="G1750" s="1" t="s">
        <v>16</v>
      </c>
      <c r="H1750" s="1" t="str">
        <f>"1"</f>
        <v>1</v>
      </c>
      <c r="I1750" s="2" t="str">
        <f>"220631"</f>
        <v>220631</v>
      </c>
      <c r="J1750" s="3">
        <v>46160</v>
      </c>
      <c r="K1750" s="1" t="s">
        <v>4140</v>
      </c>
    </row>
    <row r="1751" spans="1:11" x14ac:dyDescent="0.35">
      <c r="A1751" s="1" t="s">
        <v>3844</v>
      </c>
      <c r="B1751" s="1" t="s">
        <v>3845</v>
      </c>
      <c r="C1751" s="1" t="s">
        <v>3846</v>
      </c>
      <c r="D1751" s="1" t="str">
        <f>"4140"</f>
        <v>4140</v>
      </c>
      <c r="E1751" s="1" t="s">
        <v>398</v>
      </c>
      <c r="F1751" s="1" t="s">
        <v>399</v>
      </c>
      <c r="G1751" s="1" t="s">
        <v>16</v>
      </c>
      <c r="H1751" s="1" t="str">
        <f>"3"</f>
        <v>3</v>
      </c>
      <c r="I1751" s="2" t="str">
        <f>"50"</f>
        <v>50</v>
      </c>
      <c r="J1751" s="3">
        <v>46163</v>
      </c>
      <c r="K1751" s="1" t="s">
        <v>3847</v>
      </c>
    </row>
    <row r="1752" spans="1:11" x14ac:dyDescent="0.35">
      <c r="A1752" s="1" t="s">
        <v>3844</v>
      </c>
      <c r="B1752" s="1" t="s">
        <v>3845</v>
      </c>
      <c r="C1752" s="1" t="s">
        <v>3848</v>
      </c>
      <c r="D1752" s="1" t="str">
        <f>"5670"</f>
        <v>5670</v>
      </c>
      <c r="E1752" s="1" t="s">
        <v>3849</v>
      </c>
      <c r="F1752" s="1" t="s">
        <v>3850</v>
      </c>
      <c r="G1752" s="1" t="s">
        <v>16</v>
      </c>
      <c r="H1752" s="1" t="str">
        <f>"1"</f>
        <v>1</v>
      </c>
      <c r="I1752" s="2" t="str">
        <f>"1000"</f>
        <v>1000</v>
      </c>
      <c r="J1752" s="3">
        <v>46163</v>
      </c>
      <c r="K1752" s="1" t="s">
        <v>3851</v>
      </c>
    </row>
    <row r="1753" spans="1:11" x14ac:dyDescent="0.35">
      <c r="A1753" s="1" t="s">
        <v>3844</v>
      </c>
      <c r="B1753" s="1" t="s">
        <v>3845</v>
      </c>
      <c r="C1753" s="1" t="s">
        <v>3854</v>
      </c>
      <c r="D1753" s="1" t="str">
        <f>"6530"</f>
        <v>6530</v>
      </c>
      <c r="E1753" s="1" t="s">
        <v>3855</v>
      </c>
      <c r="F1753" s="1" t="s">
        <v>3856</v>
      </c>
      <c r="G1753" s="1" t="s">
        <v>16</v>
      </c>
      <c r="H1753" s="1" t="str">
        <f>"7"</f>
        <v>7</v>
      </c>
      <c r="I1753" s="2" t="str">
        <f>"100"</f>
        <v>100</v>
      </c>
      <c r="J1753" s="3">
        <v>46163</v>
      </c>
      <c r="K1753" s="1" t="s">
        <v>3857</v>
      </c>
    </row>
    <row r="1754" spans="1:11" x14ac:dyDescent="0.35">
      <c r="A1754" s="1" t="s">
        <v>3844</v>
      </c>
      <c r="B1754" s="1" t="s">
        <v>3886</v>
      </c>
      <c r="C1754" s="1" t="s">
        <v>3965</v>
      </c>
      <c r="D1754" s="1" t="str">
        <f>"5860"</f>
        <v>5860</v>
      </c>
      <c r="E1754" s="1" t="str">
        <f>"014712091"</f>
        <v>014712091</v>
      </c>
      <c r="F1754" s="1" t="s">
        <v>218</v>
      </c>
      <c r="G1754" s="1" t="s">
        <v>16</v>
      </c>
      <c r="H1754" s="1" t="str">
        <f>"3"</f>
        <v>3</v>
      </c>
      <c r="I1754" s="2" t="str">
        <f>"1218"</f>
        <v>1218</v>
      </c>
      <c r="J1754" s="3">
        <v>46169</v>
      </c>
      <c r="K1754" s="1" t="s">
        <v>3966</v>
      </c>
    </row>
    <row r="1755" spans="1:11" x14ac:dyDescent="0.35">
      <c r="A1755" s="1" t="s">
        <v>3844</v>
      </c>
      <c r="B1755" s="1" t="s">
        <v>3886</v>
      </c>
      <c r="C1755" s="1" t="s">
        <v>4051</v>
      </c>
      <c r="D1755" s="1" t="str">
        <f>"8465"</f>
        <v>8465</v>
      </c>
      <c r="E1755" s="1" t="str">
        <f>"015801313"</f>
        <v>015801313</v>
      </c>
      <c r="F1755" s="1" t="s">
        <v>4040</v>
      </c>
      <c r="G1755" s="1" t="s">
        <v>16</v>
      </c>
      <c r="H1755" s="1" t="str">
        <f>"3"</f>
        <v>3</v>
      </c>
      <c r="I1755" s="2">
        <v>3.39</v>
      </c>
      <c r="J1755" s="3">
        <v>46169</v>
      </c>
      <c r="K1755" s="1" t="s">
        <v>4052</v>
      </c>
    </row>
    <row r="1756" spans="1:11" x14ac:dyDescent="0.35">
      <c r="A1756" s="1" t="s">
        <v>3844</v>
      </c>
      <c r="B1756" s="1" t="s">
        <v>3886</v>
      </c>
      <c r="C1756" s="1" t="s">
        <v>4090</v>
      </c>
      <c r="D1756" s="1" t="str">
        <f>"8465"</f>
        <v>8465</v>
      </c>
      <c r="E1756" s="1" t="str">
        <f>"015802756"</f>
        <v>015802756</v>
      </c>
      <c r="F1756" s="1" t="s">
        <v>3605</v>
      </c>
      <c r="G1756" s="1" t="s">
        <v>16</v>
      </c>
      <c r="H1756" s="1" t="str">
        <f>"8"</f>
        <v>8</v>
      </c>
      <c r="I1756" s="2">
        <v>3.55</v>
      </c>
      <c r="J1756" s="3">
        <v>46169</v>
      </c>
      <c r="K1756" s="1" t="s">
        <v>4091</v>
      </c>
    </row>
    <row r="1757" spans="1:11" x14ac:dyDescent="0.35">
      <c r="A1757" s="1" t="s">
        <v>3844</v>
      </c>
      <c r="B1757" s="1" t="s">
        <v>3845</v>
      </c>
      <c r="C1757" s="1" t="s">
        <v>3852</v>
      </c>
      <c r="D1757" s="1" t="str">
        <f>"5855"</f>
        <v>5855</v>
      </c>
      <c r="E1757" s="1" t="str">
        <f>"015345931"</f>
        <v>015345931</v>
      </c>
      <c r="F1757" s="1" t="s">
        <v>1379</v>
      </c>
      <c r="G1757" s="1" t="s">
        <v>16</v>
      </c>
      <c r="H1757" s="1" t="str">
        <f>"5"</f>
        <v>5</v>
      </c>
      <c r="I1757" s="2" t="str">
        <f>"970"</f>
        <v>970</v>
      </c>
      <c r="J1757" s="3">
        <v>46170</v>
      </c>
      <c r="K1757" s="1" t="s">
        <v>3853</v>
      </c>
    </row>
    <row r="1758" spans="1:11" x14ac:dyDescent="0.35">
      <c r="A1758" s="1" t="s">
        <v>3844</v>
      </c>
      <c r="B1758" s="1" t="s">
        <v>3886</v>
      </c>
      <c r="C1758" s="1" t="s">
        <v>3928</v>
      </c>
      <c r="D1758" s="1" t="str">
        <f>"4120"</f>
        <v>4120</v>
      </c>
      <c r="E1758" s="1" t="str">
        <f>"014991010"</f>
        <v>014991010</v>
      </c>
      <c r="F1758" s="1" t="s">
        <v>3093</v>
      </c>
      <c r="G1758" s="1" t="s">
        <v>16</v>
      </c>
      <c r="H1758" s="1" t="str">
        <f>"2"</f>
        <v>2</v>
      </c>
      <c r="I1758" s="2">
        <v>4985.57</v>
      </c>
      <c r="J1758" s="3">
        <v>46171</v>
      </c>
      <c r="K1758" s="1" t="s">
        <v>3929</v>
      </c>
    </row>
    <row r="1759" spans="1:11" x14ac:dyDescent="0.35">
      <c r="A1759" s="1" t="s">
        <v>3844</v>
      </c>
      <c r="B1759" s="1" t="s">
        <v>3886</v>
      </c>
      <c r="C1759" s="1" t="s">
        <v>3937</v>
      </c>
      <c r="D1759" s="1" t="str">
        <f>"4240"</f>
        <v>4240</v>
      </c>
      <c r="E1759" s="1" t="str">
        <f>"016308327"</f>
        <v>016308327</v>
      </c>
      <c r="F1759" s="1" t="s">
        <v>561</v>
      </c>
      <c r="G1759" s="1" t="s">
        <v>16</v>
      </c>
      <c r="H1759" s="1" t="str">
        <f>"6"</f>
        <v>6</v>
      </c>
      <c r="I1759" s="2">
        <v>48.01</v>
      </c>
      <c r="J1759" s="3">
        <v>46171</v>
      </c>
      <c r="K1759" s="1" t="s">
        <v>3938</v>
      </c>
    </row>
    <row r="1760" spans="1:11" x14ac:dyDescent="0.35">
      <c r="A1760" s="1" t="s">
        <v>3844</v>
      </c>
      <c r="B1760" s="1" t="s">
        <v>3886</v>
      </c>
      <c r="C1760" s="1" t="s">
        <v>3977</v>
      </c>
      <c r="D1760" s="1" t="str">
        <f>"6230"</f>
        <v>6230</v>
      </c>
      <c r="E1760" s="1" t="str">
        <f>"016134312"</f>
        <v>016134312</v>
      </c>
      <c r="F1760" s="1" t="s">
        <v>230</v>
      </c>
      <c r="G1760" s="1" t="s">
        <v>16</v>
      </c>
      <c r="H1760" s="1" t="str">
        <f>"3"</f>
        <v>3</v>
      </c>
      <c r="I1760" s="2">
        <v>92.96</v>
      </c>
      <c r="J1760" s="3">
        <v>46171</v>
      </c>
      <c r="K1760" s="1" t="s">
        <v>3978</v>
      </c>
    </row>
    <row r="1761" spans="1:11" x14ac:dyDescent="0.35">
      <c r="A1761" s="1" t="s">
        <v>3844</v>
      </c>
      <c r="B1761" s="1" t="s">
        <v>3886</v>
      </c>
      <c r="C1761" s="1" t="s">
        <v>3979</v>
      </c>
      <c r="D1761" s="1" t="str">
        <f>"6510"</f>
        <v>6510</v>
      </c>
      <c r="E1761" s="1" t="str">
        <f>"015490927"</f>
        <v>015490927</v>
      </c>
      <c r="F1761" s="1" t="s">
        <v>3980</v>
      </c>
      <c r="G1761" s="1" t="s">
        <v>3041</v>
      </c>
      <c r="H1761" s="1" t="str">
        <f>"25"</f>
        <v>25</v>
      </c>
      <c r="I1761" s="2">
        <v>339.32</v>
      </c>
      <c r="J1761" s="3">
        <v>46171</v>
      </c>
      <c r="K1761" s="1" t="s">
        <v>3981</v>
      </c>
    </row>
    <row r="1762" spans="1:11" x14ac:dyDescent="0.35">
      <c r="A1762" s="1" t="s">
        <v>3844</v>
      </c>
      <c r="B1762" s="1" t="s">
        <v>3886</v>
      </c>
      <c r="C1762" s="1" t="s">
        <v>3908</v>
      </c>
      <c r="D1762" s="1" t="str">
        <f>"1240"</f>
        <v>1240</v>
      </c>
      <c r="E1762" s="1" t="str">
        <f>"015629459"</f>
        <v>015629459</v>
      </c>
      <c r="F1762" s="1" t="s">
        <v>1159</v>
      </c>
      <c r="G1762" s="1" t="s">
        <v>16</v>
      </c>
      <c r="H1762" s="1" t="str">
        <f>"8"</f>
        <v>8</v>
      </c>
      <c r="I1762" s="2">
        <v>412.22</v>
      </c>
      <c r="J1762" s="3">
        <v>46175</v>
      </c>
      <c r="K1762" s="1" t="s">
        <v>3909</v>
      </c>
    </row>
    <row r="1763" spans="1:11" x14ac:dyDescent="0.35">
      <c r="A1763" s="1" t="s">
        <v>3844</v>
      </c>
      <c r="B1763" s="1" t="s">
        <v>3886</v>
      </c>
      <c r="C1763" s="1" t="s">
        <v>3955</v>
      </c>
      <c r="D1763" s="1" t="str">
        <f>"5180"</f>
        <v>5180</v>
      </c>
      <c r="E1763" s="1" t="str">
        <f>"014609328"</f>
        <v>014609328</v>
      </c>
      <c r="F1763" s="1" t="s">
        <v>785</v>
      </c>
      <c r="G1763" s="1" t="s">
        <v>16</v>
      </c>
      <c r="H1763" s="1" t="str">
        <f>"1"</f>
        <v>1</v>
      </c>
      <c r="I1763" s="2">
        <v>2840.22</v>
      </c>
      <c r="J1763" s="3">
        <v>46175</v>
      </c>
      <c r="K1763" s="1" t="s">
        <v>3956</v>
      </c>
    </row>
    <row r="1764" spans="1:11" x14ac:dyDescent="0.35">
      <c r="A1764" s="1" t="s">
        <v>3844</v>
      </c>
      <c r="B1764" s="1" t="s">
        <v>3886</v>
      </c>
      <c r="C1764" s="1" t="s">
        <v>3982</v>
      </c>
      <c r="D1764" s="1" t="str">
        <f>"6545"</f>
        <v>6545</v>
      </c>
      <c r="E1764" s="1" t="str">
        <f>"015300929"</f>
        <v>015300929</v>
      </c>
      <c r="F1764" s="1" t="s">
        <v>236</v>
      </c>
      <c r="G1764" s="1" t="s">
        <v>215</v>
      </c>
      <c r="H1764" s="1" t="str">
        <f>"25"</f>
        <v>25</v>
      </c>
      <c r="I1764" s="2">
        <v>48.71</v>
      </c>
      <c r="J1764" s="3">
        <v>46175</v>
      </c>
      <c r="K1764" s="1" t="s">
        <v>3983</v>
      </c>
    </row>
    <row r="1765" spans="1:11" x14ac:dyDescent="0.35">
      <c r="A1765" s="1" t="s">
        <v>3844</v>
      </c>
      <c r="B1765" s="1" t="s">
        <v>3886</v>
      </c>
      <c r="C1765" s="1" t="s">
        <v>3996</v>
      </c>
      <c r="D1765" s="1" t="str">
        <f>"6545"</f>
        <v>6545</v>
      </c>
      <c r="E1765" s="1" t="str">
        <f>"015300929"</f>
        <v>015300929</v>
      </c>
      <c r="F1765" s="1" t="s">
        <v>236</v>
      </c>
      <c r="G1765" s="1" t="s">
        <v>215</v>
      </c>
      <c r="H1765" s="1" t="str">
        <f>"25"</f>
        <v>25</v>
      </c>
      <c r="I1765" s="2">
        <v>48.71</v>
      </c>
      <c r="J1765" s="3">
        <v>46175</v>
      </c>
      <c r="K1765" s="1" t="s">
        <v>3983</v>
      </c>
    </row>
    <row r="1766" spans="1:11" x14ac:dyDescent="0.35">
      <c r="A1766" s="1" t="s">
        <v>3844</v>
      </c>
      <c r="B1766" s="1" t="s">
        <v>3886</v>
      </c>
      <c r="C1766" s="1" t="s">
        <v>4022</v>
      </c>
      <c r="D1766" s="1" t="str">
        <f>"8415"</f>
        <v>8415</v>
      </c>
      <c r="E1766" s="1" t="str">
        <f>"015802990"</f>
        <v>015802990</v>
      </c>
      <c r="F1766" s="1" t="s">
        <v>2167</v>
      </c>
      <c r="G1766" s="1" t="s">
        <v>311</v>
      </c>
      <c r="H1766" s="1" t="str">
        <f>"5"</f>
        <v>5</v>
      </c>
      <c r="I1766" s="2">
        <v>113.3</v>
      </c>
      <c r="J1766" s="3">
        <v>46175</v>
      </c>
      <c r="K1766" s="1" t="s">
        <v>4023</v>
      </c>
    </row>
    <row r="1767" spans="1:11" x14ac:dyDescent="0.35">
      <c r="A1767" s="1" t="s">
        <v>3844</v>
      </c>
      <c r="B1767" s="1" t="s">
        <v>3858</v>
      </c>
      <c r="C1767" s="1" t="s">
        <v>3867</v>
      </c>
      <c r="D1767" s="1" t="str">
        <f>"8115"</f>
        <v>8115</v>
      </c>
      <c r="E1767" s="1" t="str">
        <f>"013540797"</f>
        <v>013540797</v>
      </c>
      <c r="F1767" s="1" t="s">
        <v>1340</v>
      </c>
      <c r="G1767" s="1" t="s">
        <v>16</v>
      </c>
      <c r="H1767" s="1" t="str">
        <f>"1"</f>
        <v>1</v>
      </c>
      <c r="I1767" s="2">
        <v>2546.7199999999998</v>
      </c>
      <c r="J1767" s="3">
        <v>46177</v>
      </c>
      <c r="K1767" s="1" t="s">
        <v>3868</v>
      </c>
    </row>
    <row r="1768" spans="1:11" x14ac:dyDescent="0.35">
      <c r="A1768" s="1" t="s">
        <v>3844</v>
      </c>
      <c r="B1768" s="1" t="s">
        <v>3858</v>
      </c>
      <c r="C1768" s="1" t="s">
        <v>3869</v>
      </c>
      <c r="D1768" s="1" t="str">
        <f>"8115"</f>
        <v>8115</v>
      </c>
      <c r="E1768" s="1" t="str">
        <f>"013540797"</f>
        <v>013540797</v>
      </c>
      <c r="F1768" s="1" t="s">
        <v>1340</v>
      </c>
      <c r="G1768" s="1" t="s">
        <v>16</v>
      </c>
      <c r="H1768" s="1" t="str">
        <f>"1"</f>
        <v>1</v>
      </c>
      <c r="I1768" s="2">
        <v>2546.7199999999998</v>
      </c>
      <c r="J1768" s="3">
        <v>46177</v>
      </c>
      <c r="K1768" s="1" t="s">
        <v>3868</v>
      </c>
    </row>
    <row r="1769" spans="1:11" x14ac:dyDescent="0.35">
      <c r="A1769" s="1" t="s">
        <v>3844</v>
      </c>
      <c r="B1769" s="1" t="s">
        <v>3886</v>
      </c>
      <c r="C1769" s="1" t="s">
        <v>3930</v>
      </c>
      <c r="D1769" s="1" t="str">
        <f>"4210"</f>
        <v>4210</v>
      </c>
      <c r="E1769" s="1" t="str">
        <f>"015324603"</f>
        <v>015324603</v>
      </c>
      <c r="F1769" s="1" t="s">
        <v>3931</v>
      </c>
      <c r="G1769" s="1" t="s">
        <v>16</v>
      </c>
      <c r="H1769" s="1" t="str">
        <f>"2"</f>
        <v>2</v>
      </c>
      <c r="I1769" s="2">
        <v>97.51</v>
      </c>
      <c r="J1769" s="3">
        <v>46177</v>
      </c>
      <c r="K1769" s="1" t="s">
        <v>3932</v>
      </c>
    </row>
    <row r="1770" spans="1:11" x14ac:dyDescent="0.35">
      <c r="A1770" s="1" t="s">
        <v>3844</v>
      </c>
      <c r="B1770" s="1" t="s">
        <v>3886</v>
      </c>
      <c r="C1770" s="1" t="s">
        <v>3939</v>
      </c>
      <c r="D1770" s="1" t="str">
        <f>"4240"</f>
        <v>4240</v>
      </c>
      <c r="E1770" s="1" t="str">
        <f>"016812961"</f>
        <v>016812961</v>
      </c>
      <c r="F1770" s="1" t="s">
        <v>3940</v>
      </c>
      <c r="G1770" s="1" t="s">
        <v>16</v>
      </c>
      <c r="H1770" s="1" t="str">
        <f>"10"</f>
        <v>10</v>
      </c>
      <c r="I1770" s="2">
        <v>88.4</v>
      </c>
      <c r="J1770" s="3">
        <v>46177</v>
      </c>
      <c r="K1770" s="1" t="s">
        <v>3941</v>
      </c>
    </row>
    <row r="1771" spans="1:11" x14ac:dyDescent="0.35">
      <c r="A1771" s="1" t="s">
        <v>3844</v>
      </c>
      <c r="B1771" s="1" t="s">
        <v>3886</v>
      </c>
      <c r="C1771" s="1" t="s">
        <v>3949</v>
      </c>
      <c r="D1771" s="1" t="str">
        <f>"5120"</f>
        <v>5120</v>
      </c>
      <c r="E1771" s="1" t="str">
        <f>"015071498"</f>
        <v>015071498</v>
      </c>
      <c r="F1771" s="1" t="s">
        <v>3950</v>
      </c>
      <c r="G1771" s="1" t="s">
        <v>16</v>
      </c>
      <c r="H1771" s="1" t="str">
        <f>"2"</f>
        <v>2</v>
      </c>
      <c r="I1771" s="2">
        <v>181.09</v>
      </c>
      <c r="J1771" s="3">
        <v>46177</v>
      </c>
      <c r="K1771" s="1" t="s">
        <v>3951</v>
      </c>
    </row>
    <row r="1772" spans="1:11" x14ac:dyDescent="0.35">
      <c r="A1772" s="1" t="s">
        <v>3844</v>
      </c>
      <c r="B1772" s="1" t="s">
        <v>3886</v>
      </c>
      <c r="C1772" s="1" t="s">
        <v>3952</v>
      </c>
      <c r="D1772" s="1" t="str">
        <f>"5120"</f>
        <v>5120</v>
      </c>
      <c r="E1772" s="1" t="str">
        <f>"015501979"</f>
        <v>015501979</v>
      </c>
      <c r="F1772" s="1" t="s">
        <v>3953</v>
      </c>
      <c r="G1772" s="1" t="s">
        <v>16</v>
      </c>
      <c r="H1772" s="1" t="str">
        <f>"10"</f>
        <v>10</v>
      </c>
      <c r="I1772" s="2">
        <v>12.95</v>
      </c>
      <c r="J1772" s="3">
        <v>46177</v>
      </c>
      <c r="K1772" s="1" t="s">
        <v>3954</v>
      </c>
    </row>
    <row r="1773" spans="1:11" x14ac:dyDescent="0.35">
      <c r="A1773" s="1" t="s">
        <v>3844</v>
      </c>
      <c r="B1773" s="1" t="s">
        <v>3886</v>
      </c>
      <c r="C1773" s="1" t="s">
        <v>3961</v>
      </c>
      <c r="D1773" s="1" t="str">
        <f>"5340"</f>
        <v>5340</v>
      </c>
      <c r="E1773" s="1" t="str">
        <f>"015752279"</f>
        <v>015752279</v>
      </c>
      <c r="F1773" s="1" t="s">
        <v>1439</v>
      </c>
      <c r="G1773" s="1" t="s">
        <v>16</v>
      </c>
      <c r="H1773" s="1" t="str">
        <f>"1"</f>
        <v>1</v>
      </c>
      <c r="I1773" s="2">
        <v>503.5</v>
      </c>
      <c r="J1773" s="3">
        <v>46177</v>
      </c>
      <c r="K1773" s="1" t="s">
        <v>3962</v>
      </c>
    </row>
    <row r="1774" spans="1:11" x14ac:dyDescent="0.35">
      <c r="A1774" s="1" t="s">
        <v>3844</v>
      </c>
      <c r="B1774" s="1" t="s">
        <v>3886</v>
      </c>
      <c r="C1774" s="1" t="s">
        <v>3967</v>
      </c>
      <c r="D1774" s="1" t="str">
        <f>"5895"</f>
        <v>5895</v>
      </c>
      <c r="E1774" s="1" t="str">
        <f>"016129051"</f>
        <v>016129051</v>
      </c>
      <c r="F1774" s="1" t="s">
        <v>221</v>
      </c>
      <c r="G1774" s="1" t="s">
        <v>16</v>
      </c>
      <c r="H1774" s="1" t="str">
        <f>"3"</f>
        <v>3</v>
      </c>
      <c r="I1774" s="2">
        <v>5109.3100000000004</v>
      </c>
      <c r="J1774" s="3">
        <v>46177</v>
      </c>
      <c r="K1774" s="1" t="s">
        <v>3968</v>
      </c>
    </row>
    <row r="1775" spans="1:11" x14ac:dyDescent="0.35">
      <c r="A1775" s="1" t="s">
        <v>3844</v>
      </c>
      <c r="B1775" s="1" t="s">
        <v>3886</v>
      </c>
      <c r="C1775" s="1" t="s">
        <v>4048</v>
      </c>
      <c r="D1775" s="1" t="str">
        <f>"8465"</f>
        <v>8465</v>
      </c>
      <c r="E1775" s="1" t="str">
        <f>"015148590"</f>
        <v>015148590</v>
      </c>
      <c r="F1775" s="1" t="s">
        <v>3842</v>
      </c>
      <c r="G1775" s="1" t="s">
        <v>4049</v>
      </c>
      <c r="H1775" s="1" t="str">
        <f>"15"</f>
        <v>15</v>
      </c>
      <c r="I1775" s="2">
        <v>28.67</v>
      </c>
      <c r="J1775" s="3">
        <v>46177</v>
      </c>
      <c r="K1775" s="1" t="s">
        <v>4050</v>
      </c>
    </row>
    <row r="1776" spans="1:11" x14ac:dyDescent="0.35">
      <c r="A1776" s="1" t="s">
        <v>3844</v>
      </c>
      <c r="B1776" s="1" t="s">
        <v>4118</v>
      </c>
      <c r="C1776" s="1" t="s">
        <v>4119</v>
      </c>
      <c r="D1776" s="1" t="str">
        <f>"2340"</f>
        <v>2340</v>
      </c>
      <c r="E1776" s="1" t="s">
        <v>1446</v>
      </c>
      <c r="F1776" s="1" t="s">
        <v>1447</v>
      </c>
      <c r="G1776" s="1" t="s">
        <v>16</v>
      </c>
      <c r="H1776" s="1" t="str">
        <f>"1"</f>
        <v>1</v>
      </c>
      <c r="I1776" s="2">
        <v>13782.34</v>
      </c>
      <c r="J1776" s="3">
        <v>46177</v>
      </c>
      <c r="K1776" s="1" t="s">
        <v>4120</v>
      </c>
    </row>
    <row r="1777" spans="1:11" x14ac:dyDescent="0.35">
      <c r="A1777" s="1" t="s">
        <v>3844</v>
      </c>
      <c r="B1777" s="1" t="s">
        <v>4108</v>
      </c>
      <c r="C1777" s="1" t="s">
        <v>4109</v>
      </c>
      <c r="D1777" s="1" t="str">
        <f>"8145"</f>
        <v>8145</v>
      </c>
      <c r="E1777" s="1" t="str">
        <f>"014653621"</f>
        <v>014653621</v>
      </c>
      <c r="F1777" s="1" t="s">
        <v>423</v>
      </c>
      <c r="G1777" s="1" t="s">
        <v>16</v>
      </c>
      <c r="H1777" s="1" t="str">
        <f>"3"</f>
        <v>3</v>
      </c>
      <c r="I1777" s="2">
        <v>17477.91</v>
      </c>
      <c r="J1777" s="3">
        <v>46178</v>
      </c>
      <c r="K1777" s="1" t="s">
        <v>4110</v>
      </c>
    </row>
    <row r="1778" spans="1:11" x14ac:dyDescent="0.35">
      <c r="A1778" s="1" t="s">
        <v>3844</v>
      </c>
      <c r="B1778" s="1" t="s">
        <v>4130</v>
      </c>
      <c r="C1778" s="1" t="s">
        <v>4131</v>
      </c>
      <c r="D1778" s="1" t="str">
        <f>"1240"</f>
        <v>1240</v>
      </c>
      <c r="E1778" s="1" t="str">
        <f>"016257862"</f>
        <v>016257862</v>
      </c>
      <c r="F1778" s="1" t="s">
        <v>1159</v>
      </c>
      <c r="G1778" s="1" t="s">
        <v>16</v>
      </c>
      <c r="H1778" s="1" t="str">
        <f>"6"</f>
        <v>6</v>
      </c>
      <c r="I1778" s="2" t="str">
        <f>"1628"</f>
        <v>1628</v>
      </c>
      <c r="J1778" s="3">
        <v>46178</v>
      </c>
      <c r="K1778" s="1" t="s">
        <v>4132</v>
      </c>
    </row>
    <row r="1779" spans="1:11" x14ac:dyDescent="0.35">
      <c r="A1779" s="1" t="s">
        <v>3844</v>
      </c>
      <c r="B1779" s="1" t="s">
        <v>4130</v>
      </c>
      <c r="C1779" s="1" t="s">
        <v>4133</v>
      </c>
      <c r="D1779" s="1" t="str">
        <f>"2330"</f>
        <v>2330</v>
      </c>
      <c r="E1779" s="1" t="s">
        <v>70</v>
      </c>
      <c r="F1779" s="1" t="s">
        <v>71</v>
      </c>
      <c r="G1779" s="1" t="s">
        <v>16</v>
      </c>
      <c r="H1779" s="1" t="str">
        <f>"1"</f>
        <v>1</v>
      </c>
      <c r="I1779" s="2" t="str">
        <f>"10000"</f>
        <v>10000</v>
      </c>
      <c r="J1779" s="3">
        <v>46178</v>
      </c>
      <c r="K1779" s="1" t="s">
        <v>4134</v>
      </c>
    </row>
    <row r="1780" spans="1:11" x14ac:dyDescent="0.35">
      <c r="A1780" s="1" t="s">
        <v>3844</v>
      </c>
      <c r="B1780" s="1" t="s">
        <v>3872</v>
      </c>
      <c r="C1780" s="1" t="s">
        <v>3873</v>
      </c>
      <c r="D1780" s="1" t="str">
        <f>"1095"</f>
        <v>1095</v>
      </c>
      <c r="E1780" s="1" t="str">
        <f>"004070674"</f>
        <v>004070674</v>
      </c>
      <c r="F1780" s="1" t="s">
        <v>2010</v>
      </c>
      <c r="G1780" s="1" t="s">
        <v>16</v>
      </c>
      <c r="H1780" s="1" t="str">
        <f>"8"</f>
        <v>8</v>
      </c>
      <c r="I1780" s="2">
        <v>1098.96</v>
      </c>
      <c r="J1780" s="3">
        <v>46182</v>
      </c>
      <c r="K1780" s="1" t="s">
        <v>3874</v>
      </c>
    </row>
    <row r="1781" spans="1:11" x14ac:dyDescent="0.35">
      <c r="A1781" s="1" t="s">
        <v>3844</v>
      </c>
      <c r="B1781" s="1" t="s">
        <v>3872</v>
      </c>
      <c r="C1781" s="1" t="s">
        <v>3875</v>
      </c>
      <c r="D1781" s="1" t="str">
        <f>"6510"</f>
        <v>6510</v>
      </c>
      <c r="E1781" s="1" t="str">
        <f>"009355823"</f>
        <v>009355823</v>
      </c>
      <c r="F1781" s="1" t="s">
        <v>3876</v>
      </c>
      <c r="G1781" s="1" t="s">
        <v>3041</v>
      </c>
      <c r="H1781" s="1" t="str">
        <f>"1"</f>
        <v>1</v>
      </c>
      <c r="I1781" s="2">
        <v>15.36</v>
      </c>
      <c r="J1781" s="3">
        <v>46182</v>
      </c>
      <c r="K1781" s="1" t="s">
        <v>3877</v>
      </c>
    </row>
    <row r="1782" spans="1:11" x14ac:dyDescent="0.35">
      <c r="A1782" s="1" t="s">
        <v>3844</v>
      </c>
      <c r="B1782" s="1" t="s">
        <v>3872</v>
      </c>
      <c r="C1782" s="1" t="s">
        <v>3878</v>
      </c>
      <c r="D1782" s="1" t="str">
        <f>"7010"</f>
        <v>7010</v>
      </c>
      <c r="E1782" s="1" t="s">
        <v>1640</v>
      </c>
      <c r="F1782" s="1" t="s">
        <v>1641</v>
      </c>
      <c r="G1782" s="1" t="s">
        <v>16</v>
      </c>
      <c r="H1782" s="1" t="str">
        <f>"2"</f>
        <v>2</v>
      </c>
      <c r="I1782" s="2" t="str">
        <f>"180"</f>
        <v>180</v>
      </c>
      <c r="J1782" s="3">
        <v>46182</v>
      </c>
      <c r="K1782" s="1" t="s">
        <v>3879</v>
      </c>
    </row>
    <row r="1783" spans="1:11" x14ac:dyDescent="0.35">
      <c r="A1783" s="1" t="s">
        <v>3844</v>
      </c>
      <c r="B1783" s="1" t="s">
        <v>3872</v>
      </c>
      <c r="C1783" s="1" t="s">
        <v>3880</v>
      </c>
      <c r="D1783" s="1" t="str">
        <f>"7035"</f>
        <v>7035</v>
      </c>
      <c r="E1783" s="1" t="s">
        <v>1318</v>
      </c>
      <c r="F1783" s="1" t="s">
        <v>1319</v>
      </c>
      <c r="G1783" s="1" t="s">
        <v>352</v>
      </c>
      <c r="H1783" s="1" t="str">
        <f>"10"</f>
        <v>10</v>
      </c>
      <c r="I1783" s="2">
        <v>259.99</v>
      </c>
      <c r="J1783" s="3">
        <v>46182</v>
      </c>
      <c r="K1783" s="1" t="s">
        <v>3881</v>
      </c>
    </row>
    <row r="1784" spans="1:11" x14ac:dyDescent="0.35">
      <c r="A1784" s="1" t="s">
        <v>3844</v>
      </c>
      <c r="B1784" s="1" t="s">
        <v>3872</v>
      </c>
      <c r="C1784" s="1" t="s">
        <v>3882</v>
      </c>
      <c r="D1784" s="1" t="str">
        <f>"7125"</f>
        <v>7125</v>
      </c>
      <c r="E1784" s="1" t="s">
        <v>111</v>
      </c>
      <c r="F1784" s="1" t="s">
        <v>112</v>
      </c>
      <c r="G1784" s="1" t="s">
        <v>16</v>
      </c>
      <c r="H1784" s="1" t="str">
        <f>"2"</f>
        <v>2</v>
      </c>
      <c r="I1784" s="2" t="str">
        <f>"500"</f>
        <v>500</v>
      </c>
      <c r="J1784" s="3">
        <v>46182</v>
      </c>
      <c r="K1784" s="1" t="s">
        <v>3883</v>
      </c>
    </row>
    <row r="1785" spans="1:11" x14ac:dyDescent="0.35">
      <c r="A1785" s="1" t="s">
        <v>3844</v>
      </c>
      <c r="B1785" s="1" t="s">
        <v>3872</v>
      </c>
      <c r="C1785" s="1" t="s">
        <v>3884</v>
      </c>
      <c r="D1785" s="1" t="str">
        <f>"7125"</f>
        <v>7125</v>
      </c>
      <c r="E1785" s="1" t="s">
        <v>1495</v>
      </c>
      <c r="F1785" s="1" t="s">
        <v>1496</v>
      </c>
      <c r="G1785" s="1" t="s">
        <v>16</v>
      </c>
      <c r="H1785" s="1" t="str">
        <f>"2"</f>
        <v>2</v>
      </c>
      <c r="I1785" s="2" t="str">
        <f>"75"</f>
        <v>75</v>
      </c>
      <c r="J1785" s="3">
        <v>46182</v>
      </c>
      <c r="K1785" s="1" t="s">
        <v>3885</v>
      </c>
    </row>
    <row r="1786" spans="1:11" x14ac:dyDescent="0.35">
      <c r="A1786" s="1" t="s">
        <v>3844</v>
      </c>
      <c r="B1786" s="1" t="s">
        <v>4141</v>
      </c>
      <c r="C1786" s="1" t="s">
        <v>4154</v>
      </c>
      <c r="D1786" s="1" t="str">
        <f>"5340"</f>
        <v>5340</v>
      </c>
      <c r="E1786" s="1" t="str">
        <f>"012175068"</f>
        <v>012175068</v>
      </c>
      <c r="F1786" s="1" t="s">
        <v>4155</v>
      </c>
      <c r="G1786" s="1" t="s">
        <v>16</v>
      </c>
      <c r="H1786" s="1" t="str">
        <f>"1"</f>
        <v>1</v>
      </c>
      <c r="I1786" s="2">
        <v>2393.0700000000002</v>
      </c>
      <c r="J1786" s="3">
        <v>46182</v>
      </c>
      <c r="K1786" s="1" t="s">
        <v>4156</v>
      </c>
    </row>
    <row r="1787" spans="1:11" x14ac:dyDescent="0.35">
      <c r="A1787" s="1" t="s">
        <v>3844</v>
      </c>
      <c r="B1787" s="1" t="s">
        <v>4141</v>
      </c>
      <c r="C1787" s="1" t="s">
        <v>4157</v>
      </c>
      <c r="D1787" s="1" t="str">
        <f>"6720"</f>
        <v>6720</v>
      </c>
      <c r="E1787" s="1" t="s">
        <v>2250</v>
      </c>
      <c r="F1787" s="1" t="s">
        <v>2251</v>
      </c>
      <c r="G1787" s="1" t="s">
        <v>16</v>
      </c>
      <c r="H1787" s="1" t="str">
        <f>"1"</f>
        <v>1</v>
      </c>
      <c r="I1787" s="2" t="str">
        <f>"500"</f>
        <v>500</v>
      </c>
      <c r="J1787" s="3">
        <v>46182</v>
      </c>
      <c r="K1787" s="1" t="s">
        <v>4158</v>
      </c>
    </row>
    <row r="1788" spans="1:11" x14ac:dyDescent="0.35">
      <c r="A1788" s="1" t="s">
        <v>3844</v>
      </c>
      <c r="B1788" s="1" t="s">
        <v>4141</v>
      </c>
      <c r="C1788" s="1" t="s">
        <v>4159</v>
      </c>
      <c r="D1788" s="1" t="str">
        <f>"6760"</f>
        <v>6760</v>
      </c>
      <c r="E1788" s="1" t="str">
        <f>"015190701"</f>
        <v>015190701</v>
      </c>
      <c r="F1788" s="1" t="s">
        <v>4160</v>
      </c>
      <c r="G1788" s="1" t="s">
        <v>16</v>
      </c>
      <c r="H1788" s="1" t="str">
        <f>"1"</f>
        <v>1</v>
      </c>
      <c r="I1788" s="2">
        <v>380.48</v>
      </c>
      <c r="J1788" s="3">
        <v>46182</v>
      </c>
      <c r="K1788" s="1" t="s">
        <v>4161</v>
      </c>
    </row>
    <row r="1789" spans="1:11" x14ac:dyDescent="0.35">
      <c r="A1789" s="1" t="s">
        <v>3844</v>
      </c>
      <c r="B1789" s="1" t="s">
        <v>4141</v>
      </c>
      <c r="C1789" s="1" t="s">
        <v>4162</v>
      </c>
      <c r="D1789" s="1" t="str">
        <f>"6910"</f>
        <v>6910</v>
      </c>
      <c r="E1789" s="1" t="s">
        <v>1124</v>
      </c>
      <c r="F1789" s="1" t="s">
        <v>1125</v>
      </c>
      <c r="G1789" s="1" t="s">
        <v>16</v>
      </c>
      <c r="H1789" s="1" t="str">
        <f>"1"</f>
        <v>1</v>
      </c>
      <c r="I1789" s="2" t="str">
        <f>"20000"</f>
        <v>20000</v>
      </c>
      <c r="J1789" s="3">
        <v>46185</v>
      </c>
      <c r="K1789" s="1" t="s">
        <v>4163</v>
      </c>
    </row>
    <row r="1790" spans="1:11" x14ac:dyDescent="0.35">
      <c r="A1790" s="1" t="s">
        <v>3844</v>
      </c>
      <c r="B1790" s="1" t="s">
        <v>3886</v>
      </c>
      <c r="C1790" s="1" t="s">
        <v>3946</v>
      </c>
      <c r="D1790" s="1" t="str">
        <f>"5110"</f>
        <v>5110</v>
      </c>
      <c r="E1790" s="1" t="str">
        <f>"171180342"</f>
        <v>171180342</v>
      </c>
      <c r="F1790" s="1" t="s">
        <v>3947</v>
      </c>
      <c r="G1790" s="1" t="s">
        <v>16</v>
      </c>
      <c r="H1790" s="1" t="str">
        <f>"1"</f>
        <v>1</v>
      </c>
      <c r="I1790" s="2">
        <v>536.34</v>
      </c>
      <c r="J1790" s="3">
        <v>46188</v>
      </c>
      <c r="K1790" s="1" t="s">
        <v>3948</v>
      </c>
    </row>
    <row r="1791" spans="1:11" x14ac:dyDescent="0.35">
      <c r="A1791" s="1" t="s">
        <v>3844</v>
      </c>
      <c r="B1791" s="1" t="s">
        <v>3886</v>
      </c>
      <c r="C1791" s="1" t="s">
        <v>3969</v>
      </c>
      <c r="D1791" s="1" t="str">
        <f>"5965"</f>
        <v>5965</v>
      </c>
      <c r="E1791" s="1" t="str">
        <f>"226308488"</f>
        <v>226308488</v>
      </c>
      <c r="F1791" s="1" t="s">
        <v>1561</v>
      </c>
      <c r="G1791" s="1" t="s">
        <v>16</v>
      </c>
      <c r="H1791" s="1" t="str">
        <f>"15"</f>
        <v>15</v>
      </c>
      <c r="I1791" s="2" t="str">
        <f>"400"</f>
        <v>400</v>
      </c>
      <c r="J1791" s="3">
        <v>46188</v>
      </c>
      <c r="K1791" s="1" t="s">
        <v>3970</v>
      </c>
    </row>
    <row r="1792" spans="1:11" x14ac:dyDescent="0.35">
      <c r="A1792" s="1" t="s">
        <v>3844</v>
      </c>
      <c r="B1792" s="1" t="s">
        <v>3886</v>
      </c>
      <c r="C1792" s="1" t="s">
        <v>4004</v>
      </c>
      <c r="D1792" s="1" t="str">
        <f>"7035"</f>
        <v>7035</v>
      </c>
      <c r="E1792" s="1" t="s">
        <v>2499</v>
      </c>
      <c r="F1792" s="1" t="s">
        <v>2500</v>
      </c>
      <c r="G1792" s="1" t="s">
        <v>16</v>
      </c>
      <c r="H1792" s="1" t="str">
        <f>"2"</f>
        <v>2</v>
      </c>
      <c r="I1792" s="2" t="str">
        <f>"1000"</f>
        <v>1000</v>
      </c>
      <c r="J1792" s="3">
        <v>46188</v>
      </c>
      <c r="K1792" s="1" t="s">
        <v>4005</v>
      </c>
    </row>
    <row r="1793" spans="1:11" x14ac:dyDescent="0.35">
      <c r="A1793" s="1" t="s">
        <v>3844</v>
      </c>
      <c r="B1793" s="1" t="s">
        <v>3886</v>
      </c>
      <c r="C1793" s="1" t="s">
        <v>4009</v>
      </c>
      <c r="D1793" s="1" t="str">
        <f>"7520"</f>
        <v>7520</v>
      </c>
      <c r="E1793" s="1" t="str">
        <f>"002405498"</f>
        <v>002405498</v>
      </c>
      <c r="F1793" s="1" t="s">
        <v>4010</v>
      </c>
      <c r="G1793" s="1" t="s">
        <v>16</v>
      </c>
      <c r="H1793" s="1" t="str">
        <f>"4"</f>
        <v>4</v>
      </c>
      <c r="I1793" s="2">
        <v>9.9</v>
      </c>
      <c r="J1793" s="3">
        <v>46188</v>
      </c>
      <c r="K1793" s="1" t="s">
        <v>4011</v>
      </c>
    </row>
    <row r="1794" spans="1:11" x14ac:dyDescent="0.35">
      <c r="A1794" s="1" t="s">
        <v>3844</v>
      </c>
      <c r="B1794" s="1" t="s">
        <v>4141</v>
      </c>
      <c r="C1794" s="1" t="s">
        <v>4164</v>
      </c>
      <c r="D1794" s="1" t="str">
        <f>"7035"</f>
        <v>7035</v>
      </c>
      <c r="E1794" s="1" t="s">
        <v>2499</v>
      </c>
      <c r="F1794" s="1" t="s">
        <v>2500</v>
      </c>
      <c r="G1794" s="1" t="s">
        <v>16</v>
      </c>
      <c r="H1794" s="1" t="str">
        <f>"5"</f>
        <v>5</v>
      </c>
      <c r="I1794" s="2" t="str">
        <f>"1000"</f>
        <v>1000</v>
      </c>
      <c r="J1794" s="3">
        <v>46188</v>
      </c>
      <c r="K1794" s="1" t="s">
        <v>4165</v>
      </c>
    </row>
    <row r="1795" spans="1:11" x14ac:dyDescent="0.35">
      <c r="A1795" s="1" t="s">
        <v>3844</v>
      </c>
      <c r="B1795" s="1" t="s">
        <v>3886</v>
      </c>
      <c r="C1795" s="1" t="s">
        <v>3902</v>
      </c>
      <c r="D1795" s="1" t="str">
        <f>"1095"</f>
        <v>1095</v>
      </c>
      <c r="E1795" s="1" t="str">
        <f>"015652809"</f>
        <v>015652809</v>
      </c>
      <c r="F1795" s="1" t="s">
        <v>3286</v>
      </c>
      <c r="G1795" s="1" t="s">
        <v>16</v>
      </c>
      <c r="H1795" s="1" t="str">
        <f>"5"</f>
        <v>5</v>
      </c>
      <c r="I1795" s="2">
        <v>971.5</v>
      </c>
      <c r="J1795" s="3">
        <v>46190</v>
      </c>
      <c r="K1795" s="1" t="s">
        <v>3903</v>
      </c>
    </row>
    <row r="1796" spans="1:11" x14ac:dyDescent="0.35">
      <c r="A1796" s="1" t="s">
        <v>3844</v>
      </c>
      <c r="B1796" s="1" t="s">
        <v>3858</v>
      </c>
      <c r="C1796" s="1" t="s">
        <v>3859</v>
      </c>
      <c r="D1796" s="1" t="str">
        <f>"2540"</f>
        <v>2540</v>
      </c>
      <c r="E1796" s="1" t="str">
        <f>"015655020"</f>
        <v>015655020</v>
      </c>
      <c r="F1796" s="1" t="s">
        <v>3860</v>
      </c>
      <c r="G1796" s="1" t="s">
        <v>16</v>
      </c>
      <c r="H1796" s="1" t="str">
        <f>"1"</f>
        <v>1</v>
      </c>
      <c r="I1796" s="2">
        <v>2740.18</v>
      </c>
      <c r="J1796" s="3">
        <v>46191</v>
      </c>
      <c r="K1796" s="1" t="s">
        <v>3861</v>
      </c>
    </row>
    <row r="1797" spans="1:11" x14ac:dyDescent="0.35">
      <c r="A1797" s="1" t="s">
        <v>3844</v>
      </c>
      <c r="B1797" s="1" t="s">
        <v>3858</v>
      </c>
      <c r="C1797" s="1" t="s">
        <v>3862</v>
      </c>
      <c r="D1797" s="1" t="str">
        <f>"7125"</f>
        <v>7125</v>
      </c>
      <c r="E1797" s="1" t="s">
        <v>1495</v>
      </c>
      <c r="F1797" s="1" t="s">
        <v>1496</v>
      </c>
      <c r="G1797" s="1" t="s">
        <v>16</v>
      </c>
      <c r="H1797" s="1" t="str">
        <f>"2"</f>
        <v>2</v>
      </c>
      <c r="I1797" s="2" t="str">
        <f>"200"</f>
        <v>200</v>
      </c>
      <c r="J1797" s="3">
        <v>46191</v>
      </c>
      <c r="K1797" s="1" t="s">
        <v>3863</v>
      </c>
    </row>
    <row r="1798" spans="1:11" x14ac:dyDescent="0.35">
      <c r="A1798" s="1" t="s">
        <v>3844</v>
      </c>
      <c r="B1798" s="1" t="s">
        <v>3858</v>
      </c>
      <c r="C1798" s="1" t="s">
        <v>3864</v>
      </c>
      <c r="D1798" s="1" t="str">
        <f>"7125"</f>
        <v>7125</v>
      </c>
      <c r="E1798" s="1" t="s">
        <v>1495</v>
      </c>
      <c r="F1798" s="1" t="s">
        <v>1496</v>
      </c>
      <c r="G1798" s="1" t="s">
        <v>16</v>
      </c>
      <c r="H1798" s="1" t="str">
        <f>"2"</f>
        <v>2</v>
      </c>
      <c r="I1798" s="2" t="str">
        <f>"25"</f>
        <v>25</v>
      </c>
      <c r="J1798" s="3">
        <v>46191</v>
      </c>
      <c r="K1798" s="1" t="s">
        <v>3863</v>
      </c>
    </row>
    <row r="1799" spans="1:11" x14ac:dyDescent="0.35">
      <c r="A1799" s="1" t="s">
        <v>3844</v>
      </c>
      <c r="B1799" s="1" t="s">
        <v>3858</v>
      </c>
      <c r="C1799" s="1" t="s">
        <v>3865</v>
      </c>
      <c r="D1799" s="1" t="str">
        <f>"7610"</f>
        <v>7610</v>
      </c>
      <c r="E1799" s="1" t="str">
        <f>"015629603"</f>
        <v>015629603</v>
      </c>
      <c r="F1799" s="1" t="s">
        <v>3866</v>
      </c>
      <c r="G1799" s="1" t="s">
        <v>16</v>
      </c>
      <c r="H1799" s="1" t="str">
        <f>"1"</f>
        <v>1</v>
      </c>
      <c r="I1799" s="2">
        <v>116.4</v>
      </c>
      <c r="J1799" s="3">
        <v>46191</v>
      </c>
      <c r="K1799" s="1" t="s">
        <v>3861</v>
      </c>
    </row>
    <row r="1800" spans="1:11" x14ac:dyDescent="0.35">
      <c r="A1800" s="1" t="s">
        <v>3844</v>
      </c>
      <c r="B1800" s="1" t="s">
        <v>3858</v>
      </c>
      <c r="C1800" s="1" t="s">
        <v>3870</v>
      </c>
      <c r="D1800" s="1" t="str">
        <f>"8145"</f>
        <v>8145</v>
      </c>
      <c r="E1800" s="1" t="str">
        <f>"016607429"</f>
        <v>016607429</v>
      </c>
      <c r="F1800" s="1" t="s">
        <v>3195</v>
      </c>
      <c r="G1800" s="1" t="s">
        <v>16</v>
      </c>
      <c r="H1800" s="1" t="str">
        <f>"1"</f>
        <v>1</v>
      </c>
      <c r="I1800" s="2" t="str">
        <f>"70"</f>
        <v>70</v>
      </c>
      <c r="J1800" s="3">
        <v>46191</v>
      </c>
      <c r="K1800" s="1" t="s">
        <v>3871</v>
      </c>
    </row>
    <row r="1801" spans="1:11" x14ac:dyDescent="0.35">
      <c r="A1801" s="1" t="s">
        <v>3844</v>
      </c>
      <c r="B1801" s="1" t="s">
        <v>3886</v>
      </c>
      <c r="C1801" s="1" t="s">
        <v>3893</v>
      </c>
      <c r="D1801" s="1" t="str">
        <f>"1005"</f>
        <v>1005</v>
      </c>
      <c r="E1801" s="1" t="str">
        <f>"131173858"</f>
        <v>131173858</v>
      </c>
      <c r="F1801" s="1" t="s">
        <v>3894</v>
      </c>
      <c r="G1801" s="1" t="s">
        <v>215</v>
      </c>
      <c r="H1801" s="1" t="str">
        <f>"9"</f>
        <v>9</v>
      </c>
      <c r="I1801" s="2">
        <v>1693.07</v>
      </c>
      <c r="J1801" s="3">
        <v>46195</v>
      </c>
      <c r="K1801" s="1" t="s">
        <v>3895</v>
      </c>
    </row>
    <row r="1802" spans="1:11" x14ac:dyDescent="0.35">
      <c r="A1802" s="1" t="s">
        <v>3844</v>
      </c>
      <c r="B1802" s="1" t="s">
        <v>4141</v>
      </c>
      <c r="C1802" s="1" t="s">
        <v>4142</v>
      </c>
      <c r="D1802" s="1" t="str">
        <f>"2540"</f>
        <v>2540</v>
      </c>
      <c r="E1802" s="1" t="str">
        <f>"011844897"</f>
        <v>011844897</v>
      </c>
      <c r="F1802" s="1" t="s">
        <v>4143</v>
      </c>
      <c r="G1802" s="1" t="s">
        <v>16</v>
      </c>
      <c r="H1802" s="1" t="str">
        <f>"3"</f>
        <v>3</v>
      </c>
      <c r="I1802" s="2">
        <v>402.56</v>
      </c>
      <c r="J1802" s="3">
        <v>46196</v>
      </c>
      <c r="K1802" s="1" t="s">
        <v>4144</v>
      </c>
    </row>
    <row r="1803" spans="1:11" x14ac:dyDescent="0.35">
      <c r="A1803" s="1" t="s">
        <v>3844</v>
      </c>
      <c r="B1803" s="1" t="s">
        <v>4141</v>
      </c>
      <c r="C1803" s="1" t="s">
        <v>4149</v>
      </c>
      <c r="D1803" s="1" t="str">
        <f>"4110"</f>
        <v>4110</v>
      </c>
      <c r="E1803" s="1" t="s">
        <v>388</v>
      </c>
      <c r="F1803" s="1" t="s">
        <v>389</v>
      </c>
      <c r="G1803" s="1" t="s">
        <v>16</v>
      </c>
      <c r="H1803" s="1" t="str">
        <f>"1"</f>
        <v>1</v>
      </c>
      <c r="I1803" s="2" t="str">
        <f>"800"</f>
        <v>800</v>
      </c>
      <c r="J1803" s="3">
        <v>46196</v>
      </c>
      <c r="K1803" s="1" t="s">
        <v>4150</v>
      </c>
    </row>
    <row r="1804" spans="1:11" x14ac:dyDescent="0.35">
      <c r="A1804" s="1" t="s">
        <v>3844</v>
      </c>
      <c r="B1804" s="1" t="s">
        <v>4141</v>
      </c>
      <c r="C1804" s="1" t="s">
        <v>4145</v>
      </c>
      <c r="D1804" s="1" t="str">
        <f>"3920"</f>
        <v>3920</v>
      </c>
      <c r="E1804" s="1" t="s">
        <v>4146</v>
      </c>
      <c r="F1804" s="1" t="s">
        <v>4147</v>
      </c>
      <c r="G1804" s="1" t="s">
        <v>16</v>
      </c>
      <c r="H1804" s="1" t="str">
        <f>"1"</f>
        <v>1</v>
      </c>
      <c r="I1804" s="2" t="str">
        <f>"14469"</f>
        <v>14469</v>
      </c>
      <c r="J1804" s="3">
        <v>46197</v>
      </c>
      <c r="K1804" s="1" t="s">
        <v>4148</v>
      </c>
    </row>
    <row r="1805" spans="1:11" x14ac:dyDescent="0.35">
      <c r="A1805" s="1" t="s">
        <v>3844</v>
      </c>
      <c r="B1805" s="1" t="s">
        <v>4141</v>
      </c>
      <c r="C1805" s="1" t="s">
        <v>4151</v>
      </c>
      <c r="D1805" s="1" t="str">
        <f>"5120"</f>
        <v>5120</v>
      </c>
      <c r="E1805" s="1" t="str">
        <f>"002238426"</f>
        <v>002238426</v>
      </c>
      <c r="F1805" s="1" t="s">
        <v>4152</v>
      </c>
      <c r="G1805" s="1" t="s">
        <v>16</v>
      </c>
      <c r="H1805" s="1" t="str">
        <f>"1"</f>
        <v>1</v>
      </c>
      <c r="I1805" s="2">
        <v>39.020000000000003</v>
      </c>
      <c r="J1805" s="3">
        <v>46197</v>
      </c>
      <c r="K1805" s="1" t="s">
        <v>4153</v>
      </c>
    </row>
    <row r="1806" spans="1:11" x14ac:dyDescent="0.35">
      <c r="A1806" s="1" t="s">
        <v>3844</v>
      </c>
      <c r="B1806" s="1" t="s">
        <v>4141</v>
      </c>
      <c r="C1806" s="1" t="s">
        <v>4166</v>
      </c>
      <c r="D1806" s="1" t="str">
        <f>"7125"</f>
        <v>7125</v>
      </c>
      <c r="E1806" s="1" t="s">
        <v>1495</v>
      </c>
      <c r="F1806" s="1" t="s">
        <v>1496</v>
      </c>
      <c r="G1806" s="1" t="s">
        <v>16</v>
      </c>
      <c r="H1806" s="1" t="str">
        <f>"3"</f>
        <v>3</v>
      </c>
      <c r="I1806" s="2" t="str">
        <f>"500"</f>
        <v>500</v>
      </c>
      <c r="J1806" s="3">
        <v>46197</v>
      </c>
      <c r="K1806" s="1" t="s">
        <v>4167</v>
      </c>
    </row>
    <row r="1807" spans="1:11" x14ac:dyDescent="0.35">
      <c r="A1807" s="1" t="s">
        <v>3844</v>
      </c>
      <c r="B1807" s="1" t="s">
        <v>4141</v>
      </c>
      <c r="C1807" s="1" t="s">
        <v>4168</v>
      </c>
      <c r="D1807" s="1" t="str">
        <f>"7290"</f>
        <v>7290</v>
      </c>
      <c r="E1807" s="1" t="s">
        <v>4169</v>
      </c>
      <c r="F1807" s="1" t="s">
        <v>4170</v>
      </c>
      <c r="G1807" s="1" t="s">
        <v>16</v>
      </c>
      <c r="H1807" s="1" t="str">
        <f>"2"</f>
        <v>2</v>
      </c>
      <c r="I1807" s="2" t="str">
        <f>"100"</f>
        <v>100</v>
      </c>
      <c r="J1807" s="3">
        <v>46197</v>
      </c>
      <c r="K1807" s="1" t="s">
        <v>4171</v>
      </c>
    </row>
    <row r="1808" spans="1:11" x14ac:dyDescent="0.35">
      <c r="A1808" s="1" t="s">
        <v>3844</v>
      </c>
      <c r="B1808" s="1" t="s">
        <v>4141</v>
      </c>
      <c r="C1808" s="1" t="s">
        <v>4172</v>
      </c>
      <c r="D1808" s="1" t="str">
        <f>"8145"</f>
        <v>8145</v>
      </c>
      <c r="E1808" s="1" t="s">
        <v>4173</v>
      </c>
      <c r="F1808" s="1" t="s">
        <v>4174</v>
      </c>
      <c r="G1808" s="1" t="s">
        <v>16</v>
      </c>
      <c r="H1808" s="1" t="str">
        <f>"5"</f>
        <v>5</v>
      </c>
      <c r="I1808" s="2" t="str">
        <f>"100"</f>
        <v>100</v>
      </c>
      <c r="J1808" s="3">
        <v>46197</v>
      </c>
      <c r="K1808" s="1" t="s">
        <v>4175</v>
      </c>
    </row>
    <row r="1809" spans="1:11" x14ac:dyDescent="0.35">
      <c r="A1809" s="1" t="s">
        <v>4176</v>
      </c>
      <c r="B1809" s="1" t="s">
        <v>4177</v>
      </c>
      <c r="C1809" s="1" t="s">
        <v>4192</v>
      </c>
      <c r="D1809" s="1" t="str">
        <f>"5855"</f>
        <v>5855</v>
      </c>
      <c r="E1809" s="1" t="str">
        <f>"014333157"</f>
        <v>014333157</v>
      </c>
      <c r="F1809" s="1" t="s">
        <v>1770</v>
      </c>
      <c r="G1809" s="1" t="s">
        <v>16</v>
      </c>
      <c r="H1809" s="1" t="str">
        <f>"2"</f>
        <v>2</v>
      </c>
      <c r="I1809" s="2" t="str">
        <f>"6392"</f>
        <v>6392</v>
      </c>
      <c r="J1809" s="3">
        <v>46119</v>
      </c>
      <c r="K1809" s="1" t="s">
        <v>4193</v>
      </c>
    </row>
    <row r="1810" spans="1:11" x14ac:dyDescent="0.35">
      <c r="A1810" s="1" t="s">
        <v>4176</v>
      </c>
      <c r="B1810" s="1" t="s">
        <v>4198</v>
      </c>
      <c r="C1810" s="1" t="s">
        <v>4199</v>
      </c>
      <c r="D1810" s="1" t="str">
        <f>"4240"</f>
        <v>4240</v>
      </c>
      <c r="E1810" s="1" t="str">
        <f>"015835158"</f>
        <v>015835158</v>
      </c>
      <c r="F1810" s="1" t="s">
        <v>561</v>
      </c>
      <c r="G1810" s="1" t="s">
        <v>16</v>
      </c>
      <c r="H1810" s="1" t="str">
        <f>"50"</f>
        <v>50</v>
      </c>
      <c r="I1810" s="2">
        <v>67.39</v>
      </c>
      <c r="J1810" s="3">
        <v>46141</v>
      </c>
      <c r="K1810" s="1" t="s">
        <v>4200</v>
      </c>
    </row>
    <row r="1811" spans="1:11" x14ac:dyDescent="0.35">
      <c r="A1811" s="1" t="s">
        <v>4176</v>
      </c>
      <c r="B1811" s="1" t="s">
        <v>4177</v>
      </c>
      <c r="C1811" s="1" t="s">
        <v>4190</v>
      </c>
      <c r="D1811" s="1" t="str">
        <f>"5855"</f>
        <v>5855</v>
      </c>
      <c r="E1811" s="1" t="str">
        <f>"015345931"</f>
        <v>015345931</v>
      </c>
      <c r="F1811" s="1" t="s">
        <v>1379</v>
      </c>
      <c r="G1811" s="1" t="s">
        <v>16</v>
      </c>
      <c r="H1811" s="1" t="str">
        <f>"10"</f>
        <v>10</v>
      </c>
      <c r="I1811" s="2" t="str">
        <f>"970"</f>
        <v>970</v>
      </c>
      <c r="J1811" s="3">
        <v>46171</v>
      </c>
      <c r="K1811" s="1" t="s">
        <v>4191</v>
      </c>
    </row>
    <row r="1812" spans="1:11" x14ac:dyDescent="0.35">
      <c r="A1812" s="1" t="s">
        <v>4176</v>
      </c>
      <c r="B1812" s="1" t="s">
        <v>4177</v>
      </c>
      <c r="C1812" s="1" t="s">
        <v>4178</v>
      </c>
      <c r="D1812" s="1" t="str">
        <f>"5855"</f>
        <v>5855</v>
      </c>
      <c r="E1812" s="1" t="str">
        <f>"014333157"</f>
        <v>014333157</v>
      </c>
      <c r="F1812" s="1" t="s">
        <v>1770</v>
      </c>
      <c r="G1812" s="1" t="s">
        <v>16</v>
      </c>
      <c r="H1812" s="1" t="str">
        <f>"1"</f>
        <v>1</v>
      </c>
      <c r="I1812" s="2" t="str">
        <f>"6392"</f>
        <v>6392</v>
      </c>
      <c r="J1812" s="3">
        <v>46184</v>
      </c>
      <c r="K1812" s="1" t="s">
        <v>4179</v>
      </c>
    </row>
    <row r="1813" spans="1:11" x14ac:dyDescent="0.35">
      <c r="A1813" s="1" t="s">
        <v>4176</v>
      </c>
      <c r="B1813" s="1" t="s">
        <v>4177</v>
      </c>
      <c r="C1813" s="1" t="s">
        <v>4180</v>
      </c>
      <c r="D1813" s="1" t="str">
        <f>"5855"</f>
        <v>5855</v>
      </c>
      <c r="E1813" s="1" t="str">
        <f>"014333157"</f>
        <v>014333157</v>
      </c>
      <c r="F1813" s="1" t="s">
        <v>1770</v>
      </c>
      <c r="G1813" s="1" t="s">
        <v>16</v>
      </c>
      <c r="H1813" s="1" t="str">
        <f>"1"</f>
        <v>1</v>
      </c>
      <c r="I1813" s="2" t="str">
        <f>"6392"</f>
        <v>6392</v>
      </c>
      <c r="J1813" s="3">
        <v>46184</v>
      </c>
      <c r="K1813" s="1" t="s">
        <v>4181</v>
      </c>
    </row>
    <row r="1814" spans="1:11" x14ac:dyDescent="0.35">
      <c r="A1814" s="1" t="s">
        <v>4176</v>
      </c>
      <c r="B1814" s="1" t="s">
        <v>4177</v>
      </c>
      <c r="C1814" s="1" t="s">
        <v>4182</v>
      </c>
      <c r="D1814" s="1" t="str">
        <f>"5855"</f>
        <v>5855</v>
      </c>
      <c r="E1814" s="1" t="str">
        <f>"014333157"</f>
        <v>014333157</v>
      </c>
      <c r="F1814" s="1" t="s">
        <v>1770</v>
      </c>
      <c r="G1814" s="1" t="s">
        <v>16</v>
      </c>
      <c r="H1814" s="1" t="str">
        <f>"1"</f>
        <v>1</v>
      </c>
      <c r="I1814" s="2" t="str">
        <f>"6392"</f>
        <v>6392</v>
      </c>
      <c r="J1814" s="3">
        <v>46184</v>
      </c>
      <c r="K1814" s="1" t="s">
        <v>4181</v>
      </c>
    </row>
    <row r="1815" spans="1:11" x14ac:dyDescent="0.35">
      <c r="A1815" s="1" t="s">
        <v>4176</v>
      </c>
      <c r="B1815" s="1" t="s">
        <v>4177</v>
      </c>
      <c r="C1815" s="1" t="s">
        <v>4183</v>
      </c>
      <c r="D1815" s="1" t="str">
        <f>"5855"</f>
        <v>5855</v>
      </c>
      <c r="E1815" s="1" t="str">
        <f>"014333157"</f>
        <v>014333157</v>
      </c>
      <c r="F1815" s="1" t="s">
        <v>1770</v>
      </c>
      <c r="G1815" s="1" t="s">
        <v>16</v>
      </c>
      <c r="H1815" s="1" t="str">
        <f>"1"</f>
        <v>1</v>
      </c>
      <c r="I1815" s="2" t="str">
        <f>"6392"</f>
        <v>6392</v>
      </c>
      <c r="J1815" s="3">
        <v>46184</v>
      </c>
      <c r="K1815" s="1" t="s">
        <v>4181</v>
      </c>
    </row>
    <row r="1816" spans="1:11" x14ac:dyDescent="0.35">
      <c r="A1816" s="1" t="s">
        <v>4176</v>
      </c>
      <c r="B1816" s="1" t="s">
        <v>4177</v>
      </c>
      <c r="C1816" s="1" t="s">
        <v>4184</v>
      </c>
      <c r="D1816" s="1" t="str">
        <f>"5855"</f>
        <v>5855</v>
      </c>
      <c r="E1816" s="1" t="str">
        <f>"014333157"</f>
        <v>014333157</v>
      </c>
      <c r="F1816" s="1" t="s">
        <v>1770</v>
      </c>
      <c r="G1816" s="1" t="s">
        <v>16</v>
      </c>
      <c r="H1816" s="1" t="str">
        <f>"1"</f>
        <v>1</v>
      </c>
      <c r="I1816" s="2" t="str">
        <f>"6392"</f>
        <v>6392</v>
      </c>
      <c r="J1816" s="3">
        <v>46184</v>
      </c>
      <c r="K1816" s="1" t="s">
        <v>4181</v>
      </c>
    </row>
    <row r="1817" spans="1:11" x14ac:dyDescent="0.35">
      <c r="A1817" s="1" t="s">
        <v>4176</v>
      </c>
      <c r="B1817" s="1" t="s">
        <v>4177</v>
      </c>
      <c r="C1817" s="1" t="s">
        <v>4185</v>
      </c>
      <c r="D1817" s="1" t="str">
        <f>"5855"</f>
        <v>5855</v>
      </c>
      <c r="E1817" s="1" t="str">
        <f>"014333157"</f>
        <v>014333157</v>
      </c>
      <c r="F1817" s="1" t="s">
        <v>1770</v>
      </c>
      <c r="G1817" s="1" t="s">
        <v>16</v>
      </c>
      <c r="H1817" s="1" t="str">
        <f>"1"</f>
        <v>1</v>
      </c>
      <c r="I1817" s="2" t="str">
        <f>"6392"</f>
        <v>6392</v>
      </c>
      <c r="J1817" s="3">
        <v>46184</v>
      </c>
      <c r="K1817" s="1" t="s">
        <v>4179</v>
      </c>
    </row>
    <row r="1818" spans="1:11" x14ac:dyDescent="0.35">
      <c r="A1818" s="1" t="s">
        <v>4176</v>
      </c>
      <c r="B1818" s="1" t="s">
        <v>4177</v>
      </c>
      <c r="C1818" s="1" t="s">
        <v>4186</v>
      </c>
      <c r="D1818" s="1" t="str">
        <f>"5855"</f>
        <v>5855</v>
      </c>
      <c r="E1818" s="1" t="str">
        <f>"014165085"</f>
        <v>014165085</v>
      </c>
      <c r="F1818" s="1" t="s">
        <v>1770</v>
      </c>
      <c r="G1818" s="1" t="s">
        <v>16</v>
      </c>
      <c r="H1818" s="1" t="str">
        <f>"2"</f>
        <v>2</v>
      </c>
      <c r="I1818" s="2">
        <v>6655.86</v>
      </c>
      <c r="J1818" s="3">
        <v>46184</v>
      </c>
      <c r="K1818" s="1" t="s">
        <v>4181</v>
      </c>
    </row>
    <row r="1819" spans="1:11" x14ac:dyDescent="0.35">
      <c r="A1819" s="1" t="s">
        <v>4176</v>
      </c>
      <c r="B1819" s="1" t="s">
        <v>4177</v>
      </c>
      <c r="C1819" s="1" t="s">
        <v>4187</v>
      </c>
      <c r="D1819" s="1" t="str">
        <f>"5855"</f>
        <v>5855</v>
      </c>
      <c r="E1819" s="1" t="str">
        <f>"014333157"</f>
        <v>014333157</v>
      </c>
      <c r="F1819" s="1" t="s">
        <v>1770</v>
      </c>
      <c r="G1819" s="1" t="s">
        <v>16</v>
      </c>
      <c r="H1819" s="1" t="str">
        <f>"1"</f>
        <v>1</v>
      </c>
      <c r="I1819" s="2" t="str">
        <f>"6392"</f>
        <v>6392</v>
      </c>
      <c r="J1819" s="3">
        <v>46184</v>
      </c>
      <c r="K1819" s="1" t="s">
        <v>4181</v>
      </c>
    </row>
    <row r="1820" spans="1:11" x14ac:dyDescent="0.35">
      <c r="A1820" s="1" t="s">
        <v>4176</v>
      </c>
      <c r="B1820" s="1" t="s">
        <v>4177</v>
      </c>
      <c r="C1820" s="1" t="s">
        <v>4188</v>
      </c>
      <c r="D1820" s="1" t="str">
        <f>"5855"</f>
        <v>5855</v>
      </c>
      <c r="E1820" s="1" t="str">
        <f>"014333157"</f>
        <v>014333157</v>
      </c>
      <c r="F1820" s="1" t="s">
        <v>1770</v>
      </c>
      <c r="G1820" s="1" t="s">
        <v>16</v>
      </c>
      <c r="H1820" s="1" t="str">
        <f>"1"</f>
        <v>1</v>
      </c>
      <c r="I1820" s="2" t="str">
        <f>"6392"</f>
        <v>6392</v>
      </c>
      <c r="J1820" s="3">
        <v>46184</v>
      </c>
      <c r="K1820" s="1" t="s">
        <v>4181</v>
      </c>
    </row>
    <row r="1821" spans="1:11" x14ac:dyDescent="0.35">
      <c r="A1821" s="1" t="s">
        <v>4176</v>
      </c>
      <c r="B1821" s="1" t="s">
        <v>4177</v>
      </c>
      <c r="C1821" s="1" t="s">
        <v>4189</v>
      </c>
      <c r="D1821" s="1" t="str">
        <f>"5855"</f>
        <v>5855</v>
      </c>
      <c r="E1821" s="1" t="str">
        <f>"014333157"</f>
        <v>014333157</v>
      </c>
      <c r="F1821" s="1" t="s">
        <v>1770</v>
      </c>
      <c r="G1821" s="1" t="s">
        <v>16</v>
      </c>
      <c r="H1821" s="1" t="str">
        <f>"1"</f>
        <v>1</v>
      </c>
      <c r="I1821" s="2" t="str">
        <f>"6392"</f>
        <v>6392</v>
      </c>
      <c r="J1821" s="3">
        <v>46184</v>
      </c>
      <c r="K1821" s="1" t="s">
        <v>4181</v>
      </c>
    </row>
    <row r="1822" spans="1:11" x14ac:dyDescent="0.35">
      <c r="A1822" s="1" t="s">
        <v>4176</v>
      </c>
      <c r="B1822" s="1" t="s">
        <v>4177</v>
      </c>
      <c r="C1822" s="1" t="s">
        <v>4194</v>
      </c>
      <c r="D1822" s="1" t="str">
        <f>"5855"</f>
        <v>5855</v>
      </c>
      <c r="E1822" s="1" t="str">
        <f>"014333157"</f>
        <v>014333157</v>
      </c>
      <c r="F1822" s="1" t="s">
        <v>1770</v>
      </c>
      <c r="G1822" s="1" t="s">
        <v>16</v>
      </c>
      <c r="H1822" s="1" t="str">
        <f>"1"</f>
        <v>1</v>
      </c>
      <c r="I1822" s="2" t="str">
        <f>"6392"</f>
        <v>6392</v>
      </c>
      <c r="J1822" s="3">
        <v>46184</v>
      </c>
      <c r="K1822" s="1" t="s">
        <v>4179</v>
      </c>
    </row>
    <row r="1823" spans="1:11" x14ac:dyDescent="0.35">
      <c r="A1823" s="1" t="s">
        <v>4176</v>
      </c>
      <c r="B1823" s="1" t="s">
        <v>4177</v>
      </c>
      <c r="C1823" s="1" t="s">
        <v>4195</v>
      </c>
      <c r="D1823" s="1" t="str">
        <f>"5855"</f>
        <v>5855</v>
      </c>
      <c r="E1823" s="1" t="str">
        <f>"014333157"</f>
        <v>014333157</v>
      </c>
      <c r="F1823" s="1" t="s">
        <v>1770</v>
      </c>
      <c r="G1823" s="1" t="s">
        <v>16</v>
      </c>
      <c r="H1823" s="1" t="str">
        <f>"1"</f>
        <v>1</v>
      </c>
      <c r="I1823" s="2" t="str">
        <f>"6392"</f>
        <v>6392</v>
      </c>
      <c r="J1823" s="3">
        <v>46184</v>
      </c>
      <c r="K1823" s="1" t="s">
        <v>4179</v>
      </c>
    </row>
    <row r="1824" spans="1:11" x14ac:dyDescent="0.35">
      <c r="A1824" s="1" t="s">
        <v>4176</v>
      </c>
      <c r="B1824" s="1" t="s">
        <v>4177</v>
      </c>
      <c r="C1824" s="1" t="s">
        <v>4196</v>
      </c>
      <c r="D1824" s="1" t="str">
        <f>"5855"</f>
        <v>5855</v>
      </c>
      <c r="E1824" s="1" t="str">
        <f>"014333157"</f>
        <v>014333157</v>
      </c>
      <c r="F1824" s="1" t="s">
        <v>1770</v>
      </c>
      <c r="G1824" s="1" t="s">
        <v>16</v>
      </c>
      <c r="H1824" s="1" t="str">
        <f>"1"</f>
        <v>1</v>
      </c>
      <c r="I1824" s="2" t="str">
        <f>"6392"</f>
        <v>6392</v>
      </c>
      <c r="J1824" s="3">
        <v>46184</v>
      </c>
      <c r="K1824" s="1" t="s">
        <v>4179</v>
      </c>
    </row>
    <row r="1825" spans="1:11" x14ac:dyDescent="0.35">
      <c r="A1825" s="1" t="s">
        <v>4176</v>
      </c>
      <c r="B1825" s="1" t="s">
        <v>4177</v>
      </c>
      <c r="C1825" s="1" t="s">
        <v>4197</v>
      </c>
      <c r="D1825" s="1" t="str">
        <f>"5855"</f>
        <v>5855</v>
      </c>
      <c r="E1825" s="1" t="str">
        <f>"014333157"</f>
        <v>014333157</v>
      </c>
      <c r="F1825" s="1" t="s">
        <v>1770</v>
      </c>
      <c r="G1825" s="1" t="s">
        <v>16</v>
      </c>
      <c r="H1825" s="1" t="str">
        <f>"1"</f>
        <v>1</v>
      </c>
      <c r="I1825" s="2" t="str">
        <f>"6392"</f>
        <v>6392</v>
      </c>
      <c r="J1825" s="3">
        <v>46184</v>
      </c>
      <c r="K1825" s="1" t="s">
        <v>4181</v>
      </c>
    </row>
    <row r="1826" spans="1:11" x14ac:dyDescent="0.35">
      <c r="A1826" s="1" t="s">
        <v>4201</v>
      </c>
      <c r="B1826" s="1" t="s">
        <v>4213</v>
      </c>
      <c r="C1826" s="1" t="s">
        <v>4218</v>
      </c>
      <c r="D1826" s="1" t="str">
        <f>"8145"</f>
        <v>8145</v>
      </c>
      <c r="E1826" s="1" t="str">
        <f>"014654187"</f>
        <v>014654187</v>
      </c>
      <c r="F1826" s="1" t="s">
        <v>423</v>
      </c>
      <c r="G1826" s="1" t="s">
        <v>16</v>
      </c>
      <c r="H1826" s="1" t="str">
        <f>"2"</f>
        <v>2</v>
      </c>
      <c r="I1826" s="2">
        <v>17477.91</v>
      </c>
      <c r="J1826" s="3">
        <v>46114</v>
      </c>
      <c r="K1826" s="1" t="s">
        <v>4219</v>
      </c>
    </row>
    <row r="1827" spans="1:11" x14ac:dyDescent="0.35">
      <c r="A1827" s="1" t="s">
        <v>4201</v>
      </c>
      <c r="B1827" s="1" t="s">
        <v>4308</v>
      </c>
      <c r="C1827" s="1" t="s">
        <v>4313</v>
      </c>
      <c r="D1827" s="1" t="str">
        <f>"2815"</f>
        <v>2815</v>
      </c>
      <c r="E1827" s="1" t="str">
        <f>"012161230"</f>
        <v>012161230</v>
      </c>
      <c r="F1827" s="1" t="s">
        <v>4314</v>
      </c>
      <c r="G1827" s="1" t="s">
        <v>16</v>
      </c>
      <c r="H1827" s="1" t="str">
        <f>"1"</f>
        <v>1</v>
      </c>
      <c r="I1827" s="2" t="str">
        <f>"75223"</f>
        <v>75223</v>
      </c>
      <c r="J1827" s="3">
        <v>46114</v>
      </c>
      <c r="K1827" s="1" t="s">
        <v>4315</v>
      </c>
    </row>
    <row r="1828" spans="1:11" x14ac:dyDescent="0.35">
      <c r="A1828" s="1" t="s">
        <v>4201</v>
      </c>
      <c r="B1828" s="1" t="s">
        <v>4308</v>
      </c>
      <c r="C1828" s="1" t="s">
        <v>4316</v>
      </c>
      <c r="D1828" s="1" t="str">
        <f>"2815"</f>
        <v>2815</v>
      </c>
      <c r="E1828" s="1" t="str">
        <f>"011421772"</f>
        <v>011421772</v>
      </c>
      <c r="F1828" s="1" t="s">
        <v>4314</v>
      </c>
      <c r="G1828" s="1" t="s">
        <v>16</v>
      </c>
      <c r="H1828" s="1" t="str">
        <f>"1"</f>
        <v>1</v>
      </c>
      <c r="I1828" s="2" t="str">
        <f>"46742"</f>
        <v>46742</v>
      </c>
      <c r="J1828" s="3">
        <v>46114</v>
      </c>
      <c r="K1828" s="1" t="s">
        <v>4315</v>
      </c>
    </row>
    <row r="1829" spans="1:11" x14ac:dyDescent="0.35">
      <c r="A1829" s="1" t="s">
        <v>4201</v>
      </c>
      <c r="B1829" s="1" t="s">
        <v>4308</v>
      </c>
      <c r="C1829" s="1" t="s">
        <v>4317</v>
      </c>
      <c r="D1829" s="1" t="str">
        <f>"2815"</f>
        <v>2815</v>
      </c>
      <c r="E1829" s="1" t="str">
        <f>"013421934"</f>
        <v>013421934</v>
      </c>
      <c r="F1829" s="1" t="s">
        <v>4314</v>
      </c>
      <c r="G1829" s="1" t="s">
        <v>16</v>
      </c>
      <c r="H1829" s="1" t="str">
        <f>"1"</f>
        <v>1</v>
      </c>
      <c r="I1829" s="2" t="str">
        <f>"42188"</f>
        <v>42188</v>
      </c>
      <c r="J1829" s="3">
        <v>46114</v>
      </c>
      <c r="K1829" s="1" t="s">
        <v>4315</v>
      </c>
    </row>
    <row r="1830" spans="1:11" x14ac:dyDescent="0.35">
      <c r="A1830" s="1" t="s">
        <v>4201</v>
      </c>
      <c r="B1830" s="1" t="s">
        <v>4245</v>
      </c>
      <c r="C1830" s="1" t="s">
        <v>4246</v>
      </c>
      <c r="D1830" s="1" t="str">
        <f>"3805"</f>
        <v>3805</v>
      </c>
      <c r="E1830" s="1" t="str">
        <f>"010632012"</f>
        <v>010632012</v>
      </c>
      <c r="F1830" s="1" t="s">
        <v>2327</v>
      </c>
      <c r="G1830" s="1" t="s">
        <v>16</v>
      </c>
      <c r="H1830" s="1" t="str">
        <f>"1"</f>
        <v>1</v>
      </c>
      <c r="I1830" s="2" t="str">
        <f>"157800"</f>
        <v>157800</v>
      </c>
      <c r="J1830" s="3">
        <v>46115</v>
      </c>
      <c r="K1830" s="1" t="s">
        <v>4247</v>
      </c>
    </row>
    <row r="1831" spans="1:11" x14ac:dyDescent="0.35">
      <c r="A1831" s="1" t="s">
        <v>4201</v>
      </c>
      <c r="B1831" s="1" t="s">
        <v>4248</v>
      </c>
      <c r="C1831" s="1" t="s">
        <v>4251</v>
      </c>
      <c r="D1831" s="1" t="str">
        <f>"2330"</f>
        <v>2330</v>
      </c>
      <c r="E1831" s="1" t="s">
        <v>70</v>
      </c>
      <c r="F1831" s="1" t="s">
        <v>71</v>
      </c>
      <c r="G1831" s="1" t="s">
        <v>16</v>
      </c>
      <c r="H1831" s="1" t="str">
        <f>"1"</f>
        <v>1</v>
      </c>
      <c r="I1831" s="2" t="str">
        <f>"16229"</f>
        <v>16229</v>
      </c>
      <c r="J1831" s="3">
        <v>46115</v>
      </c>
      <c r="K1831" s="1" t="s">
        <v>4252</v>
      </c>
    </row>
    <row r="1832" spans="1:11" x14ac:dyDescent="0.35">
      <c r="A1832" s="1" t="s">
        <v>4201</v>
      </c>
      <c r="B1832" s="1" t="s">
        <v>4275</v>
      </c>
      <c r="C1832" s="1" t="s">
        <v>4283</v>
      </c>
      <c r="D1832" s="1" t="str">
        <f>"6650"</f>
        <v>6650</v>
      </c>
      <c r="E1832" s="1" t="str">
        <f>"014910246"</f>
        <v>014910246</v>
      </c>
      <c r="F1832" s="1" t="s">
        <v>4284</v>
      </c>
      <c r="G1832" s="1" t="s">
        <v>16</v>
      </c>
      <c r="H1832" s="1" t="str">
        <f>"1"</f>
        <v>1</v>
      </c>
      <c r="I1832" s="2" t="str">
        <f>"712"</f>
        <v>712</v>
      </c>
      <c r="J1832" s="3">
        <v>46118</v>
      </c>
      <c r="K1832" s="1" t="s">
        <v>4285</v>
      </c>
    </row>
    <row r="1833" spans="1:11" x14ac:dyDescent="0.35">
      <c r="A1833" s="1" t="s">
        <v>4201</v>
      </c>
      <c r="B1833" s="1" t="s">
        <v>4275</v>
      </c>
      <c r="C1833" s="1" t="s">
        <v>4276</v>
      </c>
      <c r="D1833" s="1" t="str">
        <f>"1005"</f>
        <v>1005</v>
      </c>
      <c r="E1833" s="1" t="str">
        <f>"016650463"</f>
        <v>016650463</v>
      </c>
      <c r="F1833" s="1" t="s">
        <v>4277</v>
      </c>
      <c r="G1833" s="1" t="s">
        <v>16</v>
      </c>
      <c r="H1833" s="1" t="str">
        <f>"1"</f>
        <v>1</v>
      </c>
      <c r="I1833" s="2">
        <v>230.92</v>
      </c>
      <c r="J1833" s="3">
        <v>46119</v>
      </c>
      <c r="K1833" s="1" t="s">
        <v>4278</v>
      </c>
    </row>
    <row r="1834" spans="1:11" x14ac:dyDescent="0.35">
      <c r="A1834" s="1" t="s">
        <v>4201</v>
      </c>
      <c r="B1834" s="1" t="s">
        <v>4380</v>
      </c>
      <c r="C1834" s="1" t="s">
        <v>4381</v>
      </c>
      <c r="D1834" s="1" t="str">
        <f>"2320"</f>
        <v>2320</v>
      </c>
      <c r="E1834" s="1" t="s">
        <v>975</v>
      </c>
      <c r="F1834" s="1" t="s">
        <v>976</v>
      </c>
      <c r="G1834" s="1" t="s">
        <v>16</v>
      </c>
      <c r="H1834" s="1" t="str">
        <f>"1"</f>
        <v>1</v>
      </c>
      <c r="I1834" s="2" t="str">
        <f>"25000"</f>
        <v>25000</v>
      </c>
      <c r="J1834" s="3">
        <v>46119</v>
      </c>
      <c r="K1834" s="1" t="s">
        <v>4382</v>
      </c>
    </row>
    <row r="1835" spans="1:11" x14ac:dyDescent="0.35">
      <c r="A1835" s="1" t="s">
        <v>4201</v>
      </c>
      <c r="B1835" s="1" t="s">
        <v>4344</v>
      </c>
      <c r="C1835" s="1" t="s">
        <v>4359</v>
      </c>
      <c r="D1835" s="1" t="str">
        <f>"2420"</f>
        <v>2420</v>
      </c>
      <c r="E1835" s="1" t="s">
        <v>501</v>
      </c>
      <c r="F1835" s="1" t="s">
        <v>502</v>
      </c>
      <c r="G1835" s="1" t="s">
        <v>16</v>
      </c>
      <c r="H1835" s="1" t="str">
        <f>"1"</f>
        <v>1</v>
      </c>
      <c r="I1835" s="2" t="str">
        <f>"15000"</f>
        <v>15000</v>
      </c>
      <c r="J1835" s="3">
        <v>46120</v>
      </c>
      <c r="K1835" s="1" t="s">
        <v>4360</v>
      </c>
    </row>
    <row r="1836" spans="1:11" x14ac:dyDescent="0.35">
      <c r="A1836" s="1" t="s">
        <v>4201</v>
      </c>
      <c r="B1836" s="1" t="s">
        <v>4213</v>
      </c>
      <c r="C1836" s="1" t="s">
        <v>4216</v>
      </c>
      <c r="D1836" s="1" t="str">
        <f>"2310"</f>
        <v>2310</v>
      </c>
      <c r="E1836" s="1" t="s">
        <v>178</v>
      </c>
      <c r="F1836" s="1" t="s">
        <v>179</v>
      </c>
      <c r="G1836" s="1" t="s">
        <v>16</v>
      </c>
      <c r="H1836" s="1" t="str">
        <f>"1"</f>
        <v>1</v>
      </c>
      <c r="I1836" s="2" t="str">
        <f>"26275"</f>
        <v>26275</v>
      </c>
      <c r="J1836" s="3">
        <v>46121</v>
      </c>
      <c r="K1836" s="1" t="s">
        <v>4217</v>
      </c>
    </row>
    <row r="1837" spans="1:11" x14ac:dyDescent="0.35">
      <c r="A1837" s="1" t="s">
        <v>4201</v>
      </c>
      <c r="B1837" s="1" t="s">
        <v>4235</v>
      </c>
      <c r="C1837" s="1" t="s">
        <v>4240</v>
      </c>
      <c r="D1837" s="1" t="str">
        <f>"2330"</f>
        <v>2330</v>
      </c>
      <c r="E1837" s="1" t="s">
        <v>70</v>
      </c>
      <c r="F1837" s="1" t="s">
        <v>71</v>
      </c>
      <c r="G1837" s="1" t="s">
        <v>16</v>
      </c>
      <c r="H1837" s="1" t="str">
        <f>"1"</f>
        <v>1</v>
      </c>
      <c r="I1837" s="2" t="str">
        <f>"24349"</f>
        <v>24349</v>
      </c>
      <c r="J1837" s="3">
        <v>46121</v>
      </c>
      <c r="K1837" s="1" t="s">
        <v>4241</v>
      </c>
    </row>
    <row r="1838" spans="1:11" x14ac:dyDescent="0.35">
      <c r="A1838" s="1" t="s">
        <v>4201</v>
      </c>
      <c r="B1838" s="1" t="s">
        <v>4260</v>
      </c>
      <c r="C1838" s="1" t="s">
        <v>4261</v>
      </c>
      <c r="D1838" s="1" t="str">
        <f>"2320"</f>
        <v>2320</v>
      </c>
      <c r="E1838" s="1" t="str">
        <f>"015498611"</f>
        <v>015498611</v>
      </c>
      <c r="F1838" s="1" t="s">
        <v>271</v>
      </c>
      <c r="G1838" s="1" t="s">
        <v>16</v>
      </c>
      <c r="H1838" s="1" t="str">
        <f>"1"</f>
        <v>1</v>
      </c>
      <c r="I1838" s="2" t="str">
        <f>"200000"</f>
        <v>200000</v>
      </c>
      <c r="J1838" s="3">
        <v>46121</v>
      </c>
      <c r="K1838" s="1" t="s">
        <v>4262</v>
      </c>
    </row>
    <row r="1839" spans="1:11" x14ac:dyDescent="0.35">
      <c r="A1839" s="1" t="s">
        <v>4201</v>
      </c>
      <c r="B1839" s="1" t="s">
        <v>4422</v>
      </c>
      <c r="C1839" s="1" t="s">
        <v>4423</v>
      </c>
      <c r="D1839" s="1" t="str">
        <f>"2320"</f>
        <v>2320</v>
      </c>
      <c r="E1839" s="1" t="str">
        <f>"015303843"</f>
        <v>015303843</v>
      </c>
      <c r="F1839" s="1" t="s">
        <v>271</v>
      </c>
      <c r="G1839" s="1" t="s">
        <v>16</v>
      </c>
      <c r="H1839" s="1" t="str">
        <f>"1"</f>
        <v>1</v>
      </c>
      <c r="I1839" s="2" t="str">
        <f>"218378"</f>
        <v>218378</v>
      </c>
      <c r="J1839" s="3">
        <v>46121</v>
      </c>
      <c r="K1839" s="1" t="s">
        <v>4424</v>
      </c>
    </row>
    <row r="1840" spans="1:11" x14ac:dyDescent="0.35">
      <c r="A1840" s="1" t="s">
        <v>4201</v>
      </c>
      <c r="B1840" s="1" t="s">
        <v>4202</v>
      </c>
      <c r="C1840" s="1" t="s">
        <v>4203</v>
      </c>
      <c r="D1840" s="1" t="str">
        <f>"2310"</f>
        <v>2310</v>
      </c>
      <c r="E1840" s="1" t="s">
        <v>178</v>
      </c>
      <c r="F1840" s="1" t="s">
        <v>179</v>
      </c>
      <c r="G1840" s="1" t="s">
        <v>16</v>
      </c>
      <c r="H1840" s="1" t="str">
        <f>"1"</f>
        <v>1</v>
      </c>
      <c r="I1840" s="2" t="str">
        <f>"38900"</f>
        <v>38900</v>
      </c>
      <c r="J1840" s="3">
        <v>46122</v>
      </c>
      <c r="K1840" s="1" t="s">
        <v>4204</v>
      </c>
    </row>
    <row r="1841" spans="1:11" x14ac:dyDescent="0.35">
      <c r="A1841" s="1" t="s">
        <v>4201</v>
      </c>
      <c r="B1841" s="1" t="s">
        <v>4202</v>
      </c>
      <c r="C1841" s="1" t="s">
        <v>4205</v>
      </c>
      <c r="D1841" s="1" t="str">
        <f>"3825"</f>
        <v>3825</v>
      </c>
      <c r="E1841" s="1" t="str">
        <f>"015065371"</f>
        <v>015065371</v>
      </c>
      <c r="F1841" s="1" t="s">
        <v>4206</v>
      </c>
      <c r="G1841" s="1" t="s">
        <v>16</v>
      </c>
      <c r="H1841" s="1" t="str">
        <f>"1"</f>
        <v>1</v>
      </c>
      <c r="I1841" s="2">
        <v>98857.15</v>
      </c>
      <c r="J1841" s="3">
        <v>46122</v>
      </c>
      <c r="K1841" s="1" t="s">
        <v>4207</v>
      </c>
    </row>
    <row r="1842" spans="1:11" x14ac:dyDescent="0.35">
      <c r="A1842" s="1" t="s">
        <v>4201</v>
      </c>
      <c r="B1842" s="1" t="s">
        <v>4210</v>
      </c>
      <c r="C1842" s="1" t="s">
        <v>4211</v>
      </c>
      <c r="D1842" s="1" t="str">
        <f>"2340"</f>
        <v>2340</v>
      </c>
      <c r="E1842" s="1" t="s">
        <v>84</v>
      </c>
      <c r="F1842" s="1" t="s">
        <v>85</v>
      </c>
      <c r="G1842" s="1" t="s">
        <v>16</v>
      </c>
      <c r="H1842" s="1" t="str">
        <f>"1"</f>
        <v>1</v>
      </c>
      <c r="I1842" s="2" t="str">
        <f>"14000"</f>
        <v>14000</v>
      </c>
      <c r="J1842" s="3">
        <v>46122</v>
      </c>
      <c r="K1842" s="1" t="s">
        <v>4212</v>
      </c>
    </row>
    <row r="1843" spans="1:11" x14ac:dyDescent="0.35">
      <c r="A1843" s="1" t="s">
        <v>4201</v>
      </c>
      <c r="B1843" s="1" t="s">
        <v>4248</v>
      </c>
      <c r="C1843" s="1" t="s">
        <v>4249</v>
      </c>
      <c r="D1843" s="1" t="str">
        <f>"2320"</f>
        <v>2320</v>
      </c>
      <c r="E1843" s="1" t="str">
        <f>"010907816"</f>
        <v>010907816</v>
      </c>
      <c r="F1843" s="1" t="s">
        <v>2294</v>
      </c>
      <c r="G1843" s="1" t="s">
        <v>16</v>
      </c>
      <c r="H1843" s="1" t="str">
        <f>"1"</f>
        <v>1</v>
      </c>
      <c r="I1843" s="2" t="str">
        <f>"27377"</f>
        <v>27377</v>
      </c>
      <c r="J1843" s="3">
        <v>46125</v>
      </c>
      <c r="K1843" s="1" t="s">
        <v>4250</v>
      </c>
    </row>
    <row r="1844" spans="1:11" x14ac:dyDescent="0.35">
      <c r="A1844" s="1" t="s">
        <v>4201</v>
      </c>
      <c r="B1844" s="1" t="s">
        <v>4297</v>
      </c>
      <c r="C1844" s="1" t="s">
        <v>4298</v>
      </c>
      <c r="D1844" s="1" t="str">
        <f>"2320"</f>
        <v>2320</v>
      </c>
      <c r="E1844" s="1" t="str">
        <f>"007529289"</f>
        <v>007529289</v>
      </c>
      <c r="F1844" s="1" t="s">
        <v>271</v>
      </c>
      <c r="G1844" s="1" t="s">
        <v>16</v>
      </c>
      <c r="H1844" s="1" t="str">
        <f>"1"</f>
        <v>1</v>
      </c>
      <c r="I1844" s="2" t="str">
        <f>"4202"</f>
        <v>4202</v>
      </c>
      <c r="J1844" s="3">
        <v>46126</v>
      </c>
      <c r="K1844" s="1" t="s">
        <v>4299</v>
      </c>
    </row>
    <row r="1845" spans="1:11" x14ac:dyDescent="0.35">
      <c r="A1845" s="1" t="s">
        <v>4201</v>
      </c>
      <c r="B1845" s="1" t="s">
        <v>4297</v>
      </c>
      <c r="C1845" s="1" t="s">
        <v>4304</v>
      </c>
      <c r="D1845" s="1" t="str">
        <f>"3431"</f>
        <v>3431</v>
      </c>
      <c r="E1845" s="1" t="s">
        <v>4301</v>
      </c>
      <c r="F1845" s="1" t="s">
        <v>4302</v>
      </c>
      <c r="G1845" s="1" t="s">
        <v>16</v>
      </c>
      <c r="H1845" s="1" t="str">
        <f>"1"</f>
        <v>1</v>
      </c>
      <c r="I1845" s="2">
        <v>3443.75</v>
      </c>
      <c r="J1845" s="3">
        <v>46126</v>
      </c>
      <c r="K1845" s="1" t="s">
        <v>4305</v>
      </c>
    </row>
    <row r="1846" spans="1:11" x14ac:dyDescent="0.35">
      <c r="A1846" s="1" t="s">
        <v>4201</v>
      </c>
      <c r="B1846" s="1" t="s">
        <v>4297</v>
      </c>
      <c r="C1846" s="1" t="s">
        <v>4306</v>
      </c>
      <c r="D1846" s="1" t="str">
        <f>"5180"</f>
        <v>5180</v>
      </c>
      <c r="E1846" s="1" t="str">
        <f>"016282374"</f>
        <v>016282374</v>
      </c>
      <c r="F1846" s="1" t="s">
        <v>2993</v>
      </c>
      <c r="G1846" s="1" t="s">
        <v>215</v>
      </c>
      <c r="H1846" s="1" t="str">
        <f>"5"</f>
        <v>5</v>
      </c>
      <c r="I1846" s="2" t="str">
        <f>"3847"</f>
        <v>3847</v>
      </c>
      <c r="J1846" s="3">
        <v>46126</v>
      </c>
      <c r="K1846" s="1" t="s">
        <v>4307</v>
      </c>
    </row>
    <row r="1847" spans="1:11" x14ac:dyDescent="0.35">
      <c r="A1847" s="1" t="s">
        <v>4201</v>
      </c>
      <c r="B1847" s="1" t="s">
        <v>4308</v>
      </c>
      <c r="C1847" s="1" t="s">
        <v>4309</v>
      </c>
      <c r="D1847" s="1" t="str">
        <f>"2640"</f>
        <v>2640</v>
      </c>
      <c r="E1847" s="1" t="s">
        <v>4310</v>
      </c>
      <c r="F1847" s="1" t="s">
        <v>4311</v>
      </c>
      <c r="G1847" s="1" t="s">
        <v>16</v>
      </c>
      <c r="H1847" s="1" t="str">
        <f>"1"</f>
        <v>1</v>
      </c>
      <c r="I1847" s="2" t="str">
        <f>"19909"</f>
        <v>19909</v>
      </c>
      <c r="J1847" s="3">
        <v>46126</v>
      </c>
      <c r="K1847" s="1" t="s">
        <v>4312</v>
      </c>
    </row>
    <row r="1848" spans="1:11" x14ac:dyDescent="0.35">
      <c r="A1848" s="1" t="s">
        <v>4201</v>
      </c>
      <c r="B1848" s="1" t="s">
        <v>4308</v>
      </c>
      <c r="C1848" s="1" t="s">
        <v>4326</v>
      </c>
      <c r="D1848" s="1" t="str">
        <f>"3950"</f>
        <v>3950</v>
      </c>
      <c r="E1848" s="1" t="s">
        <v>3089</v>
      </c>
      <c r="F1848" s="1" t="s">
        <v>3090</v>
      </c>
      <c r="G1848" s="1" t="s">
        <v>16</v>
      </c>
      <c r="H1848" s="1" t="str">
        <f>"1"</f>
        <v>1</v>
      </c>
      <c r="I1848" s="2" t="str">
        <f>"8000"</f>
        <v>8000</v>
      </c>
      <c r="J1848" s="3">
        <v>46126</v>
      </c>
      <c r="K1848" s="1" t="s">
        <v>4327</v>
      </c>
    </row>
    <row r="1849" spans="1:11" x14ac:dyDescent="0.35">
      <c r="A1849" s="1" t="s">
        <v>4201</v>
      </c>
      <c r="B1849" s="1" t="s">
        <v>4397</v>
      </c>
      <c r="C1849" s="1" t="s">
        <v>4404</v>
      </c>
      <c r="D1849" s="1" t="str">
        <f>"3750"</f>
        <v>3750</v>
      </c>
      <c r="E1849" s="1" t="s">
        <v>3083</v>
      </c>
      <c r="F1849" s="1" t="s">
        <v>3084</v>
      </c>
      <c r="G1849" s="1" t="s">
        <v>16</v>
      </c>
      <c r="H1849" s="1" t="str">
        <f>"4"</f>
        <v>4</v>
      </c>
      <c r="I1849" s="2" t="str">
        <f>"300"</f>
        <v>300</v>
      </c>
      <c r="J1849" s="3">
        <v>46127</v>
      </c>
      <c r="K1849" s="1" t="s">
        <v>4405</v>
      </c>
    </row>
    <row r="1850" spans="1:11" x14ac:dyDescent="0.35">
      <c r="A1850" s="1" t="s">
        <v>4201</v>
      </c>
      <c r="B1850" s="1" t="s">
        <v>4235</v>
      </c>
      <c r="C1850" s="1" t="s">
        <v>4236</v>
      </c>
      <c r="D1850" s="1" t="str">
        <f>"2320"</f>
        <v>2320</v>
      </c>
      <c r="E1850" s="1" t="str">
        <f>"014076487"</f>
        <v>014076487</v>
      </c>
      <c r="F1850" s="1" t="s">
        <v>4227</v>
      </c>
      <c r="G1850" s="1" t="s">
        <v>16</v>
      </c>
      <c r="H1850" s="1" t="str">
        <f>"1"</f>
        <v>1</v>
      </c>
      <c r="I1850" s="2" t="str">
        <f>"161346"</f>
        <v>161346</v>
      </c>
      <c r="J1850" s="3">
        <v>46128</v>
      </c>
      <c r="K1850" s="1" t="s">
        <v>4237</v>
      </c>
    </row>
    <row r="1851" spans="1:11" x14ac:dyDescent="0.35">
      <c r="A1851" s="1" t="s">
        <v>4201</v>
      </c>
      <c r="B1851" s="1" t="s">
        <v>4383</v>
      </c>
      <c r="C1851" s="1" t="s">
        <v>4384</v>
      </c>
      <c r="D1851" s="1" t="str">
        <f>"2340"</f>
        <v>2340</v>
      </c>
      <c r="E1851" s="1" t="s">
        <v>61</v>
      </c>
      <c r="F1851" s="1" t="s">
        <v>62</v>
      </c>
      <c r="G1851" s="1" t="s">
        <v>16</v>
      </c>
      <c r="H1851" s="1" t="str">
        <f>"1"</f>
        <v>1</v>
      </c>
      <c r="I1851" s="2" t="str">
        <f>"17675"</f>
        <v>17675</v>
      </c>
      <c r="J1851" s="3">
        <v>46128</v>
      </c>
      <c r="K1851" s="1" t="s">
        <v>4385</v>
      </c>
    </row>
    <row r="1852" spans="1:11" x14ac:dyDescent="0.35">
      <c r="A1852" s="1" t="s">
        <v>4201</v>
      </c>
      <c r="B1852" s="1" t="s">
        <v>4422</v>
      </c>
      <c r="C1852" s="1" t="s">
        <v>4425</v>
      </c>
      <c r="D1852" s="1" t="str">
        <f>"2430"</f>
        <v>2430</v>
      </c>
      <c r="E1852" s="1" t="str">
        <f>"014232819"</f>
        <v>014232819</v>
      </c>
      <c r="F1852" s="1" t="s">
        <v>4426</v>
      </c>
      <c r="G1852" s="1" t="s">
        <v>16</v>
      </c>
      <c r="H1852" s="1" t="str">
        <f>"1"</f>
        <v>1</v>
      </c>
      <c r="I1852" s="2" t="str">
        <f>"362687"</f>
        <v>362687</v>
      </c>
      <c r="J1852" s="3">
        <v>46128</v>
      </c>
      <c r="K1852" s="1" t="s">
        <v>4427</v>
      </c>
    </row>
    <row r="1853" spans="1:11" x14ac:dyDescent="0.35">
      <c r="A1853" s="1" t="s">
        <v>4201</v>
      </c>
      <c r="B1853" s="1" t="s">
        <v>4328</v>
      </c>
      <c r="C1853" s="1" t="s">
        <v>4329</v>
      </c>
      <c r="D1853" s="1" t="str">
        <f>"2340"</f>
        <v>2340</v>
      </c>
      <c r="E1853" s="1" t="s">
        <v>2548</v>
      </c>
      <c r="F1853" s="1" t="s">
        <v>2549</v>
      </c>
      <c r="G1853" s="1" t="s">
        <v>16</v>
      </c>
      <c r="H1853" s="1" t="str">
        <f>"1"</f>
        <v>1</v>
      </c>
      <c r="I1853" s="2" t="str">
        <f>"11666"</f>
        <v>11666</v>
      </c>
      <c r="J1853" s="3">
        <v>46129</v>
      </c>
      <c r="K1853" s="1" t="s">
        <v>4330</v>
      </c>
    </row>
    <row r="1854" spans="1:11" x14ac:dyDescent="0.35">
      <c r="A1854" s="1" t="s">
        <v>4201</v>
      </c>
      <c r="B1854" s="1" t="s">
        <v>4328</v>
      </c>
      <c r="C1854" s="1" t="s">
        <v>4331</v>
      </c>
      <c r="D1854" s="1" t="str">
        <f>"2340"</f>
        <v>2340</v>
      </c>
      <c r="E1854" s="1" t="s">
        <v>2548</v>
      </c>
      <c r="F1854" s="1" t="s">
        <v>2549</v>
      </c>
      <c r="G1854" s="1" t="s">
        <v>16</v>
      </c>
      <c r="H1854" s="1" t="str">
        <f>"1"</f>
        <v>1</v>
      </c>
      <c r="I1854" s="2" t="str">
        <f>"11666"</f>
        <v>11666</v>
      </c>
      <c r="J1854" s="3">
        <v>46129</v>
      </c>
      <c r="K1854" s="1" t="s">
        <v>4332</v>
      </c>
    </row>
    <row r="1855" spans="1:11" x14ac:dyDescent="0.35">
      <c r="A1855" s="1" t="s">
        <v>4201</v>
      </c>
      <c r="B1855" s="1" t="s">
        <v>4344</v>
      </c>
      <c r="C1855" s="1" t="s">
        <v>4349</v>
      </c>
      <c r="D1855" s="1" t="str">
        <f>"2320"</f>
        <v>2320</v>
      </c>
      <c r="E1855" s="1" t="str">
        <f>"012157631"</f>
        <v>012157631</v>
      </c>
      <c r="F1855" s="1" t="s">
        <v>360</v>
      </c>
      <c r="G1855" s="1" t="s">
        <v>16</v>
      </c>
      <c r="H1855" s="1" t="str">
        <f>"1"</f>
        <v>1</v>
      </c>
      <c r="I1855" s="2" t="str">
        <f>"33082"</f>
        <v>33082</v>
      </c>
      <c r="J1855" s="3">
        <v>46129</v>
      </c>
      <c r="K1855" s="1" t="s">
        <v>4350</v>
      </c>
    </row>
    <row r="1856" spans="1:11" x14ac:dyDescent="0.35">
      <c r="A1856" s="1" t="s">
        <v>4201</v>
      </c>
      <c r="B1856" s="1" t="s">
        <v>4344</v>
      </c>
      <c r="C1856" s="1" t="s">
        <v>4361</v>
      </c>
      <c r="D1856" s="1" t="str">
        <f>"3805"</f>
        <v>3805</v>
      </c>
      <c r="E1856" s="1" t="s">
        <v>384</v>
      </c>
      <c r="F1856" s="1" t="s">
        <v>385</v>
      </c>
      <c r="G1856" s="1" t="s">
        <v>16</v>
      </c>
      <c r="H1856" s="1" t="str">
        <f>"1"</f>
        <v>1</v>
      </c>
      <c r="I1856" s="2" t="str">
        <f>"33500"</f>
        <v>33500</v>
      </c>
      <c r="J1856" s="3">
        <v>46129</v>
      </c>
      <c r="K1856" s="1" t="s">
        <v>4362</v>
      </c>
    </row>
    <row r="1857" spans="1:11" x14ac:dyDescent="0.35">
      <c r="A1857" s="1" t="s">
        <v>4201</v>
      </c>
      <c r="B1857" s="1" t="s">
        <v>4344</v>
      </c>
      <c r="C1857" s="1" t="s">
        <v>4369</v>
      </c>
      <c r="D1857" s="1" t="str">
        <f>"7510"</f>
        <v>7510</v>
      </c>
      <c r="E1857" s="1" t="s">
        <v>4370</v>
      </c>
      <c r="F1857" s="1" t="s">
        <v>4371</v>
      </c>
      <c r="G1857" s="1" t="s">
        <v>16</v>
      </c>
      <c r="H1857" s="1" t="str">
        <f>"1"</f>
        <v>1</v>
      </c>
      <c r="I1857" s="2" t="str">
        <f>"100"</f>
        <v>100</v>
      </c>
      <c r="J1857" s="3">
        <v>46129</v>
      </c>
      <c r="K1857" s="1" t="s">
        <v>4372</v>
      </c>
    </row>
    <row r="1858" spans="1:11" x14ac:dyDescent="0.35">
      <c r="A1858" s="1" t="s">
        <v>4201</v>
      </c>
      <c r="B1858" s="1" t="s">
        <v>4328</v>
      </c>
      <c r="C1858" s="1" t="s">
        <v>4333</v>
      </c>
      <c r="D1858" s="1" t="str">
        <f>"6115"</f>
        <v>6115</v>
      </c>
      <c r="E1858" s="1" t="str">
        <f>"012747388"</f>
        <v>012747388</v>
      </c>
      <c r="F1858" s="1" t="s">
        <v>1390</v>
      </c>
      <c r="G1858" s="1" t="s">
        <v>16</v>
      </c>
      <c r="H1858" s="1" t="str">
        <f>"1"</f>
        <v>1</v>
      </c>
      <c r="I1858" s="2" t="str">
        <f>"16160"</f>
        <v>16160</v>
      </c>
      <c r="J1858" s="3">
        <v>46132</v>
      </c>
      <c r="K1858" s="1" t="s">
        <v>4334</v>
      </c>
    </row>
    <row r="1859" spans="1:11" x14ac:dyDescent="0.35">
      <c r="A1859" s="1" t="s">
        <v>4201</v>
      </c>
      <c r="B1859" s="1" t="s">
        <v>4328</v>
      </c>
      <c r="C1859" s="1" t="s">
        <v>4335</v>
      </c>
      <c r="D1859" s="1" t="str">
        <f>"6115"</f>
        <v>6115</v>
      </c>
      <c r="E1859" s="1" t="str">
        <f>"014619335"</f>
        <v>014619335</v>
      </c>
      <c r="F1859" s="1" t="s">
        <v>1390</v>
      </c>
      <c r="G1859" s="1" t="s">
        <v>16</v>
      </c>
      <c r="H1859" s="1" t="str">
        <f>"1"</f>
        <v>1</v>
      </c>
      <c r="I1859" s="2">
        <v>26705.200000000001</v>
      </c>
      <c r="J1859" s="3">
        <v>46132</v>
      </c>
      <c r="K1859" s="1" t="s">
        <v>4336</v>
      </c>
    </row>
    <row r="1860" spans="1:11" x14ac:dyDescent="0.35">
      <c r="A1860" s="1" t="s">
        <v>4201</v>
      </c>
      <c r="B1860" s="1" t="s">
        <v>4328</v>
      </c>
      <c r="C1860" s="1" t="s">
        <v>4337</v>
      </c>
      <c r="D1860" s="1" t="str">
        <f>"6115"</f>
        <v>6115</v>
      </c>
      <c r="E1860" s="1" t="str">
        <f>"012755061"</f>
        <v>012755061</v>
      </c>
      <c r="F1860" s="1" t="s">
        <v>1390</v>
      </c>
      <c r="G1860" s="1" t="s">
        <v>16</v>
      </c>
      <c r="H1860" s="1" t="str">
        <f>"2"</f>
        <v>2</v>
      </c>
      <c r="I1860" s="2" t="str">
        <f>"10700"</f>
        <v>10700</v>
      </c>
      <c r="J1860" s="3">
        <v>46132</v>
      </c>
      <c r="K1860" s="1" t="s">
        <v>4338</v>
      </c>
    </row>
    <row r="1861" spans="1:11" x14ac:dyDescent="0.35">
      <c r="A1861" s="1" t="s">
        <v>4201</v>
      </c>
      <c r="B1861" s="1" t="s">
        <v>4377</v>
      </c>
      <c r="C1861" s="1" t="s">
        <v>4378</v>
      </c>
      <c r="D1861" s="1" t="str">
        <f>"2320"</f>
        <v>2320</v>
      </c>
      <c r="E1861" s="1" t="s">
        <v>2218</v>
      </c>
      <c r="F1861" s="1" t="s">
        <v>2219</v>
      </c>
      <c r="G1861" s="1" t="s">
        <v>16</v>
      </c>
      <c r="H1861" s="1" t="str">
        <f>"1"</f>
        <v>1</v>
      </c>
      <c r="I1861" s="2" t="str">
        <f>"15000"</f>
        <v>15000</v>
      </c>
      <c r="J1861" s="3">
        <v>46132</v>
      </c>
      <c r="K1861" s="1" t="s">
        <v>4379</v>
      </c>
    </row>
    <row r="1862" spans="1:11" x14ac:dyDescent="0.35">
      <c r="A1862" s="1" t="s">
        <v>4201</v>
      </c>
      <c r="B1862" s="1" t="s">
        <v>4344</v>
      </c>
      <c r="C1862" s="1" t="s">
        <v>4355</v>
      </c>
      <c r="D1862" s="1" t="str">
        <f>"2340"</f>
        <v>2340</v>
      </c>
      <c r="E1862" s="1" t="s">
        <v>61</v>
      </c>
      <c r="F1862" s="1" t="s">
        <v>62</v>
      </c>
      <c r="G1862" s="1" t="s">
        <v>16</v>
      </c>
      <c r="H1862" s="1" t="str">
        <f>"1"</f>
        <v>1</v>
      </c>
      <c r="I1862" s="2" t="str">
        <f>"31426"</f>
        <v>31426</v>
      </c>
      <c r="J1862" s="3">
        <v>46133</v>
      </c>
      <c r="K1862" s="1" t="s">
        <v>4356</v>
      </c>
    </row>
    <row r="1863" spans="1:11" x14ac:dyDescent="0.35">
      <c r="A1863" s="1" t="s">
        <v>4201</v>
      </c>
      <c r="B1863" s="1" t="s">
        <v>4389</v>
      </c>
      <c r="C1863" s="1" t="s">
        <v>4395</v>
      </c>
      <c r="D1863" s="1" t="str">
        <f>"2420"</f>
        <v>2420</v>
      </c>
      <c r="E1863" s="1" t="str">
        <f>"013916071"</f>
        <v>013916071</v>
      </c>
      <c r="F1863" s="1" t="s">
        <v>98</v>
      </c>
      <c r="G1863" s="1" t="s">
        <v>16</v>
      </c>
      <c r="H1863" s="1" t="str">
        <f>"1"</f>
        <v>1</v>
      </c>
      <c r="I1863" s="2" t="str">
        <f>"23945"</f>
        <v>23945</v>
      </c>
      <c r="J1863" s="3">
        <v>46133</v>
      </c>
      <c r="K1863" s="1" t="s">
        <v>4396</v>
      </c>
    </row>
    <row r="1864" spans="1:11" x14ac:dyDescent="0.35">
      <c r="A1864" s="1" t="s">
        <v>4201</v>
      </c>
      <c r="B1864" s="1" t="s">
        <v>4344</v>
      </c>
      <c r="C1864" s="1" t="s">
        <v>4367</v>
      </c>
      <c r="D1864" s="1" t="str">
        <f>"6230"</f>
        <v>6230</v>
      </c>
      <c r="E1864" s="1" t="s">
        <v>2631</v>
      </c>
      <c r="F1864" s="1" t="s">
        <v>2632</v>
      </c>
      <c r="G1864" s="1" t="s">
        <v>16</v>
      </c>
      <c r="H1864" s="1" t="str">
        <f>"4"</f>
        <v>4</v>
      </c>
      <c r="I1864" s="2" t="str">
        <f>"8000"</f>
        <v>8000</v>
      </c>
      <c r="J1864" s="3">
        <v>46141</v>
      </c>
      <c r="K1864" s="1" t="s">
        <v>4368</v>
      </c>
    </row>
    <row r="1865" spans="1:11" x14ac:dyDescent="0.35">
      <c r="A1865" s="1" t="s">
        <v>4201</v>
      </c>
      <c r="B1865" s="1" t="s">
        <v>4202</v>
      </c>
      <c r="C1865" s="1" t="s">
        <v>4208</v>
      </c>
      <c r="D1865" s="1" t="str">
        <f>"6115"</f>
        <v>6115</v>
      </c>
      <c r="E1865" s="1" t="str">
        <f>"015476738"</f>
        <v>015476738</v>
      </c>
      <c r="F1865" s="1" t="s">
        <v>4139</v>
      </c>
      <c r="G1865" s="1" t="s">
        <v>16</v>
      </c>
      <c r="H1865" s="1" t="str">
        <f>"1"</f>
        <v>1</v>
      </c>
      <c r="I1865" s="2" t="str">
        <f>"135000"</f>
        <v>135000</v>
      </c>
      <c r="J1865" s="3">
        <v>46142</v>
      </c>
      <c r="K1865" s="1" t="s">
        <v>4209</v>
      </c>
    </row>
    <row r="1866" spans="1:11" x14ac:dyDescent="0.35">
      <c r="A1866" s="1" t="s">
        <v>4201</v>
      </c>
      <c r="B1866" s="1" t="s">
        <v>4213</v>
      </c>
      <c r="C1866" s="1" t="s">
        <v>4214</v>
      </c>
      <c r="D1866" s="1" t="str">
        <f>"1005"</f>
        <v>1005</v>
      </c>
      <c r="E1866" s="1" t="str">
        <f>"014536655"</f>
        <v>014536655</v>
      </c>
      <c r="F1866" s="1" t="s">
        <v>1979</v>
      </c>
      <c r="G1866" s="1" t="s">
        <v>16</v>
      </c>
      <c r="H1866" s="1" t="str">
        <f>"90"</f>
        <v>90</v>
      </c>
      <c r="I1866" s="2">
        <v>4.9400000000000004</v>
      </c>
      <c r="J1866" s="3">
        <v>46142</v>
      </c>
      <c r="K1866" s="1" t="s">
        <v>4215</v>
      </c>
    </row>
    <row r="1867" spans="1:11" x14ac:dyDescent="0.35">
      <c r="A1867" s="1" t="s">
        <v>4201</v>
      </c>
      <c r="B1867" s="1" t="s">
        <v>4220</v>
      </c>
      <c r="C1867" s="1" t="s">
        <v>4223</v>
      </c>
      <c r="D1867" s="1" t="str">
        <f>"6910"</f>
        <v>6910</v>
      </c>
      <c r="E1867" s="1" t="s">
        <v>1124</v>
      </c>
      <c r="F1867" s="1" t="s">
        <v>1125</v>
      </c>
      <c r="G1867" s="1" t="s">
        <v>16</v>
      </c>
      <c r="H1867" s="1" t="str">
        <f>"3"</f>
        <v>3</v>
      </c>
      <c r="I1867" s="2" t="str">
        <f>"250"</f>
        <v>250</v>
      </c>
      <c r="J1867" s="3">
        <v>46142</v>
      </c>
      <c r="K1867" s="1" t="s">
        <v>4224</v>
      </c>
    </row>
    <row r="1868" spans="1:11" x14ac:dyDescent="0.35">
      <c r="A1868" s="1" t="s">
        <v>4201</v>
      </c>
      <c r="B1868" s="1" t="s">
        <v>4260</v>
      </c>
      <c r="C1868" s="1" t="s">
        <v>4265</v>
      </c>
      <c r="D1868" s="1" t="str">
        <f>"2540"</f>
        <v>2540</v>
      </c>
      <c r="E1868" s="1" t="str">
        <f>"014797911"</f>
        <v>014797911</v>
      </c>
      <c r="F1868" s="1" t="s">
        <v>2324</v>
      </c>
      <c r="G1868" s="1" t="s">
        <v>16</v>
      </c>
      <c r="H1868" s="1" t="str">
        <f>"1"</f>
        <v>1</v>
      </c>
      <c r="I1868" s="2">
        <v>1250.55</v>
      </c>
      <c r="J1868" s="3">
        <v>46142</v>
      </c>
      <c r="K1868" s="1" t="s">
        <v>4266</v>
      </c>
    </row>
    <row r="1869" spans="1:11" x14ac:dyDescent="0.35">
      <c r="A1869" s="1" t="s">
        <v>4201</v>
      </c>
      <c r="B1869" s="1" t="s">
        <v>4220</v>
      </c>
      <c r="C1869" s="1" t="s">
        <v>4221</v>
      </c>
      <c r="D1869" s="1" t="str">
        <f>"1095"</f>
        <v>1095</v>
      </c>
      <c r="E1869" s="1" t="str">
        <f>"015267860"</f>
        <v>015267860</v>
      </c>
      <c r="F1869" s="1" t="s">
        <v>25</v>
      </c>
      <c r="G1869" s="1" t="s">
        <v>16</v>
      </c>
      <c r="H1869" s="1" t="str">
        <f>"2"</f>
        <v>2</v>
      </c>
      <c r="I1869" s="2" t="str">
        <f>"1107"</f>
        <v>1107</v>
      </c>
      <c r="J1869" s="3">
        <v>46147</v>
      </c>
      <c r="K1869" s="1" t="s">
        <v>4222</v>
      </c>
    </row>
    <row r="1870" spans="1:11" x14ac:dyDescent="0.35">
      <c r="A1870" s="1" t="s">
        <v>4201</v>
      </c>
      <c r="B1870" s="1" t="s">
        <v>4260</v>
      </c>
      <c r="C1870" s="1" t="s">
        <v>4263</v>
      </c>
      <c r="D1870" s="1" t="str">
        <f>"2340"</f>
        <v>2340</v>
      </c>
      <c r="E1870" s="1" t="s">
        <v>84</v>
      </c>
      <c r="F1870" s="1" t="s">
        <v>85</v>
      </c>
      <c r="G1870" s="1" t="s">
        <v>16</v>
      </c>
      <c r="H1870" s="1" t="str">
        <f>"1"</f>
        <v>1</v>
      </c>
      <c r="I1870" s="2">
        <v>16695.25</v>
      </c>
      <c r="J1870" s="3">
        <v>46147</v>
      </c>
      <c r="K1870" s="1" t="s">
        <v>4264</v>
      </c>
    </row>
    <row r="1871" spans="1:11" x14ac:dyDescent="0.35">
      <c r="A1871" s="1" t="s">
        <v>4201</v>
      </c>
      <c r="B1871" s="1" t="s">
        <v>4248</v>
      </c>
      <c r="C1871" s="1" t="s">
        <v>4255</v>
      </c>
      <c r="D1871" s="1" t="str">
        <f>"3930"</f>
        <v>3930</v>
      </c>
      <c r="E1871" s="1" t="s">
        <v>1476</v>
      </c>
      <c r="F1871" s="1" t="s">
        <v>1477</v>
      </c>
      <c r="G1871" s="1" t="s">
        <v>16</v>
      </c>
      <c r="H1871" s="1" t="str">
        <f>"1"</f>
        <v>1</v>
      </c>
      <c r="I1871" s="2" t="str">
        <f>"43860"</f>
        <v>43860</v>
      </c>
      <c r="J1871" s="3">
        <v>46149</v>
      </c>
      <c r="K1871" s="1" t="s">
        <v>4256</v>
      </c>
    </row>
    <row r="1872" spans="1:11" x14ac:dyDescent="0.35">
      <c r="A1872" s="1" t="s">
        <v>4201</v>
      </c>
      <c r="B1872" s="1" t="s">
        <v>4275</v>
      </c>
      <c r="C1872" s="1" t="s">
        <v>4279</v>
      </c>
      <c r="D1872" s="1" t="str">
        <f>"6515"</f>
        <v>6515</v>
      </c>
      <c r="E1872" s="1" t="str">
        <f>"015217976"</f>
        <v>015217976</v>
      </c>
      <c r="F1872" s="1" t="s">
        <v>4280</v>
      </c>
      <c r="G1872" s="1" t="s">
        <v>16</v>
      </c>
      <c r="H1872" s="1" t="str">
        <f>"6"</f>
        <v>6</v>
      </c>
      <c r="I1872" s="2">
        <v>31.1</v>
      </c>
      <c r="J1872" s="3">
        <v>46150</v>
      </c>
      <c r="K1872" s="1" t="s">
        <v>4281</v>
      </c>
    </row>
    <row r="1873" spans="1:11" x14ac:dyDescent="0.35">
      <c r="A1873" s="1" t="s">
        <v>4201</v>
      </c>
      <c r="B1873" s="1" t="s">
        <v>4275</v>
      </c>
      <c r="C1873" s="1" t="s">
        <v>4282</v>
      </c>
      <c r="D1873" s="1" t="str">
        <f>"6515"</f>
        <v>6515</v>
      </c>
      <c r="E1873" s="1" t="str">
        <f>"015217976"</f>
        <v>015217976</v>
      </c>
      <c r="F1873" s="1" t="s">
        <v>4280</v>
      </c>
      <c r="G1873" s="1" t="s">
        <v>16</v>
      </c>
      <c r="H1873" s="1" t="str">
        <f>"2"</f>
        <v>2</v>
      </c>
      <c r="I1873" s="2">
        <v>31.1</v>
      </c>
      <c r="J1873" s="3">
        <v>46150</v>
      </c>
      <c r="K1873" s="1" t="s">
        <v>4281</v>
      </c>
    </row>
    <row r="1874" spans="1:11" x14ac:dyDescent="0.35">
      <c r="A1874" s="1" t="s">
        <v>4201</v>
      </c>
      <c r="B1874" s="1" t="s">
        <v>4414</v>
      </c>
      <c r="C1874" s="1" t="s">
        <v>4415</v>
      </c>
      <c r="D1874" s="1" t="str">
        <f>"2330"</f>
        <v>2330</v>
      </c>
      <c r="E1874" s="1" t="s">
        <v>70</v>
      </c>
      <c r="F1874" s="1" t="s">
        <v>71</v>
      </c>
      <c r="G1874" s="1" t="s">
        <v>16</v>
      </c>
      <c r="H1874" s="1" t="str">
        <f>"1"</f>
        <v>1</v>
      </c>
      <c r="I1874" s="2" t="str">
        <f>"8510"</f>
        <v>8510</v>
      </c>
      <c r="J1874" s="3">
        <v>46153</v>
      </c>
      <c r="K1874" s="1" t="s">
        <v>4416</v>
      </c>
    </row>
    <row r="1875" spans="1:11" x14ac:dyDescent="0.35">
      <c r="A1875" s="1" t="s">
        <v>4201</v>
      </c>
      <c r="B1875" s="1" t="s">
        <v>4272</v>
      </c>
      <c r="C1875" s="1" t="s">
        <v>4273</v>
      </c>
      <c r="D1875" s="1" t="str">
        <f>"2340"</f>
        <v>2340</v>
      </c>
      <c r="E1875" s="1" t="s">
        <v>61</v>
      </c>
      <c r="F1875" s="1" t="s">
        <v>62</v>
      </c>
      <c r="G1875" s="1" t="s">
        <v>16</v>
      </c>
      <c r="H1875" s="1" t="str">
        <f>"2"</f>
        <v>2</v>
      </c>
      <c r="I1875" s="2" t="str">
        <f>"18399"</f>
        <v>18399</v>
      </c>
      <c r="J1875" s="3">
        <v>46154</v>
      </c>
      <c r="K1875" s="1" t="s">
        <v>4274</v>
      </c>
    </row>
    <row r="1876" spans="1:11" x14ac:dyDescent="0.35">
      <c r="A1876" s="1" t="s">
        <v>4201</v>
      </c>
      <c r="B1876" s="1" t="s">
        <v>4275</v>
      </c>
      <c r="C1876" s="1" t="s">
        <v>4290</v>
      </c>
      <c r="D1876" s="1" t="str">
        <f>"8415"</f>
        <v>8415</v>
      </c>
      <c r="E1876" s="1" t="str">
        <f>"015802497"</f>
        <v>015802497</v>
      </c>
      <c r="F1876" s="1" t="s">
        <v>1988</v>
      </c>
      <c r="G1876" s="1" t="s">
        <v>311</v>
      </c>
      <c r="H1876" s="1" t="str">
        <f>"7"</f>
        <v>7</v>
      </c>
      <c r="I1876" s="2">
        <v>120.1</v>
      </c>
      <c r="J1876" s="3">
        <v>46154</v>
      </c>
      <c r="K1876" s="1" t="s">
        <v>4291</v>
      </c>
    </row>
    <row r="1877" spans="1:11" x14ac:dyDescent="0.35">
      <c r="A1877" s="1" t="s">
        <v>4201</v>
      </c>
      <c r="B1877" s="1" t="s">
        <v>4275</v>
      </c>
      <c r="C1877" s="1" t="s">
        <v>4292</v>
      </c>
      <c r="D1877" s="1" t="str">
        <f>"8415"</f>
        <v>8415</v>
      </c>
      <c r="E1877" s="1" t="str">
        <f>"015802854"</f>
        <v>015802854</v>
      </c>
      <c r="F1877" s="1" t="s">
        <v>1892</v>
      </c>
      <c r="G1877" s="1" t="s">
        <v>16</v>
      </c>
      <c r="H1877" s="1" t="str">
        <f>"7"</f>
        <v>7</v>
      </c>
      <c r="I1877" s="2">
        <v>146.83000000000001</v>
      </c>
      <c r="J1877" s="3">
        <v>46154</v>
      </c>
      <c r="K1877" s="1" t="s">
        <v>4293</v>
      </c>
    </row>
    <row r="1878" spans="1:11" x14ac:dyDescent="0.35">
      <c r="A1878" s="1" t="s">
        <v>4201</v>
      </c>
      <c r="B1878" s="1" t="s">
        <v>4275</v>
      </c>
      <c r="C1878" s="1" t="s">
        <v>4296</v>
      </c>
      <c r="D1878" s="1" t="str">
        <f>"8415"</f>
        <v>8415</v>
      </c>
      <c r="E1878" s="1" t="str">
        <f>"015802504"</f>
        <v>015802504</v>
      </c>
      <c r="F1878" s="1" t="s">
        <v>1988</v>
      </c>
      <c r="G1878" s="1" t="s">
        <v>311</v>
      </c>
      <c r="H1878" s="1" t="str">
        <f>"4"</f>
        <v>4</v>
      </c>
      <c r="I1878" s="2">
        <v>120.1</v>
      </c>
      <c r="J1878" s="3">
        <v>46154</v>
      </c>
      <c r="K1878" s="1" t="s">
        <v>4295</v>
      </c>
    </row>
    <row r="1879" spans="1:11" x14ac:dyDescent="0.35">
      <c r="A1879" s="1" t="s">
        <v>4201</v>
      </c>
      <c r="B1879" s="1" t="s">
        <v>4308</v>
      </c>
      <c r="C1879" s="1" t="s">
        <v>4318</v>
      </c>
      <c r="D1879" s="1" t="str">
        <f>"3442"</f>
        <v>3442</v>
      </c>
      <c r="E1879" s="1" t="s">
        <v>4319</v>
      </c>
      <c r="F1879" s="1" t="s">
        <v>4320</v>
      </c>
      <c r="G1879" s="1" t="s">
        <v>16</v>
      </c>
      <c r="H1879" s="1" t="str">
        <f>"1"</f>
        <v>1</v>
      </c>
      <c r="I1879" s="2" t="str">
        <f>"8000"</f>
        <v>8000</v>
      </c>
      <c r="J1879" s="3">
        <v>46154</v>
      </c>
      <c r="K1879" s="1" t="s">
        <v>4321</v>
      </c>
    </row>
    <row r="1880" spans="1:11" x14ac:dyDescent="0.35">
      <c r="A1880" s="1" t="s">
        <v>4201</v>
      </c>
      <c r="B1880" s="1" t="s">
        <v>4308</v>
      </c>
      <c r="C1880" s="1" t="s">
        <v>4322</v>
      </c>
      <c r="D1880" s="1" t="str">
        <f>"3445"</f>
        <v>3445</v>
      </c>
      <c r="E1880" s="1" t="s">
        <v>4323</v>
      </c>
      <c r="F1880" s="1" t="s">
        <v>4324</v>
      </c>
      <c r="G1880" s="1" t="s">
        <v>16</v>
      </c>
      <c r="H1880" s="1" t="str">
        <f>"1"</f>
        <v>1</v>
      </c>
      <c r="I1880" s="2" t="str">
        <f>"1750"</f>
        <v>1750</v>
      </c>
      <c r="J1880" s="3">
        <v>46154</v>
      </c>
      <c r="K1880" s="1" t="s">
        <v>4325</v>
      </c>
    </row>
    <row r="1881" spans="1:11" x14ac:dyDescent="0.35">
      <c r="A1881" s="1" t="s">
        <v>4201</v>
      </c>
      <c r="B1881" s="1" t="s">
        <v>4339</v>
      </c>
      <c r="C1881" s="1" t="s">
        <v>4340</v>
      </c>
      <c r="D1881" s="1" t="str">
        <f>"2340"</f>
        <v>2340</v>
      </c>
      <c r="E1881" s="1" t="s">
        <v>61</v>
      </c>
      <c r="F1881" s="1" t="s">
        <v>62</v>
      </c>
      <c r="G1881" s="1" t="s">
        <v>16</v>
      </c>
      <c r="H1881" s="1" t="str">
        <f>"1"</f>
        <v>1</v>
      </c>
      <c r="I1881" s="2">
        <v>6659.75</v>
      </c>
      <c r="J1881" s="3">
        <v>46155</v>
      </c>
      <c r="K1881" s="1" t="s">
        <v>4341</v>
      </c>
    </row>
    <row r="1882" spans="1:11" x14ac:dyDescent="0.35">
      <c r="A1882" s="1" t="s">
        <v>4201</v>
      </c>
      <c r="B1882" s="1" t="s">
        <v>4386</v>
      </c>
      <c r="C1882" s="1" t="s">
        <v>4387</v>
      </c>
      <c r="D1882" s="1" t="str">
        <f>"2320"</f>
        <v>2320</v>
      </c>
      <c r="E1882" s="1" t="str">
        <f>"015756182"</f>
        <v>015756182</v>
      </c>
      <c r="F1882" s="1" t="s">
        <v>370</v>
      </c>
      <c r="G1882" s="1" t="s">
        <v>16</v>
      </c>
      <c r="H1882" s="1" t="str">
        <f>"1"</f>
        <v>1</v>
      </c>
      <c r="I1882" s="2" t="str">
        <f>"28200"</f>
        <v>28200</v>
      </c>
      <c r="J1882" s="3">
        <v>46155</v>
      </c>
      <c r="K1882" s="1" t="s">
        <v>4388</v>
      </c>
    </row>
    <row r="1883" spans="1:11" x14ac:dyDescent="0.35">
      <c r="A1883" s="1" t="s">
        <v>4201</v>
      </c>
      <c r="B1883" s="1" t="s">
        <v>4389</v>
      </c>
      <c r="C1883" s="1" t="s">
        <v>4390</v>
      </c>
      <c r="D1883" s="1" t="str">
        <f>"2320"</f>
        <v>2320</v>
      </c>
      <c r="E1883" s="1" t="str">
        <f>"012157631"</f>
        <v>012157631</v>
      </c>
      <c r="F1883" s="1" t="s">
        <v>360</v>
      </c>
      <c r="G1883" s="1" t="s">
        <v>16</v>
      </c>
      <c r="H1883" s="1" t="str">
        <f>"1"</f>
        <v>1</v>
      </c>
      <c r="I1883" s="2" t="str">
        <f>"33082"</f>
        <v>33082</v>
      </c>
      <c r="J1883" s="3">
        <v>46155</v>
      </c>
      <c r="K1883" s="1" t="s">
        <v>4391</v>
      </c>
    </row>
    <row r="1884" spans="1:11" x14ac:dyDescent="0.35">
      <c r="A1884" s="1" t="s">
        <v>4201</v>
      </c>
      <c r="B1884" s="1" t="s">
        <v>4297</v>
      </c>
      <c r="C1884" s="1" t="s">
        <v>4300</v>
      </c>
      <c r="D1884" s="1" t="str">
        <f>"3431"</f>
        <v>3431</v>
      </c>
      <c r="E1884" s="1" t="s">
        <v>4301</v>
      </c>
      <c r="F1884" s="1" t="s">
        <v>4302</v>
      </c>
      <c r="G1884" s="1" t="s">
        <v>16</v>
      </c>
      <c r="H1884" s="1" t="str">
        <f>"8"</f>
        <v>8</v>
      </c>
      <c r="I1884" s="2" t="str">
        <f>"8000"</f>
        <v>8000</v>
      </c>
      <c r="J1884" s="3">
        <v>46156</v>
      </c>
      <c r="K1884" s="1" t="s">
        <v>4303</v>
      </c>
    </row>
    <row r="1885" spans="1:11" x14ac:dyDescent="0.35">
      <c r="A1885" s="1" t="s">
        <v>4201</v>
      </c>
      <c r="B1885" s="1" t="s">
        <v>4275</v>
      </c>
      <c r="C1885" s="1" t="s">
        <v>4288</v>
      </c>
      <c r="D1885" s="1" t="str">
        <f>"6650"</f>
        <v>6650</v>
      </c>
      <c r="E1885" s="1" t="s">
        <v>2750</v>
      </c>
      <c r="F1885" s="1" t="s">
        <v>2751</v>
      </c>
      <c r="G1885" s="1" t="s">
        <v>16</v>
      </c>
      <c r="H1885" s="1" t="str">
        <f>"9"</f>
        <v>9</v>
      </c>
      <c r="I1885" s="2" t="str">
        <f>"919"</f>
        <v>919</v>
      </c>
      <c r="J1885" s="3">
        <v>46157</v>
      </c>
      <c r="K1885" s="1" t="s">
        <v>4289</v>
      </c>
    </row>
    <row r="1886" spans="1:11" x14ac:dyDescent="0.35">
      <c r="A1886" s="1" t="s">
        <v>4201</v>
      </c>
      <c r="B1886" s="1" t="s">
        <v>4344</v>
      </c>
      <c r="C1886" s="1" t="s">
        <v>4345</v>
      </c>
      <c r="D1886" s="1" t="str">
        <f>"2310"</f>
        <v>2310</v>
      </c>
      <c r="E1886" s="1" t="str">
        <f>"011350996"</f>
        <v>011350996</v>
      </c>
      <c r="F1886" s="1" t="s">
        <v>1489</v>
      </c>
      <c r="G1886" s="1" t="s">
        <v>16</v>
      </c>
      <c r="H1886" s="1" t="str">
        <f>"1"</f>
        <v>1</v>
      </c>
      <c r="I1886" s="2" t="str">
        <f>"80000"</f>
        <v>80000</v>
      </c>
      <c r="J1886" s="3">
        <v>46161</v>
      </c>
      <c r="K1886" s="1" t="s">
        <v>4346</v>
      </c>
    </row>
    <row r="1887" spans="1:11" x14ac:dyDescent="0.35">
      <c r="A1887" s="1" t="s">
        <v>4201</v>
      </c>
      <c r="B1887" s="1" t="s">
        <v>4397</v>
      </c>
      <c r="C1887" s="1" t="s">
        <v>4400</v>
      </c>
      <c r="D1887" s="1" t="str">
        <f>"2330"</f>
        <v>2330</v>
      </c>
      <c r="E1887" s="1" t="str">
        <f>"016131206"</f>
        <v>016131206</v>
      </c>
      <c r="F1887" s="1" t="s">
        <v>979</v>
      </c>
      <c r="G1887" s="1" t="s">
        <v>16</v>
      </c>
      <c r="H1887" s="1" t="str">
        <f>"1"</f>
        <v>1</v>
      </c>
      <c r="I1887" s="2" t="str">
        <f>"35000"</f>
        <v>35000</v>
      </c>
      <c r="J1887" s="3">
        <v>46163</v>
      </c>
      <c r="K1887" s="1" t="s">
        <v>4401</v>
      </c>
    </row>
    <row r="1888" spans="1:11" x14ac:dyDescent="0.35">
      <c r="A1888" s="1" t="s">
        <v>4201</v>
      </c>
      <c r="B1888" s="1" t="s">
        <v>4339</v>
      </c>
      <c r="C1888" s="1" t="s">
        <v>4342</v>
      </c>
      <c r="D1888" s="1" t="str">
        <f>"2340"</f>
        <v>2340</v>
      </c>
      <c r="E1888" s="1" t="s">
        <v>2548</v>
      </c>
      <c r="F1888" s="1" t="s">
        <v>2549</v>
      </c>
      <c r="G1888" s="1" t="s">
        <v>16</v>
      </c>
      <c r="H1888" s="1" t="str">
        <f>"1"</f>
        <v>1</v>
      </c>
      <c r="I1888" s="2" t="str">
        <f>"4593"</f>
        <v>4593</v>
      </c>
      <c r="J1888" s="3">
        <v>46168</v>
      </c>
      <c r="K1888" s="1" t="s">
        <v>4341</v>
      </c>
    </row>
    <row r="1889" spans="1:11" x14ac:dyDescent="0.35">
      <c r="A1889" s="1" t="s">
        <v>4201</v>
      </c>
      <c r="B1889" s="1" t="s">
        <v>4339</v>
      </c>
      <c r="C1889" s="1" t="s">
        <v>4343</v>
      </c>
      <c r="D1889" s="1" t="str">
        <f>"2340"</f>
        <v>2340</v>
      </c>
      <c r="E1889" s="1" t="s">
        <v>2548</v>
      </c>
      <c r="F1889" s="1" t="s">
        <v>2549</v>
      </c>
      <c r="G1889" s="1" t="s">
        <v>16</v>
      </c>
      <c r="H1889" s="1" t="str">
        <f>"1"</f>
        <v>1</v>
      </c>
      <c r="I1889" s="2" t="str">
        <f>"4593"</f>
        <v>4593</v>
      </c>
      <c r="J1889" s="3">
        <v>46168</v>
      </c>
      <c r="K1889" s="1" t="s">
        <v>4341</v>
      </c>
    </row>
    <row r="1890" spans="1:11" x14ac:dyDescent="0.35">
      <c r="A1890" s="1" t="s">
        <v>4201</v>
      </c>
      <c r="B1890" s="1" t="s">
        <v>4235</v>
      </c>
      <c r="C1890" s="1" t="s">
        <v>4238</v>
      </c>
      <c r="D1890" s="1" t="str">
        <f>"2320"</f>
        <v>2320</v>
      </c>
      <c r="E1890" s="1" t="s">
        <v>975</v>
      </c>
      <c r="F1890" s="1" t="s">
        <v>976</v>
      </c>
      <c r="G1890" s="1" t="s">
        <v>16</v>
      </c>
      <c r="H1890" s="1" t="str">
        <f>"1"</f>
        <v>1</v>
      </c>
      <c r="I1890" s="2" t="str">
        <f>"81000"</f>
        <v>81000</v>
      </c>
      <c r="J1890" s="3">
        <v>46169</v>
      </c>
      <c r="K1890" s="1" t="s">
        <v>4239</v>
      </c>
    </row>
    <row r="1891" spans="1:11" x14ac:dyDescent="0.35">
      <c r="A1891" s="1" t="s">
        <v>4201</v>
      </c>
      <c r="B1891" s="1" t="s">
        <v>4248</v>
      </c>
      <c r="C1891" s="1" t="s">
        <v>4253</v>
      </c>
      <c r="D1891" s="1" t="str">
        <f>"3805"</f>
        <v>3805</v>
      </c>
      <c r="E1891" s="1" t="str">
        <f>"012422560"</f>
        <v>012422560</v>
      </c>
      <c r="F1891" s="1" t="s">
        <v>132</v>
      </c>
      <c r="G1891" s="1" t="s">
        <v>16</v>
      </c>
      <c r="H1891" s="1" t="str">
        <f>"1"</f>
        <v>1</v>
      </c>
      <c r="I1891" s="2" t="str">
        <f>"192420"</f>
        <v>192420</v>
      </c>
      <c r="J1891" s="3">
        <v>46169</v>
      </c>
      <c r="K1891" s="1" t="s">
        <v>4254</v>
      </c>
    </row>
    <row r="1892" spans="1:11" x14ac:dyDescent="0.35">
      <c r="A1892" s="1" t="s">
        <v>4201</v>
      </c>
      <c r="B1892" s="1" t="s">
        <v>4397</v>
      </c>
      <c r="C1892" s="1" t="s">
        <v>4398</v>
      </c>
      <c r="D1892" s="1" t="str">
        <f>"2320"</f>
        <v>2320</v>
      </c>
      <c r="E1892" s="1" t="str">
        <f>"000064066"</f>
        <v>000064066</v>
      </c>
      <c r="F1892" s="1" t="s">
        <v>2297</v>
      </c>
      <c r="G1892" s="1" t="s">
        <v>16</v>
      </c>
      <c r="H1892" s="1" t="str">
        <f>"1"</f>
        <v>1</v>
      </c>
      <c r="I1892" s="2" t="str">
        <f>"110751"</f>
        <v>110751</v>
      </c>
      <c r="J1892" s="3">
        <v>46169</v>
      </c>
      <c r="K1892" s="1" t="s">
        <v>4399</v>
      </c>
    </row>
    <row r="1893" spans="1:11" x14ac:dyDescent="0.35">
      <c r="A1893" s="1" t="s">
        <v>4201</v>
      </c>
      <c r="B1893" s="1" t="s">
        <v>4397</v>
      </c>
      <c r="C1893" s="1" t="s">
        <v>4402</v>
      </c>
      <c r="D1893" s="1" t="str">
        <f>"2330"</f>
        <v>2330</v>
      </c>
      <c r="E1893" s="1" t="str">
        <f>"013875443"</f>
        <v>013875443</v>
      </c>
      <c r="F1893" s="1" t="s">
        <v>979</v>
      </c>
      <c r="G1893" s="1" t="s">
        <v>16</v>
      </c>
      <c r="H1893" s="1" t="str">
        <f>"2"</f>
        <v>2</v>
      </c>
      <c r="I1893" s="2" t="str">
        <f>"9535"</f>
        <v>9535</v>
      </c>
      <c r="J1893" s="3">
        <v>46169</v>
      </c>
      <c r="K1893" s="1" t="s">
        <v>4403</v>
      </c>
    </row>
    <row r="1894" spans="1:11" x14ac:dyDescent="0.35">
      <c r="A1894" s="1" t="s">
        <v>4201</v>
      </c>
      <c r="B1894" s="1" t="s">
        <v>4397</v>
      </c>
      <c r="C1894" s="1" t="s">
        <v>4406</v>
      </c>
      <c r="D1894" s="1" t="str">
        <f>"6115"</f>
        <v>6115</v>
      </c>
      <c r="E1894" s="1" t="str">
        <f>"016792558"</f>
        <v>016792558</v>
      </c>
      <c r="F1894" s="1" t="s">
        <v>1390</v>
      </c>
      <c r="G1894" s="1" t="s">
        <v>16</v>
      </c>
      <c r="H1894" s="1" t="str">
        <f>"1"</f>
        <v>1</v>
      </c>
      <c r="I1894" s="2" t="str">
        <f>"21771"</f>
        <v>21771</v>
      </c>
      <c r="J1894" s="3">
        <v>46169</v>
      </c>
      <c r="K1894" s="1" t="s">
        <v>4407</v>
      </c>
    </row>
    <row r="1895" spans="1:11" x14ac:dyDescent="0.35">
      <c r="A1895" s="1" t="s">
        <v>4201</v>
      </c>
      <c r="B1895" s="1" t="s">
        <v>4397</v>
      </c>
      <c r="C1895" s="1" t="s">
        <v>4410</v>
      </c>
      <c r="D1895" s="1" t="str">
        <f>"8145"</f>
        <v>8145</v>
      </c>
      <c r="E1895" s="1" t="str">
        <f>"014653621"</f>
        <v>014653621</v>
      </c>
      <c r="F1895" s="1" t="s">
        <v>423</v>
      </c>
      <c r="G1895" s="1" t="s">
        <v>16</v>
      </c>
      <c r="H1895" s="1" t="str">
        <f>"3"</f>
        <v>3</v>
      </c>
      <c r="I1895" s="2">
        <v>17477.91</v>
      </c>
      <c r="J1895" s="3">
        <v>46169</v>
      </c>
      <c r="K1895" s="1" t="s">
        <v>4411</v>
      </c>
    </row>
    <row r="1896" spans="1:11" x14ac:dyDescent="0.35">
      <c r="A1896" s="1" t="s">
        <v>4201</v>
      </c>
      <c r="B1896" s="1" t="s">
        <v>4225</v>
      </c>
      <c r="C1896" s="1" t="s">
        <v>4231</v>
      </c>
      <c r="D1896" s="1" t="str">
        <f>"3825"</f>
        <v>3825</v>
      </c>
      <c r="E1896" s="1" t="s">
        <v>2002</v>
      </c>
      <c r="F1896" s="1" t="s">
        <v>2003</v>
      </c>
      <c r="G1896" s="1" t="s">
        <v>16</v>
      </c>
      <c r="H1896" s="1" t="str">
        <f>"1"</f>
        <v>1</v>
      </c>
      <c r="I1896" s="2" t="str">
        <f>"1500"</f>
        <v>1500</v>
      </c>
      <c r="J1896" s="3">
        <v>46170</v>
      </c>
      <c r="K1896" s="1" t="s">
        <v>4232</v>
      </c>
    </row>
    <row r="1897" spans="1:11" x14ac:dyDescent="0.35">
      <c r="A1897" s="1" t="s">
        <v>4201</v>
      </c>
      <c r="B1897" s="1" t="s">
        <v>4225</v>
      </c>
      <c r="C1897" s="1" t="s">
        <v>4233</v>
      </c>
      <c r="D1897" s="1" t="str">
        <f>"3825"</f>
        <v>3825</v>
      </c>
      <c r="E1897" s="1" t="s">
        <v>2002</v>
      </c>
      <c r="F1897" s="1" t="s">
        <v>2003</v>
      </c>
      <c r="G1897" s="1" t="s">
        <v>16</v>
      </c>
      <c r="H1897" s="1" t="str">
        <f>"1"</f>
        <v>1</v>
      </c>
      <c r="I1897" s="2" t="str">
        <f>"1800"</f>
        <v>1800</v>
      </c>
      <c r="J1897" s="3">
        <v>46170</v>
      </c>
      <c r="K1897" s="1" t="s">
        <v>4234</v>
      </c>
    </row>
    <row r="1898" spans="1:11" x14ac:dyDescent="0.35">
      <c r="A1898" s="1" t="s">
        <v>4201</v>
      </c>
      <c r="B1898" s="1" t="s">
        <v>4428</v>
      </c>
      <c r="C1898" s="1" t="s">
        <v>4431</v>
      </c>
      <c r="D1898" s="1" t="str">
        <f>"5855"</f>
        <v>5855</v>
      </c>
      <c r="E1898" s="1" t="str">
        <f>"015053103"</f>
        <v>015053103</v>
      </c>
      <c r="F1898" s="1" t="s">
        <v>1366</v>
      </c>
      <c r="G1898" s="1" t="s">
        <v>16</v>
      </c>
      <c r="H1898" s="1" t="str">
        <f>"14"</f>
        <v>14</v>
      </c>
      <c r="I1898" s="2" t="str">
        <f>"6138"</f>
        <v>6138</v>
      </c>
      <c r="J1898" s="3">
        <v>46170</v>
      </c>
      <c r="K1898" s="1" t="s">
        <v>4432</v>
      </c>
    </row>
    <row r="1899" spans="1:11" x14ac:dyDescent="0.35">
      <c r="A1899" s="1" t="s">
        <v>4201</v>
      </c>
      <c r="B1899" s="1" t="s">
        <v>4417</v>
      </c>
      <c r="C1899" s="1" t="s">
        <v>4418</v>
      </c>
      <c r="D1899" s="1" t="str">
        <f>"8415"</f>
        <v>8415</v>
      </c>
      <c r="E1899" s="1" t="str">
        <f>"015066281"</f>
        <v>015066281</v>
      </c>
      <c r="F1899" s="1" t="s">
        <v>1205</v>
      </c>
      <c r="G1899" s="1" t="s">
        <v>16</v>
      </c>
      <c r="H1899" s="1" t="str">
        <f>"10"</f>
        <v>10</v>
      </c>
      <c r="I1899" s="2">
        <v>206.34</v>
      </c>
      <c r="J1899" s="3">
        <v>46171</v>
      </c>
      <c r="K1899" s="1" t="s">
        <v>4419</v>
      </c>
    </row>
    <row r="1900" spans="1:11" x14ac:dyDescent="0.35">
      <c r="A1900" s="1" t="s">
        <v>4201</v>
      </c>
      <c r="B1900" s="1" t="s">
        <v>4417</v>
      </c>
      <c r="C1900" s="1" t="s">
        <v>4420</v>
      </c>
      <c r="D1900" s="1" t="str">
        <f>"8465"</f>
        <v>8465</v>
      </c>
      <c r="E1900" s="1" t="str">
        <f>"016007830"</f>
        <v>016007830</v>
      </c>
      <c r="F1900" s="1" t="s">
        <v>259</v>
      </c>
      <c r="G1900" s="1" t="s">
        <v>16</v>
      </c>
      <c r="H1900" s="1" t="str">
        <f>"10"</f>
        <v>10</v>
      </c>
      <c r="I1900" s="2">
        <v>123.43</v>
      </c>
      <c r="J1900" s="3">
        <v>46171</v>
      </c>
      <c r="K1900" s="1" t="s">
        <v>4421</v>
      </c>
    </row>
    <row r="1901" spans="1:11" x14ac:dyDescent="0.35">
      <c r="A1901" s="1" t="s">
        <v>4201</v>
      </c>
      <c r="B1901" s="1" t="s">
        <v>4397</v>
      </c>
      <c r="C1901" s="1" t="s">
        <v>4408</v>
      </c>
      <c r="D1901" s="1" t="str">
        <f>"6115"</f>
        <v>6115</v>
      </c>
      <c r="E1901" s="1" t="str">
        <f>"013320741"</f>
        <v>013320741</v>
      </c>
      <c r="F1901" s="1" t="s">
        <v>224</v>
      </c>
      <c r="G1901" s="1" t="s">
        <v>16</v>
      </c>
      <c r="H1901" s="1" t="str">
        <f>"4"</f>
        <v>4</v>
      </c>
      <c r="I1901" s="2" t="str">
        <f>"16256"</f>
        <v>16256</v>
      </c>
      <c r="J1901" s="3">
        <v>46177</v>
      </c>
      <c r="K1901" s="1" t="s">
        <v>4409</v>
      </c>
    </row>
    <row r="1902" spans="1:11" x14ac:dyDescent="0.35">
      <c r="A1902" s="1" t="s">
        <v>4201</v>
      </c>
      <c r="B1902" s="1" t="s">
        <v>4397</v>
      </c>
      <c r="C1902" s="1" t="s">
        <v>4412</v>
      </c>
      <c r="D1902" s="1" t="str">
        <f>"8145"</f>
        <v>8145</v>
      </c>
      <c r="E1902" s="1" t="str">
        <f>"014653621"</f>
        <v>014653621</v>
      </c>
      <c r="F1902" s="1" t="s">
        <v>423</v>
      </c>
      <c r="G1902" s="1" t="s">
        <v>16</v>
      </c>
      <c r="H1902" s="1" t="str">
        <f>"4"</f>
        <v>4</v>
      </c>
      <c r="I1902" s="2">
        <v>17477.91</v>
      </c>
      <c r="J1902" s="3">
        <v>46177</v>
      </c>
      <c r="K1902" s="1" t="s">
        <v>4413</v>
      </c>
    </row>
    <row r="1903" spans="1:11" x14ac:dyDescent="0.35">
      <c r="A1903" s="1" t="s">
        <v>4201</v>
      </c>
      <c r="B1903" s="1" t="s">
        <v>4225</v>
      </c>
      <c r="C1903" s="1" t="s">
        <v>4226</v>
      </c>
      <c r="D1903" s="1" t="str">
        <f>"2320"</f>
        <v>2320</v>
      </c>
      <c r="E1903" s="1" t="str">
        <f>"014074416"</f>
        <v>014074416</v>
      </c>
      <c r="F1903" s="1" t="s">
        <v>4227</v>
      </c>
      <c r="G1903" s="1" t="s">
        <v>16</v>
      </c>
      <c r="H1903" s="1" t="str">
        <f>"1"</f>
        <v>1</v>
      </c>
      <c r="I1903" s="2" t="str">
        <f>"114012"</f>
        <v>114012</v>
      </c>
      <c r="J1903" s="3">
        <v>46178</v>
      </c>
      <c r="K1903" s="1" t="s">
        <v>4228</v>
      </c>
    </row>
    <row r="1904" spans="1:11" x14ac:dyDescent="0.35">
      <c r="A1904" s="1" t="s">
        <v>4201</v>
      </c>
      <c r="B1904" s="1" t="s">
        <v>4428</v>
      </c>
      <c r="C1904" s="1" t="s">
        <v>4433</v>
      </c>
      <c r="D1904" s="1" t="str">
        <f>"5855"</f>
        <v>5855</v>
      </c>
      <c r="E1904" s="1" t="str">
        <f>"015345931"</f>
        <v>015345931</v>
      </c>
      <c r="F1904" s="1" t="s">
        <v>1379</v>
      </c>
      <c r="G1904" s="1" t="s">
        <v>16</v>
      </c>
      <c r="H1904" s="1" t="str">
        <f>"30"</f>
        <v>30</v>
      </c>
      <c r="I1904" s="2" t="str">
        <f>"970"</f>
        <v>970</v>
      </c>
      <c r="J1904" s="3">
        <v>46178</v>
      </c>
      <c r="K1904" s="1" t="s">
        <v>4434</v>
      </c>
    </row>
    <row r="1905" spans="1:11" x14ac:dyDescent="0.35">
      <c r="A1905" s="1" t="s">
        <v>4201</v>
      </c>
      <c r="B1905" s="1" t="s">
        <v>4428</v>
      </c>
      <c r="C1905" s="1" t="s">
        <v>4435</v>
      </c>
      <c r="D1905" s="1" t="str">
        <f>"5855"</f>
        <v>5855</v>
      </c>
      <c r="E1905" s="1" t="str">
        <f>"015345931"</f>
        <v>015345931</v>
      </c>
      <c r="F1905" s="1" t="s">
        <v>1379</v>
      </c>
      <c r="G1905" s="1" t="s">
        <v>16</v>
      </c>
      <c r="H1905" s="1" t="str">
        <f>"22"</f>
        <v>22</v>
      </c>
      <c r="I1905" s="2" t="str">
        <f>"970"</f>
        <v>970</v>
      </c>
      <c r="J1905" s="3">
        <v>46178</v>
      </c>
      <c r="K1905" s="1" t="s">
        <v>4434</v>
      </c>
    </row>
    <row r="1906" spans="1:11" x14ac:dyDescent="0.35">
      <c r="A1906" s="1" t="s">
        <v>4201</v>
      </c>
      <c r="B1906" s="1" t="s">
        <v>4389</v>
      </c>
      <c r="C1906" s="1" t="s">
        <v>4393</v>
      </c>
      <c r="D1906" s="1" t="str">
        <f>"2330"</f>
        <v>2330</v>
      </c>
      <c r="E1906" s="1" t="s">
        <v>70</v>
      </c>
      <c r="F1906" s="1" t="s">
        <v>71</v>
      </c>
      <c r="G1906" s="1" t="s">
        <v>16</v>
      </c>
      <c r="H1906" s="1" t="str">
        <f>"1"</f>
        <v>1</v>
      </c>
      <c r="I1906" s="2" t="str">
        <f>"79455"</f>
        <v>79455</v>
      </c>
      <c r="J1906" s="3">
        <v>46181</v>
      </c>
      <c r="K1906" s="1" t="s">
        <v>4394</v>
      </c>
    </row>
    <row r="1907" spans="1:11" x14ac:dyDescent="0.35">
      <c r="A1907" s="1" t="s">
        <v>4201</v>
      </c>
      <c r="B1907" s="1" t="s">
        <v>4275</v>
      </c>
      <c r="C1907" s="1" t="s">
        <v>4294</v>
      </c>
      <c r="D1907" s="1" t="str">
        <f>"8415"</f>
        <v>8415</v>
      </c>
      <c r="E1907" s="1" t="str">
        <f>"015802468"</f>
        <v>015802468</v>
      </c>
      <c r="F1907" s="1" t="s">
        <v>1988</v>
      </c>
      <c r="G1907" s="1" t="s">
        <v>311</v>
      </c>
      <c r="H1907" s="1" t="str">
        <f>"5"</f>
        <v>5</v>
      </c>
      <c r="I1907" s="2">
        <v>120.1</v>
      </c>
      <c r="J1907" s="3">
        <v>46182</v>
      </c>
      <c r="K1907" s="1" t="s">
        <v>4295</v>
      </c>
    </row>
    <row r="1908" spans="1:11" x14ac:dyDescent="0.35">
      <c r="A1908" s="1" t="s">
        <v>4201</v>
      </c>
      <c r="B1908" s="1" t="s">
        <v>4344</v>
      </c>
      <c r="C1908" s="1" t="s">
        <v>4351</v>
      </c>
      <c r="D1908" s="1" t="str">
        <f>"2330"</f>
        <v>2330</v>
      </c>
      <c r="E1908" s="1" t="s">
        <v>70</v>
      </c>
      <c r="F1908" s="1" t="s">
        <v>71</v>
      </c>
      <c r="G1908" s="1" t="s">
        <v>16</v>
      </c>
      <c r="H1908" s="1" t="str">
        <f>"1"</f>
        <v>1</v>
      </c>
      <c r="I1908" s="2" t="str">
        <f>"13040"</f>
        <v>13040</v>
      </c>
      <c r="J1908" s="3">
        <v>46184</v>
      </c>
      <c r="K1908" s="1" t="s">
        <v>4352</v>
      </c>
    </row>
    <row r="1909" spans="1:11" x14ac:dyDescent="0.35">
      <c r="A1909" s="1" t="s">
        <v>4201</v>
      </c>
      <c r="B1909" s="1" t="s">
        <v>4344</v>
      </c>
      <c r="C1909" s="1" t="s">
        <v>4365</v>
      </c>
      <c r="D1909" s="1" t="str">
        <f>"6115"</f>
        <v>6115</v>
      </c>
      <c r="E1909" s="1" t="s">
        <v>1106</v>
      </c>
      <c r="F1909" s="1" t="s">
        <v>1107</v>
      </c>
      <c r="G1909" s="1" t="s">
        <v>16</v>
      </c>
      <c r="H1909" s="1" t="str">
        <f>"2"</f>
        <v>2</v>
      </c>
      <c r="I1909" s="2" t="str">
        <f>"1200"</f>
        <v>1200</v>
      </c>
      <c r="J1909" s="3">
        <v>46184</v>
      </c>
      <c r="K1909" s="1" t="s">
        <v>4366</v>
      </c>
    </row>
    <row r="1910" spans="1:11" x14ac:dyDescent="0.35">
      <c r="A1910" s="1" t="s">
        <v>4201</v>
      </c>
      <c r="B1910" s="1" t="s">
        <v>4389</v>
      </c>
      <c r="C1910" s="1" t="s">
        <v>4392</v>
      </c>
      <c r="D1910" s="1" t="str">
        <f>"2320"</f>
        <v>2320</v>
      </c>
      <c r="E1910" s="1" t="str">
        <f>"011233999"</f>
        <v>011233999</v>
      </c>
      <c r="F1910" s="1" t="s">
        <v>271</v>
      </c>
      <c r="G1910" s="1" t="s">
        <v>16</v>
      </c>
      <c r="H1910" s="1" t="str">
        <f>"1"</f>
        <v>1</v>
      </c>
      <c r="I1910" s="2" t="str">
        <f>"11561"</f>
        <v>11561</v>
      </c>
      <c r="J1910" s="3">
        <v>46184</v>
      </c>
      <c r="K1910" s="1" t="s">
        <v>5165</v>
      </c>
    </row>
    <row r="1911" spans="1:11" x14ac:dyDescent="0.35">
      <c r="A1911" s="1" t="s">
        <v>4201</v>
      </c>
      <c r="B1911" s="1" t="s">
        <v>4428</v>
      </c>
      <c r="C1911" s="1" t="s">
        <v>4436</v>
      </c>
      <c r="D1911" s="1" t="str">
        <f>"5855"</f>
        <v>5855</v>
      </c>
      <c r="E1911" s="1" t="str">
        <f>"015675510"</f>
        <v>015675510</v>
      </c>
      <c r="F1911" s="1" t="s">
        <v>1770</v>
      </c>
      <c r="G1911" s="1" t="s">
        <v>16</v>
      </c>
      <c r="H1911" s="1" t="str">
        <f>"37"</f>
        <v>37</v>
      </c>
      <c r="I1911" s="2" t="str">
        <f>"10756"</f>
        <v>10756</v>
      </c>
      <c r="J1911" s="3">
        <v>46184</v>
      </c>
      <c r="K1911" s="1" t="s">
        <v>4437</v>
      </c>
    </row>
    <row r="1912" spans="1:11" x14ac:dyDescent="0.35">
      <c r="A1912" s="1" t="s">
        <v>4201</v>
      </c>
      <c r="B1912" s="1" t="s">
        <v>4269</v>
      </c>
      <c r="C1912" s="1" t="s">
        <v>4270</v>
      </c>
      <c r="D1912" s="1" t="str">
        <f>"2360"</f>
        <v>2360</v>
      </c>
      <c r="E1912" s="1" t="str">
        <f>"015900772"</f>
        <v>015900772</v>
      </c>
      <c r="F1912" s="1" t="s">
        <v>1695</v>
      </c>
      <c r="G1912" s="1" t="s">
        <v>16</v>
      </c>
      <c r="H1912" s="1" t="str">
        <f>"3"</f>
        <v>3</v>
      </c>
      <c r="I1912" s="2" t="str">
        <f>"232404"</f>
        <v>232404</v>
      </c>
      <c r="J1912" s="3">
        <v>46185</v>
      </c>
      <c r="K1912" s="1" t="s">
        <v>4271</v>
      </c>
    </row>
    <row r="1913" spans="1:11" x14ac:dyDescent="0.35">
      <c r="A1913" s="1" t="s">
        <v>4201</v>
      </c>
      <c r="B1913" s="1" t="s">
        <v>4275</v>
      </c>
      <c r="C1913" s="1" t="s">
        <v>4286</v>
      </c>
      <c r="D1913" s="1" t="str">
        <f>"6650"</f>
        <v>6650</v>
      </c>
      <c r="E1913" s="1" t="str">
        <f>"015114074"</f>
        <v>015114074</v>
      </c>
      <c r="F1913" s="1" t="s">
        <v>1680</v>
      </c>
      <c r="G1913" s="1" t="s">
        <v>16</v>
      </c>
      <c r="H1913" s="1" t="str">
        <f>"2"</f>
        <v>2</v>
      </c>
      <c r="I1913" s="2" t="str">
        <f>"10165"</f>
        <v>10165</v>
      </c>
      <c r="J1913" s="3">
        <v>46185</v>
      </c>
      <c r="K1913" s="1" t="s">
        <v>4287</v>
      </c>
    </row>
    <row r="1914" spans="1:11" x14ac:dyDescent="0.35">
      <c r="A1914" s="1" t="s">
        <v>4201</v>
      </c>
      <c r="B1914" s="1" t="s">
        <v>4225</v>
      </c>
      <c r="C1914" s="1" t="s">
        <v>4229</v>
      </c>
      <c r="D1914" s="1" t="str">
        <f>"2330"</f>
        <v>2330</v>
      </c>
      <c r="E1914" s="1" t="s">
        <v>70</v>
      </c>
      <c r="F1914" s="1" t="s">
        <v>71</v>
      </c>
      <c r="G1914" s="1" t="s">
        <v>16</v>
      </c>
      <c r="H1914" s="1" t="str">
        <f>"2"</f>
        <v>2</v>
      </c>
      <c r="I1914" s="2" t="str">
        <f>"3855"</f>
        <v>3855</v>
      </c>
      <c r="J1914" s="3">
        <v>46190</v>
      </c>
      <c r="K1914" s="1" t="s">
        <v>4230</v>
      </c>
    </row>
    <row r="1915" spans="1:11" x14ac:dyDescent="0.35">
      <c r="A1915" s="1" t="s">
        <v>4201</v>
      </c>
      <c r="B1915" s="1" t="s">
        <v>4235</v>
      </c>
      <c r="C1915" s="1" t="s">
        <v>4242</v>
      </c>
      <c r="D1915" s="1" t="str">
        <f>"2330"</f>
        <v>2330</v>
      </c>
      <c r="E1915" s="1" t="str">
        <f>"015183809"</f>
        <v>015183809</v>
      </c>
      <c r="F1915" s="1" t="s">
        <v>4243</v>
      </c>
      <c r="G1915" s="1" t="s">
        <v>16</v>
      </c>
      <c r="H1915" s="1" t="str">
        <f>"1"</f>
        <v>1</v>
      </c>
      <c r="I1915" s="2" t="str">
        <f>"20000"</f>
        <v>20000</v>
      </c>
      <c r="J1915" s="3">
        <v>46190</v>
      </c>
      <c r="K1915" s="1" t="s">
        <v>4244</v>
      </c>
    </row>
    <row r="1916" spans="1:11" x14ac:dyDescent="0.35">
      <c r="A1916" s="1" t="s">
        <v>4201</v>
      </c>
      <c r="B1916" s="1" t="s">
        <v>4248</v>
      </c>
      <c r="C1916" s="1" t="s">
        <v>4257</v>
      </c>
      <c r="D1916" s="1" t="str">
        <f>"3930"</f>
        <v>3930</v>
      </c>
      <c r="E1916" s="1" t="s">
        <v>1476</v>
      </c>
      <c r="F1916" s="1" t="s">
        <v>1477</v>
      </c>
      <c r="G1916" s="1" t="s">
        <v>16</v>
      </c>
      <c r="H1916" s="1" t="str">
        <f>"1"</f>
        <v>1</v>
      </c>
      <c r="I1916" s="2" t="str">
        <f>"2895"</f>
        <v>2895</v>
      </c>
      <c r="J1916" s="3">
        <v>46190</v>
      </c>
      <c r="K1916" s="1" t="s">
        <v>4258</v>
      </c>
    </row>
    <row r="1917" spans="1:11" x14ac:dyDescent="0.35">
      <c r="A1917" s="1" t="s">
        <v>4201</v>
      </c>
      <c r="B1917" s="1" t="s">
        <v>4248</v>
      </c>
      <c r="C1917" s="1" t="s">
        <v>4259</v>
      </c>
      <c r="D1917" s="1" t="str">
        <f>"3930"</f>
        <v>3930</v>
      </c>
      <c r="E1917" s="1" t="s">
        <v>1476</v>
      </c>
      <c r="F1917" s="1" t="s">
        <v>1477</v>
      </c>
      <c r="G1917" s="1" t="s">
        <v>16</v>
      </c>
      <c r="H1917" s="1" t="str">
        <f>"1"</f>
        <v>1</v>
      </c>
      <c r="I1917" s="2" t="str">
        <f>"5000"</f>
        <v>5000</v>
      </c>
      <c r="J1917" s="3">
        <v>46190</v>
      </c>
      <c r="K1917" s="1" t="s">
        <v>4258</v>
      </c>
    </row>
    <row r="1918" spans="1:11" x14ac:dyDescent="0.35">
      <c r="A1918" s="1" t="s">
        <v>4201</v>
      </c>
      <c r="B1918" s="1" t="s">
        <v>4260</v>
      </c>
      <c r="C1918" s="1" t="s">
        <v>4267</v>
      </c>
      <c r="D1918" s="1" t="str">
        <f>"3805"</f>
        <v>3805</v>
      </c>
      <c r="E1918" s="1" t="str">
        <f>"012422560"</f>
        <v>012422560</v>
      </c>
      <c r="F1918" s="1" t="s">
        <v>132</v>
      </c>
      <c r="G1918" s="1" t="s">
        <v>16</v>
      </c>
      <c r="H1918" s="1" t="str">
        <f>"1"</f>
        <v>1</v>
      </c>
      <c r="I1918" s="2" t="str">
        <f>"192420"</f>
        <v>192420</v>
      </c>
      <c r="J1918" s="3">
        <v>46191</v>
      </c>
      <c r="K1918" s="1" t="s">
        <v>4268</v>
      </c>
    </row>
    <row r="1919" spans="1:11" x14ac:dyDescent="0.35">
      <c r="A1919" s="1" t="s">
        <v>4201</v>
      </c>
      <c r="B1919" s="1" t="s">
        <v>4428</v>
      </c>
      <c r="C1919" s="1" t="s">
        <v>4440</v>
      </c>
      <c r="D1919" s="1" t="str">
        <f>"5965"</f>
        <v>5965</v>
      </c>
      <c r="E1919" s="1" t="str">
        <f>"016125328"</f>
        <v>016125328</v>
      </c>
      <c r="F1919" s="1" t="s">
        <v>1561</v>
      </c>
      <c r="G1919" s="1" t="s">
        <v>16</v>
      </c>
      <c r="H1919" s="1" t="str">
        <f>"3"</f>
        <v>3</v>
      </c>
      <c r="I1919" s="2" t="str">
        <f>"1602"</f>
        <v>1602</v>
      </c>
      <c r="J1919" s="3">
        <v>46191</v>
      </c>
      <c r="K1919" s="1" t="s">
        <v>4439</v>
      </c>
    </row>
    <row r="1920" spans="1:11" x14ac:dyDescent="0.35">
      <c r="A1920" s="1" t="s">
        <v>4201</v>
      </c>
      <c r="B1920" s="1" t="s">
        <v>4344</v>
      </c>
      <c r="C1920" s="1" t="s">
        <v>4347</v>
      </c>
      <c r="D1920" s="1" t="str">
        <f>"2310"</f>
        <v>2310</v>
      </c>
      <c r="E1920" s="1" t="s">
        <v>178</v>
      </c>
      <c r="F1920" s="1" t="s">
        <v>179</v>
      </c>
      <c r="G1920" s="1" t="s">
        <v>16</v>
      </c>
      <c r="H1920" s="1" t="str">
        <f>"1"</f>
        <v>1</v>
      </c>
      <c r="I1920" s="2" t="str">
        <f>"12554"</f>
        <v>12554</v>
      </c>
      <c r="J1920" s="3">
        <v>46195</v>
      </c>
      <c r="K1920" s="1" t="s">
        <v>4348</v>
      </c>
    </row>
    <row r="1921" spans="1:11" x14ac:dyDescent="0.35">
      <c r="A1921" s="1" t="s">
        <v>4201</v>
      </c>
      <c r="B1921" s="1" t="s">
        <v>4344</v>
      </c>
      <c r="C1921" s="1" t="s">
        <v>4353</v>
      </c>
      <c r="D1921" s="1" t="str">
        <f>"2340"</f>
        <v>2340</v>
      </c>
      <c r="E1921" s="1" t="s">
        <v>1446</v>
      </c>
      <c r="F1921" s="1" t="s">
        <v>1447</v>
      </c>
      <c r="G1921" s="1" t="s">
        <v>16</v>
      </c>
      <c r="H1921" s="1" t="str">
        <f>"1"</f>
        <v>1</v>
      </c>
      <c r="I1921" s="2" t="str">
        <f>"1000"</f>
        <v>1000</v>
      </c>
      <c r="J1921" s="3">
        <v>46197</v>
      </c>
      <c r="K1921" s="1" t="s">
        <v>4354</v>
      </c>
    </row>
    <row r="1922" spans="1:11" x14ac:dyDescent="0.35">
      <c r="A1922" s="1" t="s">
        <v>4201</v>
      </c>
      <c r="B1922" s="1" t="s">
        <v>4344</v>
      </c>
      <c r="C1922" s="1" t="s">
        <v>4357</v>
      </c>
      <c r="D1922" s="1" t="str">
        <f>"2420"</f>
        <v>2420</v>
      </c>
      <c r="E1922" s="1" t="s">
        <v>501</v>
      </c>
      <c r="F1922" s="1" t="s">
        <v>502</v>
      </c>
      <c r="G1922" s="1" t="s">
        <v>16</v>
      </c>
      <c r="H1922" s="1" t="str">
        <f>"1"</f>
        <v>1</v>
      </c>
      <c r="I1922" s="2" t="str">
        <f>"5000"</f>
        <v>5000</v>
      </c>
      <c r="J1922" s="3">
        <v>46197</v>
      </c>
      <c r="K1922" s="1" t="s">
        <v>4358</v>
      </c>
    </row>
    <row r="1923" spans="1:11" x14ac:dyDescent="0.35">
      <c r="A1923" s="1" t="s">
        <v>4201</v>
      </c>
      <c r="B1923" s="1" t="s">
        <v>4344</v>
      </c>
      <c r="C1923" s="1" t="s">
        <v>4363</v>
      </c>
      <c r="D1923" s="1" t="str">
        <f>"5130"</f>
        <v>5130</v>
      </c>
      <c r="E1923" s="1" t="s">
        <v>744</v>
      </c>
      <c r="F1923" s="1" t="s">
        <v>745</v>
      </c>
      <c r="G1923" s="1" t="s">
        <v>16</v>
      </c>
      <c r="H1923" s="1" t="str">
        <f>"1"</f>
        <v>1</v>
      </c>
      <c r="I1923" s="2">
        <v>344.63</v>
      </c>
      <c r="J1923" s="3">
        <v>46197</v>
      </c>
      <c r="K1923" s="1" t="s">
        <v>4364</v>
      </c>
    </row>
    <row r="1924" spans="1:11" x14ac:dyDescent="0.35">
      <c r="A1924" s="1" t="s">
        <v>4201</v>
      </c>
      <c r="B1924" s="1" t="s">
        <v>4344</v>
      </c>
      <c r="C1924" s="1" t="s">
        <v>4373</v>
      </c>
      <c r="D1924" s="1" t="str">
        <f>"8415"</f>
        <v>8415</v>
      </c>
      <c r="E1924" s="1" t="str">
        <f>"015386300"</f>
        <v>015386300</v>
      </c>
      <c r="F1924" s="1" t="s">
        <v>1718</v>
      </c>
      <c r="G1924" s="1" t="s">
        <v>16</v>
      </c>
      <c r="H1924" s="1" t="str">
        <f>"16"</f>
        <v>16</v>
      </c>
      <c r="I1924" s="2">
        <v>137.97999999999999</v>
      </c>
      <c r="J1924" s="3">
        <v>46197</v>
      </c>
      <c r="K1924" s="1" t="s">
        <v>4374</v>
      </c>
    </row>
    <row r="1925" spans="1:11" x14ac:dyDescent="0.35">
      <c r="A1925" s="1" t="s">
        <v>4201</v>
      </c>
      <c r="B1925" s="1" t="s">
        <v>4344</v>
      </c>
      <c r="C1925" s="1" t="s">
        <v>4375</v>
      </c>
      <c r="D1925" s="1" t="str">
        <f>"8465"</f>
        <v>8465</v>
      </c>
      <c r="E1925" s="1" t="str">
        <f>"011093369"</f>
        <v>011093369</v>
      </c>
      <c r="F1925" s="1" t="s">
        <v>647</v>
      </c>
      <c r="G1925" s="1" t="s">
        <v>16</v>
      </c>
      <c r="H1925" s="1" t="str">
        <f>"32"</f>
        <v>32</v>
      </c>
      <c r="I1925" s="2">
        <v>12.33</v>
      </c>
      <c r="J1925" s="3">
        <v>46197</v>
      </c>
      <c r="K1925" s="1" t="s">
        <v>4376</v>
      </c>
    </row>
    <row r="1926" spans="1:11" x14ac:dyDescent="0.35">
      <c r="A1926" s="1" t="s">
        <v>4201</v>
      </c>
      <c r="B1926" s="1" t="s">
        <v>4428</v>
      </c>
      <c r="C1926" s="1" t="s">
        <v>4429</v>
      </c>
      <c r="D1926" s="1" t="str">
        <f>"2330"</f>
        <v>2330</v>
      </c>
      <c r="E1926" s="1" t="s">
        <v>70</v>
      </c>
      <c r="F1926" s="1" t="s">
        <v>71</v>
      </c>
      <c r="G1926" s="1" t="s">
        <v>16</v>
      </c>
      <c r="H1926" s="1" t="str">
        <f>"1"</f>
        <v>1</v>
      </c>
      <c r="I1926" s="2" t="str">
        <f>"9000"</f>
        <v>9000</v>
      </c>
      <c r="J1926" s="3">
        <v>46197</v>
      </c>
      <c r="K1926" s="1" t="s">
        <v>4430</v>
      </c>
    </row>
    <row r="1927" spans="1:11" x14ac:dyDescent="0.35">
      <c r="A1927" s="1" t="s">
        <v>4201</v>
      </c>
      <c r="B1927" s="1" t="s">
        <v>4428</v>
      </c>
      <c r="C1927" s="1" t="s">
        <v>4438</v>
      </c>
      <c r="D1927" s="1" t="str">
        <f>"5965"</f>
        <v>5965</v>
      </c>
      <c r="E1927" s="1" t="str">
        <f>"016190258"</f>
        <v>016190258</v>
      </c>
      <c r="F1927" s="1" t="s">
        <v>1561</v>
      </c>
      <c r="G1927" s="1" t="s">
        <v>16</v>
      </c>
      <c r="H1927" s="1" t="str">
        <f>"24"</f>
        <v>24</v>
      </c>
      <c r="I1927" s="2" t="str">
        <f>"3049"</f>
        <v>3049</v>
      </c>
      <c r="J1927" s="3">
        <v>46198</v>
      </c>
      <c r="K1927" s="1" t="s">
        <v>4439</v>
      </c>
    </row>
    <row r="1928" spans="1:11" x14ac:dyDescent="0.35">
      <c r="A1928" s="1" t="s">
        <v>4441</v>
      </c>
      <c r="B1928" s="1" t="s">
        <v>4450</v>
      </c>
      <c r="C1928" s="1" t="s">
        <v>4475</v>
      </c>
      <c r="D1928" s="1" t="str">
        <f>"4130"</f>
        <v>4130</v>
      </c>
      <c r="E1928" s="1" t="str">
        <f>"014622100"</f>
        <v>014622100</v>
      </c>
      <c r="F1928" s="1" t="s">
        <v>4476</v>
      </c>
      <c r="G1928" s="1" t="s">
        <v>16</v>
      </c>
      <c r="H1928" s="1" t="str">
        <f>"2"</f>
        <v>2</v>
      </c>
      <c r="I1928" s="2">
        <v>414.33</v>
      </c>
      <c r="J1928" s="3">
        <v>46113</v>
      </c>
      <c r="K1928" s="1" t="s">
        <v>4477</v>
      </c>
    </row>
    <row r="1929" spans="1:11" x14ac:dyDescent="0.35">
      <c r="A1929" s="1" t="s">
        <v>4441</v>
      </c>
      <c r="B1929" s="1" t="s">
        <v>4450</v>
      </c>
      <c r="C1929" s="1" t="s">
        <v>4478</v>
      </c>
      <c r="D1929" s="1" t="str">
        <f>"4910"</f>
        <v>4910</v>
      </c>
      <c r="E1929" s="1" t="str">
        <f>"016203116"</f>
        <v>016203116</v>
      </c>
      <c r="F1929" s="1" t="s">
        <v>4479</v>
      </c>
      <c r="G1929" s="1" t="s">
        <v>215</v>
      </c>
      <c r="H1929" s="1" t="str">
        <f>"2"</f>
        <v>2</v>
      </c>
      <c r="I1929" s="2">
        <v>5039.3599999999997</v>
      </c>
      <c r="J1929" s="3">
        <v>46113</v>
      </c>
      <c r="K1929" s="1" t="s">
        <v>4480</v>
      </c>
    </row>
    <row r="1930" spans="1:11" x14ac:dyDescent="0.35">
      <c r="A1930" s="1" t="s">
        <v>4441</v>
      </c>
      <c r="B1930" s="1" t="s">
        <v>4450</v>
      </c>
      <c r="C1930" s="1" t="s">
        <v>4504</v>
      </c>
      <c r="D1930" s="1" t="str">
        <f>"5180"</f>
        <v>5180</v>
      </c>
      <c r="E1930" s="1" t="str">
        <f>"015848643"</f>
        <v>015848643</v>
      </c>
      <c r="F1930" s="1" t="s">
        <v>4505</v>
      </c>
      <c r="G1930" s="1" t="s">
        <v>16</v>
      </c>
      <c r="H1930" s="1" t="str">
        <f>"1"</f>
        <v>1</v>
      </c>
      <c r="I1930" s="2" t="str">
        <f>"78200"</f>
        <v>78200</v>
      </c>
      <c r="J1930" s="3">
        <v>46113</v>
      </c>
      <c r="K1930" s="1" t="s">
        <v>4506</v>
      </c>
    </row>
    <row r="1931" spans="1:11" x14ac:dyDescent="0.35">
      <c r="A1931" s="1" t="s">
        <v>4441</v>
      </c>
      <c r="B1931" s="1" t="s">
        <v>4450</v>
      </c>
      <c r="C1931" s="1" t="s">
        <v>4531</v>
      </c>
      <c r="D1931" s="1" t="str">
        <f>"7105"</f>
        <v>7105</v>
      </c>
      <c r="E1931" s="1" t="str">
        <f>"011543865"</f>
        <v>011543865</v>
      </c>
      <c r="F1931" s="1" t="s">
        <v>3136</v>
      </c>
      <c r="G1931" s="1" t="s">
        <v>16</v>
      </c>
      <c r="H1931" s="1" t="str">
        <f>"35"</f>
        <v>35</v>
      </c>
      <c r="I1931" s="2">
        <v>75.89</v>
      </c>
      <c r="J1931" s="3">
        <v>46113</v>
      </c>
      <c r="K1931" s="1" t="s">
        <v>4532</v>
      </c>
    </row>
    <row r="1932" spans="1:11" x14ac:dyDescent="0.35">
      <c r="A1932" s="1" t="s">
        <v>4441</v>
      </c>
      <c r="B1932" s="1" t="s">
        <v>4737</v>
      </c>
      <c r="C1932" s="1" t="s">
        <v>4738</v>
      </c>
      <c r="D1932" s="1" t="str">
        <f>"1095"</f>
        <v>1095</v>
      </c>
      <c r="E1932" s="1" t="str">
        <f>"015432189"</f>
        <v>015432189</v>
      </c>
      <c r="F1932" s="1" t="s">
        <v>25</v>
      </c>
      <c r="G1932" s="1" t="s">
        <v>16</v>
      </c>
      <c r="H1932" s="1" t="str">
        <f>"10"</f>
        <v>10</v>
      </c>
      <c r="I1932" s="2" t="str">
        <f>"959"</f>
        <v>959</v>
      </c>
      <c r="J1932" s="3">
        <v>46113</v>
      </c>
      <c r="K1932" s="1" t="s">
        <v>5165</v>
      </c>
    </row>
    <row r="1933" spans="1:11" x14ac:dyDescent="0.35">
      <c r="A1933" s="1" t="s">
        <v>4441</v>
      </c>
      <c r="B1933" s="1" t="s">
        <v>4450</v>
      </c>
      <c r="C1933" s="1" t="s">
        <v>4509</v>
      </c>
      <c r="D1933" s="1" t="str">
        <f>"5660"</f>
        <v>5660</v>
      </c>
      <c r="E1933" s="1" t="str">
        <f>"014956123"</f>
        <v>014956123</v>
      </c>
      <c r="F1933" s="1" t="s">
        <v>4510</v>
      </c>
      <c r="G1933" s="1" t="s">
        <v>16</v>
      </c>
      <c r="H1933" s="1" t="str">
        <f>"11"</f>
        <v>11</v>
      </c>
      <c r="I1933" s="2">
        <v>58.22</v>
      </c>
      <c r="J1933" s="3">
        <v>46119</v>
      </c>
      <c r="K1933" s="1" t="s">
        <v>4511</v>
      </c>
    </row>
    <row r="1934" spans="1:11" x14ac:dyDescent="0.35">
      <c r="A1934" s="1" t="s">
        <v>4441</v>
      </c>
      <c r="B1934" s="1" t="s">
        <v>4450</v>
      </c>
      <c r="C1934" s="1" t="s">
        <v>4516</v>
      </c>
      <c r="D1934" s="1" t="str">
        <f>"6115"</f>
        <v>6115</v>
      </c>
      <c r="E1934" s="1" t="s">
        <v>1106</v>
      </c>
      <c r="F1934" s="1" t="s">
        <v>1107</v>
      </c>
      <c r="G1934" s="1" t="s">
        <v>16</v>
      </c>
      <c r="H1934" s="1" t="str">
        <f>"1"</f>
        <v>1</v>
      </c>
      <c r="I1934" s="2" t="str">
        <f>"6125"</f>
        <v>6125</v>
      </c>
      <c r="J1934" s="3">
        <v>46119</v>
      </c>
      <c r="K1934" s="1" t="s">
        <v>4517</v>
      </c>
    </row>
    <row r="1935" spans="1:11" x14ac:dyDescent="0.35">
      <c r="A1935" s="1" t="s">
        <v>4441</v>
      </c>
      <c r="B1935" s="1" t="s">
        <v>4812</v>
      </c>
      <c r="C1935" s="1" t="s">
        <v>4827</v>
      </c>
      <c r="D1935" s="1" t="str">
        <f>"4940"</f>
        <v>4940</v>
      </c>
      <c r="E1935" s="1" t="s">
        <v>4828</v>
      </c>
      <c r="F1935" s="1" t="s">
        <v>4829</v>
      </c>
      <c r="G1935" s="1" t="s">
        <v>16</v>
      </c>
      <c r="H1935" s="1" t="str">
        <f>"1"</f>
        <v>1</v>
      </c>
      <c r="I1935" s="2" t="str">
        <f>"4775"</f>
        <v>4775</v>
      </c>
      <c r="J1935" s="3">
        <v>46119</v>
      </c>
      <c r="K1935" s="1" t="s">
        <v>4830</v>
      </c>
    </row>
    <row r="1936" spans="1:11" x14ac:dyDescent="0.35">
      <c r="A1936" s="1" t="s">
        <v>4441</v>
      </c>
      <c r="B1936" s="1" t="s">
        <v>4812</v>
      </c>
      <c r="C1936" s="1" t="s">
        <v>4844</v>
      </c>
      <c r="D1936" s="1" t="str">
        <f>"6115"</f>
        <v>6115</v>
      </c>
      <c r="E1936" s="1" t="str">
        <f>"012755061"</f>
        <v>012755061</v>
      </c>
      <c r="F1936" s="1" t="s">
        <v>1390</v>
      </c>
      <c r="G1936" s="1" t="s">
        <v>16</v>
      </c>
      <c r="H1936" s="1" t="str">
        <f>"3"</f>
        <v>3</v>
      </c>
      <c r="I1936" s="2" t="str">
        <f>"10700"</f>
        <v>10700</v>
      </c>
      <c r="J1936" s="3">
        <v>46119</v>
      </c>
      <c r="K1936" s="1" t="s">
        <v>4845</v>
      </c>
    </row>
    <row r="1937" spans="1:11" x14ac:dyDescent="0.35">
      <c r="A1937" s="1" t="s">
        <v>4441</v>
      </c>
      <c r="B1937" s="1" t="s">
        <v>4551</v>
      </c>
      <c r="C1937" s="1" t="s">
        <v>4552</v>
      </c>
      <c r="D1937" s="1" t="str">
        <f>"2320"</f>
        <v>2320</v>
      </c>
      <c r="E1937" s="1" t="str">
        <f>"010907896"</f>
        <v>010907896</v>
      </c>
      <c r="F1937" s="1" t="s">
        <v>271</v>
      </c>
      <c r="G1937" s="1" t="s">
        <v>16</v>
      </c>
      <c r="H1937" s="1" t="str">
        <f>"1"</f>
        <v>1</v>
      </c>
      <c r="I1937" s="2" t="str">
        <f>"24211"</f>
        <v>24211</v>
      </c>
      <c r="J1937" s="3">
        <v>46125</v>
      </c>
      <c r="K1937" s="1" t="s">
        <v>4553</v>
      </c>
    </row>
    <row r="1938" spans="1:11" x14ac:dyDescent="0.35">
      <c r="A1938" s="1" t="s">
        <v>4441</v>
      </c>
      <c r="B1938" s="1" t="s">
        <v>4591</v>
      </c>
      <c r="C1938" s="1" t="s">
        <v>4601</v>
      </c>
      <c r="D1938" s="1" t="str">
        <f>"6220"</f>
        <v>6220</v>
      </c>
      <c r="E1938" s="1" t="str">
        <f>"008086072"</f>
        <v>008086072</v>
      </c>
      <c r="F1938" s="1" t="s">
        <v>4602</v>
      </c>
      <c r="G1938" s="1" t="s">
        <v>16</v>
      </c>
      <c r="H1938" s="1" t="str">
        <f>"4"</f>
        <v>4</v>
      </c>
      <c r="I1938" s="2">
        <v>207.86</v>
      </c>
      <c r="J1938" s="3">
        <v>46125</v>
      </c>
      <c r="K1938" s="1" t="s">
        <v>4603</v>
      </c>
    </row>
    <row r="1939" spans="1:11" x14ac:dyDescent="0.35">
      <c r="A1939" s="1" t="s">
        <v>4441</v>
      </c>
      <c r="B1939" s="1" t="s">
        <v>4551</v>
      </c>
      <c r="C1939" s="1" t="s">
        <v>4554</v>
      </c>
      <c r="D1939" s="1" t="str">
        <f>"2340"</f>
        <v>2340</v>
      </c>
      <c r="E1939" s="1" t="s">
        <v>84</v>
      </c>
      <c r="F1939" s="1" t="s">
        <v>85</v>
      </c>
      <c r="G1939" s="1" t="s">
        <v>16</v>
      </c>
      <c r="H1939" s="1" t="str">
        <f>"2"</f>
        <v>2</v>
      </c>
      <c r="I1939" s="2" t="str">
        <f>"5699"</f>
        <v>5699</v>
      </c>
      <c r="J1939" s="3">
        <v>46126</v>
      </c>
      <c r="K1939" s="1" t="s">
        <v>4555</v>
      </c>
    </row>
    <row r="1940" spans="1:11" x14ac:dyDescent="0.35">
      <c r="A1940" s="1" t="s">
        <v>4441</v>
      </c>
      <c r="B1940" s="1" t="s">
        <v>4551</v>
      </c>
      <c r="C1940" s="1" t="s">
        <v>4560</v>
      </c>
      <c r="D1940" s="1" t="str">
        <f>"4240"</f>
        <v>4240</v>
      </c>
      <c r="E1940" s="1" t="s">
        <v>2930</v>
      </c>
      <c r="F1940" s="1" t="s">
        <v>2931</v>
      </c>
      <c r="G1940" s="1" t="s">
        <v>16</v>
      </c>
      <c r="H1940" s="1" t="str">
        <f>"4"</f>
        <v>4</v>
      </c>
      <c r="I1940" s="2" t="str">
        <f>"75"</f>
        <v>75</v>
      </c>
      <c r="J1940" s="3">
        <v>46126</v>
      </c>
      <c r="K1940" s="1" t="s">
        <v>4561</v>
      </c>
    </row>
    <row r="1941" spans="1:11" x14ac:dyDescent="0.35">
      <c r="A1941" s="1" t="s">
        <v>4441</v>
      </c>
      <c r="B1941" s="1" t="s">
        <v>4551</v>
      </c>
      <c r="C1941" s="1" t="s">
        <v>4562</v>
      </c>
      <c r="D1941" s="1" t="str">
        <f>"5855"</f>
        <v>5855</v>
      </c>
      <c r="E1941" s="1" t="s">
        <v>4563</v>
      </c>
      <c r="F1941" s="1" t="s">
        <v>4564</v>
      </c>
      <c r="G1941" s="1" t="s">
        <v>16</v>
      </c>
      <c r="H1941" s="1" t="str">
        <f>"12"</f>
        <v>12</v>
      </c>
      <c r="I1941" s="2" t="str">
        <f>"1200"</f>
        <v>1200</v>
      </c>
      <c r="J1941" s="3">
        <v>46126</v>
      </c>
      <c r="K1941" s="1" t="s">
        <v>4565</v>
      </c>
    </row>
    <row r="1942" spans="1:11" x14ac:dyDescent="0.35">
      <c r="A1942" s="1" t="s">
        <v>4441</v>
      </c>
      <c r="B1942" s="1" t="s">
        <v>4551</v>
      </c>
      <c r="C1942" s="1" t="s">
        <v>4566</v>
      </c>
      <c r="D1942" s="1" t="str">
        <f>"6115"</f>
        <v>6115</v>
      </c>
      <c r="E1942" s="1" t="str">
        <f>"013320741"</f>
        <v>013320741</v>
      </c>
      <c r="F1942" s="1" t="s">
        <v>224</v>
      </c>
      <c r="G1942" s="1" t="s">
        <v>16</v>
      </c>
      <c r="H1942" s="1" t="str">
        <f>"1"</f>
        <v>1</v>
      </c>
      <c r="I1942" s="2" t="str">
        <f>"16256"</f>
        <v>16256</v>
      </c>
      <c r="J1942" s="3">
        <v>46126</v>
      </c>
      <c r="K1942" s="1" t="s">
        <v>4567</v>
      </c>
    </row>
    <row r="1943" spans="1:11" x14ac:dyDescent="0.35">
      <c r="A1943" s="1" t="s">
        <v>4441</v>
      </c>
      <c r="B1943" s="1" t="s">
        <v>4551</v>
      </c>
      <c r="C1943" s="1" t="s">
        <v>4568</v>
      </c>
      <c r="D1943" s="1" t="str">
        <f>"6720"</f>
        <v>6720</v>
      </c>
      <c r="E1943" s="1" t="s">
        <v>2250</v>
      </c>
      <c r="F1943" s="1" t="s">
        <v>2251</v>
      </c>
      <c r="G1943" s="1" t="s">
        <v>16</v>
      </c>
      <c r="H1943" s="1" t="str">
        <f>"1"</f>
        <v>1</v>
      </c>
      <c r="I1943" s="2">
        <v>426.95</v>
      </c>
      <c r="J1943" s="3">
        <v>46126</v>
      </c>
      <c r="K1943" s="1" t="s">
        <v>4569</v>
      </c>
    </row>
    <row r="1944" spans="1:11" x14ac:dyDescent="0.35">
      <c r="A1944" s="1" t="s">
        <v>4441</v>
      </c>
      <c r="B1944" s="1" t="s">
        <v>4551</v>
      </c>
      <c r="C1944" s="1" t="s">
        <v>4570</v>
      </c>
      <c r="D1944" s="1" t="str">
        <f>"7025"</f>
        <v>7025</v>
      </c>
      <c r="E1944" s="1" t="s">
        <v>4571</v>
      </c>
      <c r="F1944" s="1" t="s">
        <v>4572</v>
      </c>
      <c r="G1944" s="1" t="s">
        <v>16</v>
      </c>
      <c r="H1944" s="1" t="str">
        <f>"1"</f>
        <v>1</v>
      </c>
      <c r="I1944" s="2">
        <v>129.99</v>
      </c>
      <c r="J1944" s="3">
        <v>46126</v>
      </c>
      <c r="K1944" s="1" t="s">
        <v>4573</v>
      </c>
    </row>
    <row r="1945" spans="1:11" x14ac:dyDescent="0.35">
      <c r="A1945" s="1" t="s">
        <v>4441</v>
      </c>
      <c r="B1945" s="1" t="s">
        <v>4581</v>
      </c>
      <c r="C1945" s="1" t="s">
        <v>4584</v>
      </c>
      <c r="D1945" s="1" t="str">
        <f>"6230"</f>
        <v>6230</v>
      </c>
      <c r="E1945" s="1" t="s">
        <v>2631</v>
      </c>
      <c r="F1945" s="1" t="s">
        <v>2632</v>
      </c>
      <c r="G1945" s="1" t="s">
        <v>16</v>
      </c>
      <c r="H1945" s="1" t="str">
        <f>"1"</f>
        <v>1</v>
      </c>
      <c r="I1945" s="2" t="str">
        <f>"6000"</f>
        <v>6000</v>
      </c>
      <c r="J1945" s="3">
        <v>46126</v>
      </c>
      <c r="K1945" s="1" t="s">
        <v>4585</v>
      </c>
    </row>
    <row r="1946" spans="1:11" x14ac:dyDescent="0.35">
      <c r="A1946" s="1" t="s">
        <v>4441</v>
      </c>
      <c r="B1946" s="1" t="s">
        <v>4581</v>
      </c>
      <c r="C1946" s="1" t="s">
        <v>4588</v>
      </c>
      <c r="D1946" s="1" t="str">
        <f>"8145"</f>
        <v>8145</v>
      </c>
      <c r="E1946" s="1" t="str">
        <f>"016288652"</f>
        <v>016288652</v>
      </c>
      <c r="F1946" s="1" t="s">
        <v>4589</v>
      </c>
      <c r="G1946" s="1" t="s">
        <v>16</v>
      </c>
      <c r="H1946" s="1" t="str">
        <f>"1"</f>
        <v>1</v>
      </c>
      <c r="I1946" s="2" t="str">
        <f>"250"</f>
        <v>250</v>
      </c>
      <c r="J1946" s="3">
        <v>46126</v>
      </c>
      <c r="K1946" s="1" t="s">
        <v>4590</v>
      </c>
    </row>
    <row r="1947" spans="1:11" x14ac:dyDescent="0.35">
      <c r="A1947" s="1" t="s">
        <v>4441</v>
      </c>
      <c r="B1947" s="1" t="s">
        <v>4576</v>
      </c>
      <c r="C1947" s="1" t="s">
        <v>4577</v>
      </c>
      <c r="D1947" s="1" t="str">
        <f>"1095"</f>
        <v>1095</v>
      </c>
      <c r="E1947" s="1" t="str">
        <f>"016029574"</f>
        <v>016029574</v>
      </c>
      <c r="F1947" s="1" t="s">
        <v>2010</v>
      </c>
      <c r="G1947" s="1" t="s">
        <v>16</v>
      </c>
      <c r="H1947" s="1" t="str">
        <f>"2"</f>
        <v>2</v>
      </c>
      <c r="I1947" s="2">
        <v>984.69</v>
      </c>
      <c r="J1947" s="3">
        <v>46127</v>
      </c>
      <c r="K1947" s="1" t="s">
        <v>4578</v>
      </c>
    </row>
    <row r="1948" spans="1:11" x14ac:dyDescent="0.35">
      <c r="A1948" s="1" t="s">
        <v>4441</v>
      </c>
      <c r="B1948" s="1" t="s">
        <v>4576</v>
      </c>
      <c r="C1948" s="1" t="s">
        <v>4579</v>
      </c>
      <c r="D1948" s="1" t="str">
        <f>"1095"</f>
        <v>1095</v>
      </c>
      <c r="E1948" s="1" t="str">
        <f>"015717275"</f>
        <v>015717275</v>
      </c>
      <c r="F1948" s="1" t="s">
        <v>2010</v>
      </c>
      <c r="G1948" s="1" t="s">
        <v>16</v>
      </c>
      <c r="H1948" s="1" t="str">
        <f>"1"</f>
        <v>1</v>
      </c>
      <c r="I1948" s="2">
        <v>1026.75</v>
      </c>
      <c r="J1948" s="3">
        <v>46127</v>
      </c>
      <c r="K1948" s="1" t="s">
        <v>4580</v>
      </c>
    </row>
    <row r="1949" spans="1:11" x14ac:dyDescent="0.35">
      <c r="A1949" s="1" t="s">
        <v>4441</v>
      </c>
      <c r="B1949" s="1" t="s">
        <v>4704</v>
      </c>
      <c r="C1949" s="1" t="s">
        <v>4705</v>
      </c>
      <c r="D1949" s="1" t="str">
        <f>"2330"</f>
        <v>2330</v>
      </c>
      <c r="E1949" s="1" t="s">
        <v>70</v>
      </c>
      <c r="F1949" s="1" t="s">
        <v>71</v>
      </c>
      <c r="G1949" s="1" t="s">
        <v>16</v>
      </c>
      <c r="H1949" s="1" t="str">
        <f>"1"</f>
        <v>1</v>
      </c>
      <c r="I1949" s="2" t="str">
        <f>"4343"</f>
        <v>4343</v>
      </c>
      <c r="J1949" s="3">
        <v>46127</v>
      </c>
      <c r="K1949" s="1" t="s">
        <v>4706</v>
      </c>
    </row>
    <row r="1950" spans="1:11" x14ac:dyDescent="0.35">
      <c r="A1950" s="1" t="s">
        <v>4441</v>
      </c>
      <c r="B1950" s="1" t="s">
        <v>4704</v>
      </c>
      <c r="C1950" s="1" t="s">
        <v>4707</v>
      </c>
      <c r="D1950" s="1" t="str">
        <f>"5855"</f>
        <v>5855</v>
      </c>
      <c r="E1950" s="1" t="s">
        <v>4563</v>
      </c>
      <c r="F1950" s="1" t="s">
        <v>4564</v>
      </c>
      <c r="G1950" s="1" t="s">
        <v>16</v>
      </c>
      <c r="H1950" s="1" t="str">
        <f>"4"</f>
        <v>4</v>
      </c>
      <c r="I1950" s="2" t="str">
        <f>"1200"</f>
        <v>1200</v>
      </c>
      <c r="J1950" s="3">
        <v>46127</v>
      </c>
      <c r="K1950" s="1" t="s">
        <v>4708</v>
      </c>
    </row>
    <row r="1951" spans="1:11" x14ac:dyDescent="0.35">
      <c r="A1951" s="1" t="s">
        <v>4441</v>
      </c>
      <c r="B1951" s="1" t="s">
        <v>4737</v>
      </c>
      <c r="C1951" s="1" t="s">
        <v>4758</v>
      </c>
      <c r="D1951" s="1" t="str">
        <f>"6515"</f>
        <v>6515</v>
      </c>
      <c r="E1951" s="1" t="str">
        <f>"015783465"</f>
        <v>015783465</v>
      </c>
      <c r="F1951" s="1" t="s">
        <v>2690</v>
      </c>
      <c r="G1951" s="1" t="s">
        <v>16</v>
      </c>
      <c r="H1951" s="1" t="str">
        <f>"1"</f>
        <v>1</v>
      </c>
      <c r="I1951" s="2">
        <v>2038.79</v>
      </c>
      <c r="J1951" s="3">
        <v>46133</v>
      </c>
      <c r="K1951" s="1" t="s">
        <v>4759</v>
      </c>
    </row>
    <row r="1952" spans="1:11" x14ac:dyDescent="0.35">
      <c r="A1952" s="1" t="s">
        <v>4441</v>
      </c>
      <c r="B1952" s="1" t="s">
        <v>4442</v>
      </c>
      <c r="C1952" s="1" t="s">
        <v>4448</v>
      </c>
      <c r="D1952" s="1" t="str">
        <f>"3930"</f>
        <v>3930</v>
      </c>
      <c r="E1952" s="1" t="str">
        <f>"011580849"</f>
        <v>011580849</v>
      </c>
      <c r="F1952" s="1" t="s">
        <v>1304</v>
      </c>
      <c r="G1952" s="1" t="s">
        <v>16</v>
      </c>
      <c r="H1952" s="1" t="str">
        <f>"1"</f>
        <v>1</v>
      </c>
      <c r="I1952" s="2" t="str">
        <f>"72370"</f>
        <v>72370</v>
      </c>
      <c r="J1952" s="3">
        <v>46134</v>
      </c>
      <c r="K1952" s="1" t="s">
        <v>4449</v>
      </c>
    </row>
    <row r="1953" spans="1:11" x14ac:dyDescent="0.35">
      <c r="A1953" s="1" t="s">
        <v>4441</v>
      </c>
      <c r="B1953" s="1" t="s">
        <v>4737</v>
      </c>
      <c r="C1953" s="1" t="s">
        <v>4743</v>
      </c>
      <c r="D1953" s="1" t="str">
        <f>"2530"</f>
        <v>2530</v>
      </c>
      <c r="E1953" s="1" t="str">
        <f>"015416816"</f>
        <v>015416816</v>
      </c>
      <c r="F1953" s="1" t="s">
        <v>1454</v>
      </c>
      <c r="G1953" s="1" t="s">
        <v>1168</v>
      </c>
      <c r="H1953" s="1" t="str">
        <f>"9"</f>
        <v>9</v>
      </c>
      <c r="I1953" s="2" t="str">
        <f>"2386"</f>
        <v>2386</v>
      </c>
      <c r="J1953" s="3">
        <v>46134</v>
      </c>
      <c r="K1953" s="1" t="s">
        <v>4744</v>
      </c>
    </row>
    <row r="1954" spans="1:11" x14ac:dyDescent="0.35">
      <c r="A1954" s="1" t="s">
        <v>4441</v>
      </c>
      <c r="B1954" s="1" t="s">
        <v>4591</v>
      </c>
      <c r="C1954" s="1" t="s">
        <v>4595</v>
      </c>
      <c r="D1954" s="1" t="str">
        <f>"4140"</f>
        <v>4140</v>
      </c>
      <c r="E1954" s="1" t="str">
        <f>"016243989"</f>
        <v>016243989</v>
      </c>
      <c r="F1954" s="1" t="s">
        <v>4596</v>
      </c>
      <c r="G1954" s="1" t="s">
        <v>16</v>
      </c>
      <c r="H1954" s="1" t="str">
        <f>"3"</f>
        <v>3</v>
      </c>
      <c r="I1954" s="2">
        <v>7255.85</v>
      </c>
      <c r="J1954" s="3">
        <v>46135</v>
      </c>
      <c r="K1954" s="1" t="s">
        <v>4597</v>
      </c>
    </row>
    <row r="1955" spans="1:11" x14ac:dyDescent="0.35">
      <c r="A1955" s="1" t="s">
        <v>4441</v>
      </c>
      <c r="B1955" s="1" t="s">
        <v>4591</v>
      </c>
      <c r="C1955" s="1" t="s">
        <v>4604</v>
      </c>
      <c r="D1955" s="1" t="str">
        <f>"8340"</f>
        <v>8340</v>
      </c>
      <c r="E1955" s="1" t="str">
        <f>"008172126"</f>
        <v>008172126</v>
      </c>
      <c r="F1955" s="1" t="s">
        <v>888</v>
      </c>
      <c r="G1955" s="1" t="s">
        <v>16</v>
      </c>
      <c r="H1955" s="1" t="str">
        <f>"3"</f>
        <v>3</v>
      </c>
      <c r="I1955" s="2">
        <v>297.19</v>
      </c>
      <c r="J1955" s="3">
        <v>46135</v>
      </c>
      <c r="K1955" s="1" t="s">
        <v>4605</v>
      </c>
    </row>
    <row r="1956" spans="1:11" x14ac:dyDescent="0.35">
      <c r="A1956" s="1" t="s">
        <v>4441</v>
      </c>
      <c r="B1956" s="1" t="s">
        <v>4591</v>
      </c>
      <c r="C1956" s="1" t="s">
        <v>4606</v>
      </c>
      <c r="D1956" s="1" t="str">
        <f>"8415"</f>
        <v>8415</v>
      </c>
      <c r="E1956" s="1" t="str">
        <f>"016017121"</f>
        <v>016017121</v>
      </c>
      <c r="F1956" s="1" t="s">
        <v>4607</v>
      </c>
      <c r="G1956" s="1" t="s">
        <v>16</v>
      </c>
      <c r="H1956" s="1" t="str">
        <f>"2"</f>
        <v>2</v>
      </c>
      <c r="I1956" s="2">
        <v>10.039999999999999</v>
      </c>
      <c r="J1956" s="3">
        <v>46135</v>
      </c>
      <c r="K1956" s="1" t="s">
        <v>4608</v>
      </c>
    </row>
    <row r="1957" spans="1:11" x14ac:dyDescent="0.35">
      <c r="A1957" s="1" t="s">
        <v>4441</v>
      </c>
      <c r="B1957" s="1" t="s">
        <v>4855</v>
      </c>
      <c r="C1957" s="1" t="s">
        <v>4862</v>
      </c>
      <c r="D1957" s="1" t="str">
        <f>"4120"</f>
        <v>4120</v>
      </c>
      <c r="E1957" s="1" t="str">
        <f>"016128300"</f>
        <v>016128300</v>
      </c>
      <c r="F1957" s="1" t="s">
        <v>3093</v>
      </c>
      <c r="G1957" s="1" t="s">
        <v>16</v>
      </c>
      <c r="H1957" s="1" t="str">
        <f>"1"</f>
        <v>1</v>
      </c>
      <c r="I1957" s="2">
        <v>5549.69</v>
      </c>
      <c r="J1957" s="3">
        <v>46135</v>
      </c>
      <c r="K1957" s="1" t="s">
        <v>4863</v>
      </c>
    </row>
    <row r="1958" spans="1:11" x14ac:dyDescent="0.35">
      <c r="A1958" s="1" t="s">
        <v>4441</v>
      </c>
      <c r="B1958" s="1" t="s">
        <v>4855</v>
      </c>
      <c r="C1958" s="1" t="s">
        <v>4864</v>
      </c>
      <c r="D1958" s="1" t="str">
        <f>"4120"</f>
        <v>4120</v>
      </c>
      <c r="E1958" s="1" t="str">
        <f>"016128300"</f>
        <v>016128300</v>
      </c>
      <c r="F1958" s="1" t="s">
        <v>3093</v>
      </c>
      <c r="G1958" s="1" t="s">
        <v>16</v>
      </c>
      <c r="H1958" s="1" t="str">
        <f>"1"</f>
        <v>1</v>
      </c>
      <c r="I1958" s="2">
        <v>5549.69</v>
      </c>
      <c r="J1958" s="3">
        <v>46135</v>
      </c>
      <c r="K1958" s="1" t="s">
        <v>4863</v>
      </c>
    </row>
    <row r="1959" spans="1:11" x14ac:dyDescent="0.35">
      <c r="A1959" s="1" t="s">
        <v>4441</v>
      </c>
      <c r="B1959" s="1" t="s">
        <v>4855</v>
      </c>
      <c r="C1959" s="1" t="s">
        <v>4865</v>
      </c>
      <c r="D1959" s="1" t="str">
        <f>"4120"</f>
        <v>4120</v>
      </c>
      <c r="E1959" s="1" t="str">
        <f>"016128300"</f>
        <v>016128300</v>
      </c>
      <c r="F1959" s="1" t="s">
        <v>3093</v>
      </c>
      <c r="G1959" s="1" t="s">
        <v>16</v>
      </c>
      <c r="H1959" s="1" t="str">
        <f>"2"</f>
        <v>2</v>
      </c>
      <c r="I1959" s="2">
        <v>5549.69</v>
      </c>
      <c r="J1959" s="3">
        <v>46135</v>
      </c>
      <c r="K1959" s="1" t="s">
        <v>4863</v>
      </c>
    </row>
    <row r="1960" spans="1:11" x14ac:dyDescent="0.35">
      <c r="A1960" s="1" t="s">
        <v>4441</v>
      </c>
      <c r="B1960" s="1" t="s">
        <v>4709</v>
      </c>
      <c r="C1960" s="1" t="s">
        <v>4732</v>
      </c>
      <c r="D1960" s="1" t="str">
        <f>"8465"</f>
        <v>8465</v>
      </c>
      <c r="E1960" s="1" t="str">
        <f>"013980687"</f>
        <v>013980687</v>
      </c>
      <c r="F1960" s="1" t="s">
        <v>644</v>
      </c>
      <c r="G1960" s="1" t="s">
        <v>16</v>
      </c>
      <c r="H1960" s="1" t="str">
        <f>"40"</f>
        <v>40</v>
      </c>
      <c r="I1960" s="2">
        <v>65.8</v>
      </c>
      <c r="J1960" s="3">
        <v>46140</v>
      </c>
      <c r="K1960" s="1" t="s">
        <v>4733</v>
      </c>
    </row>
    <row r="1961" spans="1:11" x14ac:dyDescent="0.35">
      <c r="A1961" s="1" t="s">
        <v>4441</v>
      </c>
      <c r="B1961" s="1" t="s">
        <v>4450</v>
      </c>
      <c r="C1961" s="1" t="s">
        <v>4473</v>
      </c>
      <c r="D1961" s="1" t="str">
        <f>"3930"</f>
        <v>3930</v>
      </c>
      <c r="E1961" s="1" t="s">
        <v>1476</v>
      </c>
      <c r="F1961" s="1" t="s">
        <v>1477</v>
      </c>
      <c r="G1961" s="1" t="s">
        <v>16</v>
      </c>
      <c r="H1961" s="1" t="str">
        <f>"1"</f>
        <v>1</v>
      </c>
      <c r="I1961" s="2" t="str">
        <f>"43860"</f>
        <v>43860</v>
      </c>
      <c r="J1961" s="3">
        <v>46142</v>
      </c>
      <c r="K1961" s="1" t="s">
        <v>4474</v>
      </c>
    </row>
    <row r="1962" spans="1:11" x14ac:dyDescent="0.35">
      <c r="A1962" s="1" t="s">
        <v>4441</v>
      </c>
      <c r="B1962" s="1" t="s">
        <v>4581</v>
      </c>
      <c r="C1962" s="1" t="s">
        <v>4582</v>
      </c>
      <c r="D1962" s="1" t="str">
        <f>"2330"</f>
        <v>2330</v>
      </c>
      <c r="E1962" s="1" t="str">
        <f>"013875443"</f>
        <v>013875443</v>
      </c>
      <c r="F1962" s="1" t="s">
        <v>979</v>
      </c>
      <c r="G1962" s="1" t="s">
        <v>16</v>
      </c>
      <c r="H1962" s="1" t="str">
        <f>"1"</f>
        <v>1</v>
      </c>
      <c r="I1962" s="2" t="str">
        <f>"9535"</f>
        <v>9535</v>
      </c>
      <c r="J1962" s="3">
        <v>46146</v>
      </c>
      <c r="K1962" s="1" t="s">
        <v>4583</v>
      </c>
    </row>
    <row r="1963" spans="1:11" x14ac:dyDescent="0.35">
      <c r="A1963" s="1" t="s">
        <v>4441</v>
      </c>
      <c r="B1963" s="1" t="s">
        <v>4581</v>
      </c>
      <c r="C1963" s="1" t="s">
        <v>4586</v>
      </c>
      <c r="D1963" s="1" t="str">
        <f>"7025"</f>
        <v>7025</v>
      </c>
      <c r="E1963" s="1" t="s">
        <v>4571</v>
      </c>
      <c r="F1963" s="1" t="s">
        <v>4572</v>
      </c>
      <c r="G1963" s="1" t="s">
        <v>16</v>
      </c>
      <c r="H1963" s="1" t="str">
        <f>"3"</f>
        <v>3</v>
      </c>
      <c r="I1963" s="2" t="str">
        <f>"127"</f>
        <v>127</v>
      </c>
      <c r="J1963" s="3">
        <v>46146</v>
      </c>
      <c r="K1963" s="1" t="s">
        <v>4587</v>
      </c>
    </row>
    <row r="1964" spans="1:11" x14ac:dyDescent="0.35">
      <c r="A1964" s="1" t="s">
        <v>4441</v>
      </c>
      <c r="B1964" s="1" t="s">
        <v>4709</v>
      </c>
      <c r="C1964" s="1" t="s">
        <v>4722</v>
      </c>
      <c r="D1964" s="1" t="str">
        <f>"8340"</f>
        <v>8340</v>
      </c>
      <c r="E1964" s="1" t="str">
        <f>"016288855"</f>
        <v>016288855</v>
      </c>
      <c r="F1964" s="1" t="s">
        <v>253</v>
      </c>
      <c r="G1964" s="1" t="s">
        <v>16</v>
      </c>
      <c r="H1964" s="1" t="str">
        <f>"106"</f>
        <v>106</v>
      </c>
      <c r="I1964" s="2">
        <v>396.38</v>
      </c>
      <c r="J1964" s="3">
        <v>46147</v>
      </c>
      <c r="K1964" s="1" t="s">
        <v>4723</v>
      </c>
    </row>
    <row r="1965" spans="1:11" x14ac:dyDescent="0.35">
      <c r="A1965" s="1" t="s">
        <v>4441</v>
      </c>
      <c r="B1965" s="1" t="s">
        <v>4784</v>
      </c>
      <c r="C1965" s="1" t="s">
        <v>4787</v>
      </c>
      <c r="D1965" s="1" t="str">
        <f>"6115"</f>
        <v>6115</v>
      </c>
      <c r="E1965" s="1" t="str">
        <f>"012747390"</f>
        <v>012747390</v>
      </c>
      <c r="F1965" s="1" t="s">
        <v>1390</v>
      </c>
      <c r="G1965" s="1" t="s">
        <v>16</v>
      </c>
      <c r="H1965" s="1" t="str">
        <f>"1"</f>
        <v>1</v>
      </c>
      <c r="I1965" s="2" t="str">
        <f>"25073"</f>
        <v>25073</v>
      </c>
      <c r="J1965" s="3">
        <v>46148</v>
      </c>
      <c r="K1965" s="1" t="s">
        <v>4788</v>
      </c>
    </row>
    <row r="1966" spans="1:11" x14ac:dyDescent="0.35">
      <c r="A1966" s="1" t="s">
        <v>4441</v>
      </c>
      <c r="B1966" s="1" t="s">
        <v>4450</v>
      </c>
      <c r="C1966" s="1" t="s">
        <v>4451</v>
      </c>
      <c r="D1966" s="1" t="str">
        <f>"2320"</f>
        <v>2320</v>
      </c>
      <c r="E1966" s="1" t="s">
        <v>975</v>
      </c>
      <c r="F1966" s="1" t="s">
        <v>976</v>
      </c>
      <c r="G1966" s="1" t="s">
        <v>16</v>
      </c>
      <c r="H1966" s="1" t="str">
        <f>"1"</f>
        <v>1</v>
      </c>
      <c r="I1966" s="2" t="str">
        <f>"54138"</f>
        <v>54138</v>
      </c>
      <c r="J1966" s="3">
        <v>46149</v>
      </c>
      <c r="K1966" s="1" t="s">
        <v>4452</v>
      </c>
    </row>
    <row r="1967" spans="1:11" x14ac:dyDescent="0.35">
      <c r="A1967" s="1" t="s">
        <v>4441</v>
      </c>
      <c r="B1967" s="1" t="s">
        <v>4450</v>
      </c>
      <c r="C1967" s="1" t="s">
        <v>4457</v>
      </c>
      <c r="D1967" s="1" t="str">
        <f>"2330"</f>
        <v>2330</v>
      </c>
      <c r="E1967" s="1" t="s">
        <v>70</v>
      </c>
      <c r="F1967" s="1" t="s">
        <v>71</v>
      </c>
      <c r="G1967" s="1" t="s">
        <v>16</v>
      </c>
      <c r="H1967" s="1" t="str">
        <f>"1"</f>
        <v>1</v>
      </c>
      <c r="I1967" s="2" t="str">
        <f>"4500"</f>
        <v>4500</v>
      </c>
      <c r="J1967" s="3">
        <v>46149</v>
      </c>
      <c r="K1967" s="1" t="s">
        <v>4458</v>
      </c>
    </row>
    <row r="1968" spans="1:11" x14ac:dyDescent="0.35">
      <c r="A1968" s="1" t="s">
        <v>4441</v>
      </c>
      <c r="B1968" s="1" t="s">
        <v>4450</v>
      </c>
      <c r="C1968" s="1" t="s">
        <v>4484</v>
      </c>
      <c r="D1968" s="1" t="str">
        <f>"4940"</f>
        <v>4940</v>
      </c>
      <c r="E1968" s="1" t="str">
        <f>"014196444"</f>
        <v>014196444</v>
      </c>
      <c r="F1968" s="1" t="s">
        <v>4485</v>
      </c>
      <c r="G1968" s="1" t="s">
        <v>16</v>
      </c>
      <c r="H1968" s="1" t="str">
        <f>"2"</f>
        <v>2</v>
      </c>
      <c r="I1968" s="2">
        <v>52.97</v>
      </c>
      <c r="J1968" s="3">
        <v>46149</v>
      </c>
      <c r="K1968" s="1" t="s">
        <v>4486</v>
      </c>
    </row>
    <row r="1969" spans="1:11" x14ac:dyDescent="0.35">
      <c r="A1969" s="1" t="s">
        <v>4441</v>
      </c>
      <c r="B1969" s="1" t="s">
        <v>4450</v>
      </c>
      <c r="C1969" s="1" t="s">
        <v>4490</v>
      </c>
      <c r="D1969" s="1" t="str">
        <f>"5130"</f>
        <v>5130</v>
      </c>
      <c r="E1969" s="1" t="str">
        <f>"008897745"</f>
        <v>008897745</v>
      </c>
      <c r="F1969" s="1" t="s">
        <v>4491</v>
      </c>
      <c r="G1969" s="1" t="s">
        <v>16</v>
      </c>
      <c r="H1969" s="1" t="str">
        <f>"2"</f>
        <v>2</v>
      </c>
      <c r="I1969" s="2">
        <v>120.78</v>
      </c>
      <c r="J1969" s="3">
        <v>46149</v>
      </c>
      <c r="K1969" s="1" t="s">
        <v>4492</v>
      </c>
    </row>
    <row r="1970" spans="1:11" x14ac:dyDescent="0.35">
      <c r="A1970" s="1" t="s">
        <v>4441</v>
      </c>
      <c r="B1970" s="1" t="s">
        <v>4450</v>
      </c>
      <c r="C1970" s="1" t="s">
        <v>4493</v>
      </c>
      <c r="D1970" s="1" t="str">
        <f>"5130"</f>
        <v>5130</v>
      </c>
      <c r="E1970" s="1" t="s">
        <v>744</v>
      </c>
      <c r="F1970" s="1" t="s">
        <v>745</v>
      </c>
      <c r="G1970" s="1" t="s">
        <v>16</v>
      </c>
      <c r="H1970" s="1" t="str">
        <f>"1"</f>
        <v>1</v>
      </c>
      <c r="I1970" s="2" t="str">
        <f>"1500"</f>
        <v>1500</v>
      </c>
      <c r="J1970" s="3">
        <v>46149</v>
      </c>
      <c r="K1970" s="1" t="s">
        <v>4494</v>
      </c>
    </row>
    <row r="1971" spans="1:11" x14ac:dyDescent="0.35">
      <c r="A1971" s="1" t="s">
        <v>4441</v>
      </c>
      <c r="B1971" s="1" t="s">
        <v>4450</v>
      </c>
      <c r="C1971" s="1" t="s">
        <v>4541</v>
      </c>
      <c r="D1971" s="1" t="str">
        <f>"8145"</f>
        <v>8145</v>
      </c>
      <c r="E1971" s="1" t="str">
        <f>"013749926"</f>
        <v>013749926</v>
      </c>
      <c r="F1971" s="1" t="s">
        <v>423</v>
      </c>
      <c r="G1971" s="1" t="s">
        <v>16</v>
      </c>
      <c r="H1971" s="1" t="str">
        <f>"1"</f>
        <v>1</v>
      </c>
      <c r="I1971" s="2">
        <v>1072.3</v>
      </c>
      <c r="J1971" s="3">
        <v>46149</v>
      </c>
      <c r="K1971" s="1" t="s">
        <v>4542</v>
      </c>
    </row>
    <row r="1972" spans="1:11" x14ac:dyDescent="0.35">
      <c r="A1972" s="1" t="s">
        <v>4441</v>
      </c>
      <c r="B1972" s="1" t="s">
        <v>4618</v>
      </c>
      <c r="C1972" s="1" t="s">
        <v>4619</v>
      </c>
      <c r="D1972" s="1" t="str">
        <f>"1670"</f>
        <v>1670</v>
      </c>
      <c r="E1972" s="1" t="str">
        <f>"010272900"</f>
        <v>010272900</v>
      </c>
      <c r="F1972" s="1" t="s">
        <v>4620</v>
      </c>
      <c r="G1972" s="1" t="s">
        <v>16</v>
      </c>
      <c r="H1972" s="1" t="str">
        <f>"1"</f>
        <v>1</v>
      </c>
      <c r="I1972" s="2" t="str">
        <f>"3756"</f>
        <v>3756</v>
      </c>
      <c r="J1972" s="3">
        <v>46149</v>
      </c>
      <c r="K1972" s="1" t="s">
        <v>4621</v>
      </c>
    </row>
    <row r="1973" spans="1:11" x14ac:dyDescent="0.35">
      <c r="A1973" s="1" t="s">
        <v>4441</v>
      </c>
      <c r="B1973" s="1" t="s">
        <v>4618</v>
      </c>
      <c r="C1973" s="1" t="s">
        <v>4629</v>
      </c>
      <c r="D1973" s="1" t="str">
        <f>"4010"</f>
        <v>4010</v>
      </c>
      <c r="E1973" s="1" t="str">
        <f>"012178421"</f>
        <v>012178421</v>
      </c>
      <c r="F1973" s="1" t="s">
        <v>4630</v>
      </c>
      <c r="G1973" s="1" t="s">
        <v>16</v>
      </c>
      <c r="H1973" s="1" t="str">
        <f>"1"</f>
        <v>1</v>
      </c>
      <c r="I1973" s="2">
        <v>2806.44</v>
      </c>
      <c r="J1973" s="3">
        <v>46149</v>
      </c>
      <c r="K1973" s="1" t="s">
        <v>4631</v>
      </c>
    </row>
    <row r="1974" spans="1:11" x14ac:dyDescent="0.35">
      <c r="A1974" s="1" t="s">
        <v>4441</v>
      </c>
      <c r="B1974" s="1" t="s">
        <v>4618</v>
      </c>
      <c r="C1974" s="1" t="s">
        <v>4634</v>
      </c>
      <c r="D1974" s="1" t="str">
        <f>"4720"</f>
        <v>4720</v>
      </c>
      <c r="E1974" s="1" t="str">
        <f>"015589393"</f>
        <v>015589393</v>
      </c>
      <c r="F1974" s="1" t="s">
        <v>4635</v>
      </c>
      <c r="G1974" s="1" t="s">
        <v>16</v>
      </c>
      <c r="H1974" s="1" t="str">
        <f>"1"</f>
        <v>1</v>
      </c>
      <c r="I1974" s="2">
        <v>791.86</v>
      </c>
      <c r="J1974" s="3">
        <v>46149</v>
      </c>
      <c r="K1974" s="1" t="s">
        <v>4636</v>
      </c>
    </row>
    <row r="1975" spans="1:11" x14ac:dyDescent="0.35">
      <c r="A1975" s="1" t="s">
        <v>4441</v>
      </c>
      <c r="B1975" s="1" t="s">
        <v>4618</v>
      </c>
      <c r="C1975" s="1" t="s">
        <v>4666</v>
      </c>
      <c r="D1975" s="1" t="str">
        <f>"6910"</f>
        <v>6910</v>
      </c>
      <c r="E1975" s="1" t="s">
        <v>1124</v>
      </c>
      <c r="F1975" s="1" t="s">
        <v>1125</v>
      </c>
      <c r="G1975" s="1" t="s">
        <v>16</v>
      </c>
      <c r="H1975" s="1" t="str">
        <f>"1"</f>
        <v>1</v>
      </c>
      <c r="I1975" s="2">
        <v>6017.53</v>
      </c>
      <c r="J1975" s="3">
        <v>46149</v>
      </c>
      <c r="K1975" s="1" t="s">
        <v>4667</v>
      </c>
    </row>
    <row r="1976" spans="1:11" x14ac:dyDescent="0.35">
      <c r="A1976" s="1" t="s">
        <v>4441</v>
      </c>
      <c r="B1976" s="1" t="s">
        <v>4618</v>
      </c>
      <c r="C1976" s="1" t="s">
        <v>4668</v>
      </c>
      <c r="D1976" s="1" t="str">
        <f>"6910"</f>
        <v>6910</v>
      </c>
      <c r="E1976" s="1" t="str">
        <f>"013622996"</f>
        <v>013622996</v>
      </c>
      <c r="F1976" s="1" t="s">
        <v>4669</v>
      </c>
      <c r="G1976" s="1" t="s">
        <v>16</v>
      </c>
      <c r="H1976" s="1" t="str">
        <f>"1"</f>
        <v>1</v>
      </c>
      <c r="I1976" s="2">
        <v>1885.42</v>
      </c>
      <c r="J1976" s="3">
        <v>46149</v>
      </c>
      <c r="K1976" s="1" t="s">
        <v>4670</v>
      </c>
    </row>
    <row r="1977" spans="1:11" x14ac:dyDescent="0.35">
      <c r="A1977" s="1" t="s">
        <v>4441</v>
      </c>
      <c r="B1977" s="1" t="s">
        <v>4618</v>
      </c>
      <c r="C1977" s="1" t="s">
        <v>4671</v>
      </c>
      <c r="D1977" s="1" t="str">
        <f>"6910"</f>
        <v>6910</v>
      </c>
      <c r="E1977" s="1" t="s">
        <v>1124</v>
      </c>
      <c r="F1977" s="1" t="s">
        <v>1125</v>
      </c>
      <c r="G1977" s="1" t="s">
        <v>16</v>
      </c>
      <c r="H1977" s="1" t="str">
        <f>"3"</f>
        <v>3</v>
      </c>
      <c r="I1977" s="2" t="str">
        <f>"500"</f>
        <v>500</v>
      </c>
      <c r="J1977" s="3">
        <v>46149</v>
      </c>
      <c r="K1977" s="1" t="s">
        <v>4672</v>
      </c>
    </row>
    <row r="1978" spans="1:11" x14ac:dyDescent="0.35">
      <c r="A1978" s="1" t="s">
        <v>4441</v>
      </c>
      <c r="B1978" s="1" t="s">
        <v>4618</v>
      </c>
      <c r="C1978" s="1" t="s">
        <v>4673</v>
      </c>
      <c r="D1978" s="1" t="str">
        <f>"6910"</f>
        <v>6910</v>
      </c>
      <c r="E1978" s="1" t="s">
        <v>1124</v>
      </c>
      <c r="F1978" s="1" t="s">
        <v>1125</v>
      </c>
      <c r="G1978" s="1" t="s">
        <v>16</v>
      </c>
      <c r="H1978" s="1" t="str">
        <f>"1"</f>
        <v>1</v>
      </c>
      <c r="I1978" s="2">
        <v>6017.53</v>
      </c>
      <c r="J1978" s="3">
        <v>46149</v>
      </c>
      <c r="K1978" s="1" t="s">
        <v>4667</v>
      </c>
    </row>
    <row r="1979" spans="1:11" x14ac:dyDescent="0.35">
      <c r="A1979" s="1" t="s">
        <v>4441</v>
      </c>
      <c r="B1979" s="1" t="s">
        <v>4618</v>
      </c>
      <c r="C1979" s="1" t="s">
        <v>4674</v>
      </c>
      <c r="D1979" s="1" t="str">
        <f>"6910"</f>
        <v>6910</v>
      </c>
      <c r="E1979" s="1" t="s">
        <v>1124</v>
      </c>
      <c r="F1979" s="1" t="s">
        <v>1125</v>
      </c>
      <c r="G1979" s="1" t="s">
        <v>16</v>
      </c>
      <c r="H1979" s="1" t="str">
        <f>"1"</f>
        <v>1</v>
      </c>
      <c r="I1979" s="2">
        <v>6017.53</v>
      </c>
      <c r="J1979" s="3">
        <v>46149</v>
      </c>
      <c r="K1979" s="1" t="s">
        <v>4667</v>
      </c>
    </row>
    <row r="1980" spans="1:11" x14ac:dyDescent="0.35">
      <c r="A1980" s="1" t="s">
        <v>4441</v>
      </c>
      <c r="B1980" s="1" t="s">
        <v>4618</v>
      </c>
      <c r="C1980" s="1" t="s">
        <v>4675</v>
      </c>
      <c r="D1980" s="1" t="str">
        <f>"6910"</f>
        <v>6910</v>
      </c>
      <c r="E1980" s="1" t="s">
        <v>1124</v>
      </c>
      <c r="F1980" s="1" t="s">
        <v>1125</v>
      </c>
      <c r="G1980" s="1" t="s">
        <v>16</v>
      </c>
      <c r="H1980" s="1" t="str">
        <f>"2"</f>
        <v>2</v>
      </c>
      <c r="I1980" s="2" t="str">
        <f>"18540"</f>
        <v>18540</v>
      </c>
      <c r="J1980" s="3">
        <v>46149</v>
      </c>
      <c r="K1980" s="1" t="s">
        <v>4667</v>
      </c>
    </row>
    <row r="1981" spans="1:11" x14ac:dyDescent="0.35">
      <c r="A1981" s="1" t="s">
        <v>4441</v>
      </c>
      <c r="B1981" s="1" t="s">
        <v>4618</v>
      </c>
      <c r="C1981" s="1" t="s">
        <v>4676</v>
      </c>
      <c r="D1981" s="1" t="str">
        <f>"6910"</f>
        <v>6910</v>
      </c>
      <c r="E1981" s="1" t="s">
        <v>1124</v>
      </c>
      <c r="F1981" s="1" t="s">
        <v>1125</v>
      </c>
      <c r="G1981" s="1" t="s">
        <v>16</v>
      </c>
      <c r="H1981" s="1" t="str">
        <f>"1"</f>
        <v>1</v>
      </c>
      <c r="I1981" s="2">
        <v>6017.53</v>
      </c>
      <c r="J1981" s="3">
        <v>46149</v>
      </c>
      <c r="K1981" s="1" t="s">
        <v>4667</v>
      </c>
    </row>
    <row r="1982" spans="1:11" x14ac:dyDescent="0.35">
      <c r="A1982" s="1" t="s">
        <v>4441</v>
      </c>
      <c r="B1982" s="1" t="s">
        <v>4618</v>
      </c>
      <c r="C1982" s="1" t="s">
        <v>4677</v>
      </c>
      <c r="D1982" s="1" t="str">
        <f>"6910"</f>
        <v>6910</v>
      </c>
      <c r="E1982" s="1" t="s">
        <v>1124</v>
      </c>
      <c r="F1982" s="1" t="s">
        <v>1125</v>
      </c>
      <c r="G1982" s="1" t="s">
        <v>16</v>
      </c>
      <c r="H1982" s="1" t="str">
        <f>"1"</f>
        <v>1</v>
      </c>
      <c r="I1982" s="2">
        <v>6017.53</v>
      </c>
      <c r="J1982" s="3">
        <v>46149</v>
      </c>
      <c r="K1982" s="1" t="s">
        <v>4667</v>
      </c>
    </row>
    <row r="1983" spans="1:11" x14ac:dyDescent="0.35">
      <c r="A1983" s="1" t="s">
        <v>4441</v>
      </c>
      <c r="B1983" s="1" t="s">
        <v>4618</v>
      </c>
      <c r="C1983" s="1" t="s">
        <v>4680</v>
      </c>
      <c r="D1983" s="1" t="str">
        <f>"7110"</f>
        <v>7110</v>
      </c>
      <c r="E1983" s="1" t="str">
        <f>"016145400"</f>
        <v>016145400</v>
      </c>
      <c r="F1983" s="1" t="s">
        <v>4681</v>
      </c>
      <c r="G1983" s="1" t="s">
        <v>16</v>
      </c>
      <c r="H1983" s="1" t="str">
        <f>"1"</f>
        <v>1</v>
      </c>
      <c r="I1983" s="2">
        <v>6639.51</v>
      </c>
      <c r="J1983" s="3">
        <v>46149</v>
      </c>
      <c r="K1983" s="1" t="s">
        <v>4682</v>
      </c>
    </row>
    <row r="1984" spans="1:11" x14ac:dyDescent="0.35">
      <c r="A1984" s="1" t="s">
        <v>4441</v>
      </c>
      <c r="B1984" s="1" t="s">
        <v>4618</v>
      </c>
      <c r="C1984" s="1" t="s">
        <v>4692</v>
      </c>
      <c r="D1984" s="1" t="str">
        <f>"8460"</f>
        <v>8460</v>
      </c>
      <c r="E1984" s="1" t="str">
        <f>"006068366"</f>
        <v>006068366</v>
      </c>
      <c r="F1984" s="1" t="s">
        <v>2408</v>
      </c>
      <c r="G1984" s="1" t="s">
        <v>16</v>
      </c>
      <c r="H1984" s="1" t="str">
        <f>"2"</f>
        <v>2</v>
      </c>
      <c r="I1984" s="2">
        <v>41.55</v>
      </c>
      <c r="J1984" s="3">
        <v>46149</v>
      </c>
      <c r="K1984" s="1" t="s">
        <v>4693</v>
      </c>
    </row>
    <row r="1985" spans="1:11" x14ac:dyDescent="0.35">
      <c r="A1985" s="1" t="s">
        <v>4441</v>
      </c>
      <c r="B1985" s="1" t="s">
        <v>4618</v>
      </c>
      <c r="C1985" s="1" t="s">
        <v>4694</v>
      </c>
      <c r="D1985" s="1" t="str">
        <f>"8465"</f>
        <v>8465</v>
      </c>
      <c r="E1985" s="1" t="str">
        <f>"013936515"</f>
        <v>013936515</v>
      </c>
      <c r="F1985" s="1" t="s">
        <v>1095</v>
      </c>
      <c r="G1985" s="1" t="s">
        <v>16</v>
      </c>
      <c r="H1985" s="1" t="str">
        <f>"2"</f>
        <v>2</v>
      </c>
      <c r="I1985" s="2">
        <v>68.81</v>
      </c>
      <c r="J1985" s="3">
        <v>46149</v>
      </c>
      <c r="K1985" s="1" t="s">
        <v>4695</v>
      </c>
    </row>
    <row r="1986" spans="1:11" x14ac:dyDescent="0.35">
      <c r="A1986" s="1" t="s">
        <v>4441</v>
      </c>
      <c r="B1986" s="1" t="s">
        <v>4618</v>
      </c>
      <c r="C1986" s="1" t="s">
        <v>4699</v>
      </c>
      <c r="D1986" s="1" t="str">
        <f>"8465"</f>
        <v>8465</v>
      </c>
      <c r="E1986" s="1" t="str">
        <f>"015250577"</f>
        <v>015250577</v>
      </c>
      <c r="F1986" s="1" t="s">
        <v>3593</v>
      </c>
      <c r="G1986" s="1" t="s">
        <v>16</v>
      </c>
      <c r="H1986" s="1" t="str">
        <f>"20"</f>
        <v>20</v>
      </c>
      <c r="I1986" s="2">
        <v>42.36</v>
      </c>
      <c r="J1986" s="3">
        <v>46149</v>
      </c>
      <c r="K1986" s="1" t="s">
        <v>4700</v>
      </c>
    </row>
    <row r="1987" spans="1:11" x14ac:dyDescent="0.35">
      <c r="A1987" s="1" t="s">
        <v>4441</v>
      </c>
      <c r="B1987" s="1" t="s">
        <v>4618</v>
      </c>
      <c r="C1987" s="1" t="s">
        <v>4626</v>
      </c>
      <c r="D1987" s="1" t="str">
        <f>"3431"</f>
        <v>3431</v>
      </c>
      <c r="E1987" s="1" t="str">
        <f>"016547708"</f>
        <v>016547708</v>
      </c>
      <c r="F1987" s="1" t="s">
        <v>4627</v>
      </c>
      <c r="G1987" s="1" t="s">
        <v>16</v>
      </c>
      <c r="H1987" s="1" t="str">
        <f>"1"</f>
        <v>1</v>
      </c>
      <c r="I1987" s="2">
        <v>8727.8799999999992</v>
      </c>
      <c r="J1987" s="3">
        <v>46150</v>
      </c>
      <c r="K1987" s="1" t="s">
        <v>4628</v>
      </c>
    </row>
    <row r="1988" spans="1:11" x14ac:dyDescent="0.35">
      <c r="A1988" s="1" t="s">
        <v>4441</v>
      </c>
      <c r="B1988" s="1" t="s">
        <v>4618</v>
      </c>
      <c r="C1988" s="1" t="s">
        <v>4632</v>
      </c>
      <c r="D1988" s="1" t="str">
        <f>"4140"</f>
        <v>4140</v>
      </c>
      <c r="E1988" s="1" t="s">
        <v>1013</v>
      </c>
      <c r="F1988" s="1" t="s">
        <v>1014</v>
      </c>
      <c r="G1988" s="1" t="s">
        <v>16</v>
      </c>
      <c r="H1988" s="1" t="str">
        <f>"1"</f>
        <v>1</v>
      </c>
      <c r="I1988" s="2" t="str">
        <f>"9000"</f>
        <v>9000</v>
      </c>
      <c r="J1988" s="3">
        <v>46150</v>
      </c>
      <c r="K1988" s="1" t="s">
        <v>4633</v>
      </c>
    </row>
    <row r="1989" spans="1:11" x14ac:dyDescent="0.35">
      <c r="A1989" s="1" t="s">
        <v>4441</v>
      </c>
      <c r="B1989" s="1" t="s">
        <v>4618</v>
      </c>
      <c r="C1989" s="1" t="s">
        <v>4639</v>
      </c>
      <c r="D1989" s="1" t="str">
        <f>"4910"</f>
        <v>4910</v>
      </c>
      <c r="E1989" s="1" t="str">
        <f>"017081466"</f>
        <v>017081466</v>
      </c>
      <c r="F1989" s="1" t="s">
        <v>4640</v>
      </c>
      <c r="G1989" s="1" t="s">
        <v>311</v>
      </c>
      <c r="H1989" s="1" t="str">
        <f>"1"</f>
        <v>1</v>
      </c>
      <c r="I1989" s="2">
        <v>1405.13</v>
      </c>
      <c r="J1989" s="3">
        <v>46150</v>
      </c>
      <c r="K1989" s="1" t="s">
        <v>4641</v>
      </c>
    </row>
    <row r="1990" spans="1:11" x14ac:dyDescent="0.35">
      <c r="A1990" s="1" t="s">
        <v>4441</v>
      </c>
      <c r="B1990" s="1" t="s">
        <v>4618</v>
      </c>
      <c r="C1990" s="1" t="s">
        <v>4642</v>
      </c>
      <c r="D1990" s="1" t="str">
        <f>"4940"</f>
        <v>4940</v>
      </c>
      <c r="E1990" s="1" t="str">
        <f>"011856215"</f>
        <v>011856215</v>
      </c>
      <c r="F1990" s="1" t="s">
        <v>4643</v>
      </c>
      <c r="G1990" s="1" t="s">
        <v>16</v>
      </c>
      <c r="H1990" s="1" t="str">
        <f>"1"</f>
        <v>1</v>
      </c>
      <c r="I1990" s="2">
        <v>10456.08</v>
      </c>
      <c r="J1990" s="3">
        <v>46150</v>
      </c>
      <c r="K1990" s="1" t="s">
        <v>4644</v>
      </c>
    </row>
    <row r="1991" spans="1:11" x14ac:dyDescent="0.35">
      <c r="A1991" s="1" t="s">
        <v>4441</v>
      </c>
      <c r="B1991" s="1" t="s">
        <v>4618</v>
      </c>
      <c r="C1991" s="1" t="s">
        <v>4678</v>
      </c>
      <c r="D1991" s="1" t="str">
        <f>"7110"</f>
        <v>7110</v>
      </c>
      <c r="E1991" s="1" t="s">
        <v>1053</v>
      </c>
      <c r="F1991" s="1" t="s">
        <v>1054</v>
      </c>
      <c r="G1991" s="1" t="s">
        <v>16</v>
      </c>
      <c r="H1991" s="1" t="str">
        <f>"1"</f>
        <v>1</v>
      </c>
      <c r="I1991" s="2" t="str">
        <f>"6848"</f>
        <v>6848</v>
      </c>
      <c r="J1991" s="3">
        <v>46150</v>
      </c>
      <c r="K1991" s="1" t="s">
        <v>4679</v>
      </c>
    </row>
    <row r="1992" spans="1:11" x14ac:dyDescent="0.35">
      <c r="A1992" s="1" t="s">
        <v>4441</v>
      </c>
      <c r="B1992" s="1" t="s">
        <v>4618</v>
      </c>
      <c r="C1992" s="1" t="s">
        <v>4690</v>
      </c>
      <c r="D1992" s="1" t="str">
        <f>"8415"</f>
        <v>8415</v>
      </c>
      <c r="E1992" s="1" t="str">
        <f>"015386742"</f>
        <v>015386742</v>
      </c>
      <c r="F1992" s="1" t="s">
        <v>493</v>
      </c>
      <c r="G1992" s="1" t="s">
        <v>16</v>
      </c>
      <c r="H1992" s="1" t="str">
        <f>"15"</f>
        <v>15</v>
      </c>
      <c r="I1992" s="2">
        <v>63.88</v>
      </c>
      <c r="J1992" s="3">
        <v>46150</v>
      </c>
      <c r="K1992" s="1" t="s">
        <v>4691</v>
      </c>
    </row>
    <row r="1993" spans="1:11" x14ac:dyDescent="0.35">
      <c r="A1993" s="1" t="s">
        <v>4441</v>
      </c>
      <c r="B1993" s="1" t="s">
        <v>4618</v>
      </c>
      <c r="C1993" s="1" t="s">
        <v>4696</v>
      </c>
      <c r="D1993" s="1" t="str">
        <f>"8465"</f>
        <v>8465</v>
      </c>
      <c r="E1993" s="1" t="str">
        <f>"011093369"</f>
        <v>011093369</v>
      </c>
      <c r="F1993" s="1" t="s">
        <v>647</v>
      </c>
      <c r="G1993" s="1" t="s">
        <v>16</v>
      </c>
      <c r="H1993" s="1" t="str">
        <f>"11"</f>
        <v>11</v>
      </c>
      <c r="I1993" s="2">
        <v>12.33</v>
      </c>
      <c r="J1993" s="3">
        <v>46150</v>
      </c>
      <c r="K1993" s="1" t="s">
        <v>4697</v>
      </c>
    </row>
    <row r="1994" spans="1:11" x14ac:dyDescent="0.35">
      <c r="A1994" s="1" t="s">
        <v>4441</v>
      </c>
      <c r="B1994" s="1" t="s">
        <v>4618</v>
      </c>
      <c r="C1994" s="1" t="s">
        <v>4698</v>
      </c>
      <c r="D1994" s="1" t="str">
        <f>"8465"</f>
        <v>8465</v>
      </c>
      <c r="E1994" s="1" t="str">
        <f>"013936515"</f>
        <v>013936515</v>
      </c>
      <c r="F1994" s="1" t="s">
        <v>1095</v>
      </c>
      <c r="G1994" s="1" t="s">
        <v>16</v>
      </c>
      <c r="H1994" s="1" t="str">
        <f>"8"</f>
        <v>8</v>
      </c>
      <c r="I1994" s="2">
        <v>68.81</v>
      </c>
      <c r="J1994" s="3">
        <v>46150</v>
      </c>
      <c r="K1994" s="1" t="s">
        <v>4695</v>
      </c>
    </row>
    <row r="1995" spans="1:11" x14ac:dyDescent="0.35">
      <c r="A1995" s="1" t="s">
        <v>4441</v>
      </c>
      <c r="B1995" s="1" t="s">
        <v>4618</v>
      </c>
      <c r="C1995" s="1" t="s">
        <v>4701</v>
      </c>
      <c r="D1995" s="1" t="str">
        <f>"8465"</f>
        <v>8465</v>
      </c>
      <c r="E1995" s="1" t="str">
        <f>"016419423"</f>
        <v>016419423</v>
      </c>
      <c r="F1995" s="1" t="s">
        <v>4702</v>
      </c>
      <c r="G1995" s="1" t="s">
        <v>16</v>
      </c>
      <c r="H1995" s="1" t="str">
        <f>"16"</f>
        <v>16</v>
      </c>
      <c r="I1995" s="2">
        <v>75.75</v>
      </c>
      <c r="J1995" s="3">
        <v>46150</v>
      </c>
      <c r="K1995" s="1" t="s">
        <v>4703</v>
      </c>
    </row>
    <row r="1996" spans="1:11" x14ac:dyDescent="0.35">
      <c r="A1996" s="1" t="s">
        <v>4441</v>
      </c>
      <c r="B1996" s="1" t="s">
        <v>4812</v>
      </c>
      <c r="C1996" s="1" t="s">
        <v>4816</v>
      </c>
      <c r="D1996" s="1" t="str">
        <f>"3510"</f>
        <v>3510</v>
      </c>
      <c r="E1996" s="1" t="s">
        <v>4817</v>
      </c>
      <c r="F1996" s="1" t="s">
        <v>4818</v>
      </c>
      <c r="G1996" s="1" t="s">
        <v>16</v>
      </c>
      <c r="H1996" s="1" t="str">
        <f>"1"</f>
        <v>1</v>
      </c>
      <c r="I1996" s="2" t="str">
        <f>"1600"</f>
        <v>1600</v>
      </c>
      <c r="J1996" s="3">
        <v>46153</v>
      </c>
      <c r="K1996" s="1" t="s">
        <v>4819</v>
      </c>
    </row>
    <row r="1997" spans="1:11" x14ac:dyDescent="0.35">
      <c r="A1997" s="1" t="s">
        <v>4441</v>
      </c>
      <c r="B1997" s="1" t="s">
        <v>4618</v>
      </c>
      <c r="C1997" s="1" t="s">
        <v>4622</v>
      </c>
      <c r="D1997" s="1" t="str">
        <f>"2330"</f>
        <v>2330</v>
      </c>
      <c r="E1997" s="1" t="str">
        <f>"010915167"</f>
        <v>010915167</v>
      </c>
      <c r="F1997" s="1" t="s">
        <v>984</v>
      </c>
      <c r="G1997" s="1" t="s">
        <v>16</v>
      </c>
      <c r="H1997" s="1" t="str">
        <f>"1"</f>
        <v>1</v>
      </c>
      <c r="I1997" s="2">
        <v>16423.78</v>
      </c>
      <c r="J1997" s="3">
        <v>46154</v>
      </c>
      <c r="K1997" s="1" t="s">
        <v>4623</v>
      </c>
    </row>
    <row r="1998" spans="1:11" x14ac:dyDescent="0.35">
      <c r="A1998" s="1" t="s">
        <v>4441</v>
      </c>
      <c r="B1998" s="1" t="s">
        <v>4618</v>
      </c>
      <c r="C1998" s="1" t="s">
        <v>4649</v>
      </c>
      <c r="D1998" s="1" t="str">
        <f>"5180"</f>
        <v>5180</v>
      </c>
      <c r="E1998" s="1" t="str">
        <f>"015595981"</f>
        <v>015595981</v>
      </c>
      <c r="F1998" s="1" t="s">
        <v>1076</v>
      </c>
      <c r="G1998" s="1" t="s">
        <v>215</v>
      </c>
      <c r="H1998" s="1" t="str">
        <f>"1"</f>
        <v>1</v>
      </c>
      <c r="I1998" s="2" t="str">
        <f>"1774"</f>
        <v>1774</v>
      </c>
      <c r="J1998" s="3">
        <v>46154</v>
      </c>
      <c r="K1998" s="1" t="s">
        <v>4650</v>
      </c>
    </row>
    <row r="1999" spans="1:11" x14ac:dyDescent="0.35">
      <c r="A1999" s="1" t="s">
        <v>4441</v>
      </c>
      <c r="B1999" s="1" t="s">
        <v>4618</v>
      </c>
      <c r="C1999" s="1" t="s">
        <v>4658</v>
      </c>
      <c r="D1999" s="1" t="str">
        <f>"6545"</f>
        <v>6545</v>
      </c>
      <c r="E1999" s="1" t="str">
        <f>"015324962"</f>
        <v>015324962</v>
      </c>
      <c r="F1999" s="1" t="s">
        <v>2053</v>
      </c>
      <c r="G1999" s="1" t="s">
        <v>215</v>
      </c>
      <c r="H1999" s="1" t="str">
        <f>"1"</f>
        <v>1</v>
      </c>
      <c r="I1999" s="2">
        <v>1868.26</v>
      </c>
      <c r="J1999" s="3">
        <v>46154</v>
      </c>
      <c r="K1999" s="1" t="s">
        <v>4659</v>
      </c>
    </row>
    <row r="2000" spans="1:11" x14ac:dyDescent="0.35">
      <c r="A2000" s="1" t="s">
        <v>4441</v>
      </c>
      <c r="B2000" s="1" t="s">
        <v>4855</v>
      </c>
      <c r="C2000" s="1" t="s">
        <v>4856</v>
      </c>
      <c r="D2000" s="1" t="str">
        <f>"2320"</f>
        <v>2320</v>
      </c>
      <c r="E2000" s="1" t="str">
        <f>"005802954"</f>
        <v>005802954</v>
      </c>
      <c r="F2000" s="1" t="s">
        <v>271</v>
      </c>
      <c r="G2000" s="1" t="s">
        <v>16</v>
      </c>
      <c r="H2000" s="1" t="str">
        <f>"1"</f>
        <v>1</v>
      </c>
      <c r="I2000" s="2">
        <v>47279.54</v>
      </c>
      <c r="J2000" s="3">
        <v>46155</v>
      </c>
      <c r="K2000" s="1" t="s">
        <v>4857</v>
      </c>
    </row>
    <row r="2001" spans="1:11" x14ac:dyDescent="0.35">
      <c r="A2001" s="1" t="s">
        <v>4441</v>
      </c>
      <c r="B2001" s="1" t="s">
        <v>4442</v>
      </c>
      <c r="C2001" s="1" t="s">
        <v>4446</v>
      </c>
      <c r="D2001" s="1" t="str">
        <f>"2340"</f>
        <v>2340</v>
      </c>
      <c r="E2001" s="1" t="s">
        <v>1446</v>
      </c>
      <c r="F2001" s="1" t="s">
        <v>1447</v>
      </c>
      <c r="G2001" s="1" t="s">
        <v>16</v>
      </c>
      <c r="H2001" s="1" t="str">
        <f>"3"</f>
        <v>3</v>
      </c>
      <c r="I2001" s="2" t="str">
        <f>"1000"</f>
        <v>1000</v>
      </c>
      <c r="J2001" s="3">
        <v>46156</v>
      </c>
      <c r="K2001" s="1" t="s">
        <v>4447</v>
      </c>
    </row>
    <row r="2002" spans="1:11" x14ac:dyDescent="0.35">
      <c r="A2002" s="1" t="s">
        <v>4441</v>
      </c>
      <c r="B2002" s="1" t="s">
        <v>4784</v>
      </c>
      <c r="C2002" s="1" t="s">
        <v>4785</v>
      </c>
      <c r="D2002" s="1" t="str">
        <f>"6115"</f>
        <v>6115</v>
      </c>
      <c r="E2002" s="1" t="str">
        <f>"015617718"</f>
        <v>015617718</v>
      </c>
      <c r="F2002" s="1" t="s">
        <v>1390</v>
      </c>
      <c r="G2002" s="1" t="s">
        <v>16</v>
      </c>
      <c r="H2002" s="1" t="str">
        <f>"1"</f>
        <v>1</v>
      </c>
      <c r="I2002" s="2" t="str">
        <f>"22046"</f>
        <v>22046</v>
      </c>
      <c r="J2002" s="3">
        <v>46156</v>
      </c>
      <c r="K2002" s="1" t="s">
        <v>4786</v>
      </c>
    </row>
    <row r="2003" spans="1:11" x14ac:dyDescent="0.35">
      <c r="A2003" s="1" t="s">
        <v>4441</v>
      </c>
      <c r="B2003" s="1" t="s">
        <v>4784</v>
      </c>
      <c r="C2003" s="1" t="s">
        <v>4789</v>
      </c>
      <c r="D2003" s="1" t="str">
        <f>"6115"</f>
        <v>6115</v>
      </c>
      <c r="E2003" s="1" t="str">
        <f>"014619335"</f>
        <v>014619335</v>
      </c>
      <c r="F2003" s="1" t="s">
        <v>1390</v>
      </c>
      <c r="G2003" s="1" t="s">
        <v>16</v>
      </c>
      <c r="H2003" s="1" t="str">
        <f>"3"</f>
        <v>3</v>
      </c>
      <c r="I2003" s="2">
        <v>26705.200000000001</v>
      </c>
      <c r="J2003" s="3">
        <v>46156</v>
      </c>
      <c r="K2003" s="1" t="s">
        <v>4790</v>
      </c>
    </row>
    <row r="2004" spans="1:11" x14ac:dyDescent="0.35">
      <c r="A2004" s="1" t="s">
        <v>4441</v>
      </c>
      <c r="B2004" s="1" t="s">
        <v>4591</v>
      </c>
      <c r="C2004" s="1" t="s">
        <v>4592</v>
      </c>
      <c r="D2004" s="1" t="str">
        <f>"2510"</f>
        <v>2510</v>
      </c>
      <c r="E2004" s="1" t="str">
        <f>"010823824"</f>
        <v>010823824</v>
      </c>
      <c r="F2004" s="1" t="s">
        <v>4593</v>
      </c>
      <c r="G2004" s="1" t="s">
        <v>16</v>
      </c>
      <c r="H2004" s="1" t="str">
        <f>"10"</f>
        <v>10</v>
      </c>
      <c r="I2004" s="2">
        <v>2863.39</v>
      </c>
      <c r="J2004" s="3">
        <v>46157</v>
      </c>
      <c r="K2004" s="1" t="s">
        <v>4594</v>
      </c>
    </row>
    <row r="2005" spans="1:11" x14ac:dyDescent="0.35">
      <c r="A2005" s="1" t="s">
        <v>4441</v>
      </c>
      <c r="B2005" s="1" t="s">
        <v>4812</v>
      </c>
      <c r="C2005" s="1" t="s">
        <v>4851</v>
      </c>
      <c r="D2005" s="1" t="str">
        <f>"7830"</f>
        <v>7830</v>
      </c>
      <c r="E2005" s="1" t="s">
        <v>14</v>
      </c>
      <c r="F2005" s="1" t="s">
        <v>15</v>
      </c>
      <c r="G2005" s="1" t="s">
        <v>16</v>
      </c>
      <c r="H2005" s="1" t="str">
        <f>"1"</f>
        <v>1</v>
      </c>
      <c r="I2005" s="2" t="str">
        <f>"400"</f>
        <v>400</v>
      </c>
      <c r="J2005" s="3">
        <v>46157</v>
      </c>
      <c r="K2005" s="1" t="s">
        <v>4852</v>
      </c>
    </row>
    <row r="2006" spans="1:11" x14ac:dyDescent="0.35">
      <c r="A2006" s="1" t="s">
        <v>4441</v>
      </c>
      <c r="B2006" s="1" t="s">
        <v>4812</v>
      </c>
      <c r="C2006" s="1" t="s">
        <v>4853</v>
      </c>
      <c r="D2006" s="1" t="str">
        <f>"7830"</f>
        <v>7830</v>
      </c>
      <c r="E2006" s="1" t="s">
        <v>14</v>
      </c>
      <c r="F2006" s="1" t="s">
        <v>15</v>
      </c>
      <c r="G2006" s="1" t="s">
        <v>16</v>
      </c>
      <c r="H2006" s="1" t="str">
        <f>"1"</f>
        <v>1</v>
      </c>
      <c r="I2006" s="2">
        <v>338.84</v>
      </c>
      <c r="J2006" s="3">
        <v>46157</v>
      </c>
      <c r="K2006" s="1" t="s">
        <v>4852</v>
      </c>
    </row>
    <row r="2007" spans="1:11" x14ac:dyDescent="0.35">
      <c r="A2007" s="1" t="s">
        <v>4441</v>
      </c>
      <c r="B2007" s="1" t="s">
        <v>4797</v>
      </c>
      <c r="C2007" s="1" t="s">
        <v>4798</v>
      </c>
      <c r="D2007" s="1" t="str">
        <f>"6115"</f>
        <v>6115</v>
      </c>
      <c r="E2007" s="1" t="str">
        <f>"001104806"</f>
        <v>001104806</v>
      </c>
      <c r="F2007" s="1" t="s">
        <v>1390</v>
      </c>
      <c r="G2007" s="1" t="s">
        <v>16</v>
      </c>
      <c r="H2007" s="1" t="str">
        <f>"1"</f>
        <v>1</v>
      </c>
      <c r="I2007" s="2" t="str">
        <f>"17253"</f>
        <v>17253</v>
      </c>
      <c r="J2007" s="3">
        <v>46160</v>
      </c>
      <c r="K2007" s="1" t="s">
        <v>4799</v>
      </c>
    </row>
    <row r="2008" spans="1:11" x14ac:dyDescent="0.35">
      <c r="A2008" s="1" t="s">
        <v>4441</v>
      </c>
      <c r="B2008" s="1" t="s">
        <v>4797</v>
      </c>
      <c r="C2008" s="1" t="s">
        <v>4800</v>
      </c>
      <c r="D2008" s="1" t="str">
        <f>"6130"</f>
        <v>6130</v>
      </c>
      <c r="E2008" s="1" t="str">
        <f>"005754091"</f>
        <v>005754091</v>
      </c>
      <c r="F2008" s="1" t="s">
        <v>227</v>
      </c>
      <c r="G2008" s="1" t="s">
        <v>16</v>
      </c>
      <c r="H2008" s="1" t="str">
        <f>"1"</f>
        <v>1</v>
      </c>
      <c r="I2008" s="2" t="str">
        <f>"7292"</f>
        <v>7292</v>
      </c>
      <c r="J2008" s="3">
        <v>46160</v>
      </c>
      <c r="K2008" s="1" t="s">
        <v>4801</v>
      </c>
    </row>
    <row r="2009" spans="1:11" x14ac:dyDescent="0.35">
      <c r="A2009" s="1" t="s">
        <v>4441</v>
      </c>
      <c r="B2009" s="1" t="s">
        <v>4855</v>
      </c>
      <c r="C2009" s="1" t="s">
        <v>4866</v>
      </c>
      <c r="D2009" s="1" t="str">
        <f>"5411"</f>
        <v>5411</v>
      </c>
      <c r="E2009" s="1" t="str">
        <f>"009994935"</f>
        <v>009994935</v>
      </c>
      <c r="F2009" s="1" t="s">
        <v>1033</v>
      </c>
      <c r="G2009" s="1" t="s">
        <v>16</v>
      </c>
      <c r="H2009" s="1" t="str">
        <f>"1"</f>
        <v>1</v>
      </c>
      <c r="I2009" s="2" t="str">
        <f>"13262"</f>
        <v>13262</v>
      </c>
      <c r="J2009" s="3">
        <v>46160</v>
      </c>
      <c r="K2009" s="1" t="s">
        <v>4867</v>
      </c>
    </row>
    <row r="2010" spans="1:11" x14ac:dyDescent="0.35">
      <c r="A2010" s="1" t="s">
        <v>4441</v>
      </c>
      <c r="B2010" s="1" t="s">
        <v>4618</v>
      </c>
      <c r="C2010" s="1" t="s">
        <v>4688</v>
      </c>
      <c r="D2010" s="1" t="str">
        <f>"8340"</f>
        <v>8340</v>
      </c>
      <c r="E2010" s="1" t="str">
        <f>"015140578"</f>
        <v>015140578</v>
      </c>
      <c r="F2010" s="1" t="s">
        <v>4546</v>
      </c>
      <c r="G2010" s="1" t="s">
        <v>16</v>
      </c>
      <c r="H2010" s="1" t="str">
        <f>"1"</f>
        <v>1</v>
      </c>
      <c r="I2010" s="2">
        <v>170094.07999999999</v>
      </c>
      <c r="J2010" s="3">
        <v>46161</v>
      </c>
      <c r="K2010" s="1" t="s">
        <v>4689</v>
      </c>
    </row>
    <row r="2011" spans="1:11" x14ac:dyDescent="0.35">
      <c r="A2011" s="1" t="s">
        <v>4441</v>
      </c>
      <c r="B2011" s="1" t="s">
        <v>4855</v>
      </c>
      <c r="C2011" s="1" t="s">
        <v>4868</v>
      </c>
      <c r="D2011" s="1" t="str">
        <f>"7021"</f>
        <v>7021</v>
      </c>
      <c r="E2011" s="1" t="s">
        <v>1644</v>
      </c>
      <c r="F2011" s="1" t="s">
        <v>1645</v>
      </c>
      <c r="G2011" s="1" t="s">
        <v>16</v>
      </c>
      <c r="H2011" s="1" t="str">
        <f>"1"</f>
        <v>1</v>
      </c>
      <c r="I2011" s="2" t="str">
        <f>"1000"</f>
        <v>1000</v>
      </c>
      <c r="J2011" s="3">
        <v>46161</v>
      </c>
      <c r="K2011" s="1" t="s">
        <v>4869</v>
      </c>
    </row>
    <row r="2012" spans="1:11" x14ac:dyDescent="0.35">
      <c r="A2012" s="1" t="s">
        <v>4441</v>
      </c>
      <c r="B2012" s="1" t="s">
        <v>4450</v>
      </c>
      <c r="C2012" s="1" t="s">
        <v>4463</v>
      </c>
      <c r="D2012" s="1" t="str">
        <f>"3750"</f>
        <v>3750</v>
      </c>
      <c r="E2012" s="1" t="s">
        <v>996</v>
      </c>
      <c r="F2012" s="1" t="s">
        <v>997</v>
      </c>
      <c r="G2012" s="1" t="s">
        <v>16</v>
      </c>
      <c r="H2012" s="1" t="str">
        <f>"1"</f>
        <v>1</v>
      </c>
      <c r="I2012" s="2">
        <v>9543.5499999999993</v>
      </c>
      <c r="J2012" s="3">
        <v>46162</v>
      </c>
      <c r="K2012" s="1" t="s">
        <v>4464</v>
      </c>
    </row>
    <row r="2013" spans="1:11" x14ac:dyDescent="0.35">
      <c r="A2013" s="1" t="s">
        <v>4441</v>
      </c>
      <c r="B2013" s="1" t="s">
        <v>4450</v>
      </c>
      <c r="C2013" s="1" t="s">
        <v>4467</v>
      </c>
      <c r="D2013" s="1" t="str">
        <f>"3805"</f>
        <v>3805</v>
      </c>
      <c r="E2013" s="1" t="s">
        <v>384</v>
      </c>
      <c r="F2013" s="1" t="s">
        <v>385</v>
      </c>
      <c r="G2013" s="1" t="s">
        <v>16</v>
      </c>
      <c r="H2013" s="1" t="str">
        <f>"1"</f>
        <v>1</v>
      </c>
      <c r="I2013" s="2" t="str">
        <f>"16000"</f>
        <v>16000</v>
      </c>
      <c r="J2013" s="3">
        <v>46162</v>
      </c>
      <c r="K2013" s="1" t="s">
        <v>4468</v>
      </c>
    </row>
    <row r="2014" spans="1:11" x14ac:dyDescent="0.35">
      <c r="A2014" s="1" t="s">
        <v>4441</v>
      </c>
      <c r="B2014" s="1" t="s">
        <v>4450</v>
      </c>
      <c r="C2014" s="1" t="s">
        <v>4543</v>
      </c>
      <c r="D2014" s="1" t="str">
        <f>"8145"</f>
        <v>8145</v>
      </c>
      <c r="E2014" s="1" t="s">
        <v>408</v>
      </c>
      <c r="F2014" s="1" t="s">
        <v>409</v>
      </c>
      <c r="G2014" s="1" t="s">
        <v>16</v>
      </c>
      <c r="H2014" s="1" t="str">
        <f>"1"</f>
        <v>1</v>
      </c>
      <c r="I2014" s="2" t="str">
        <f>"3000"</f>
        <v>3000</v>
      </c>
      <c r="J2014" s="3">
        <v>46162</v>
      </c>
      <c r="K2014" s="1" t="s">
        <v>4544</v>
      </c>
    </row>
    <row r="2015" spans="1:11" x14ac:dyDescent="0.35">
      <c r="A2015" s="1" t="s">
        <v>4441</v>
      </c>
      <c r="B2015" s="1" t="s">
        <v>4709</v>
      </c>
      <c r="C2015" s="1" t="s">
        <v>4710</v>
      </c>
      <c r="D2015" s="1" t="str">
        <f>"8115"</f>
        <v>8115</v>
      </c>
      <c r="E2015" s="1" t="s">
        <v>483</v>
      </c>
      <c r="F2015" s="1" t="s">
        <v>484</v>
      </c>
      <c r="G2015" s="1" t="s">
        <v>16</v>
      </c>
      <c r="H2015" s="1" t="str">
        <f>"1"</f>
        <v>1</v>
      </c>
      <c r="I2015" s="2">
        <v>54.29</v>
      </c>
      <c r="J2015" s="3">
        <v>46162</v>
      </c>
      <c r="K2015" s="1" t="s">
        <v>4711</v>
      </c>
    </row>
    <row r="2016" spans="1:11" x14ac:dyDescent="0.35">
      <c r="A2016" s="1" t="s">
        <v>4441</v>
      </c>
      <c r="B2016" s="1" t="s">
        <v>4709</v>
      </c>
      <c r="C2016" s="1" t="s">
        <v>4712</v>
      </c>
      <c r="D2016" s="1" t="str">
        <f>"8115"</f>
        <v>8115</v>
      </c>
      <c r="E2016" s="1" t="s">
        <v>483</v>
      </c>
      <c r="F2016" s="1" t="s">
        <v>484</v>
      </c>
      <c r="G2016" s="1" t="s">
        <v>16</v>
      </c>
      <c r="H2016" s="1" t="str">
        <f>"1"</f>
        <v>1</v>
      </c>
      <c r="I2016" s="2">
        <v>54.29</v>
      </c>
      <c r="J2016" s="3">
        <v>46162</v>
      </c>
      <c r="K2016" s="1" t="s">
        <v>4711</v>
      </c>
    </row>
    <row r="2017" spans="1:11" x14ac:dyDescent="0.35">
      <c r="A2017" s="1" t="s">
        <v>4441</v>
      </c>
      <c r="B2017" s="1" t="s">
        <v>4709</v>
      </c>
      <c r="C2017" s="1" t="s">
        <v>4713</v>
      </c>
      <c r="D2017" s="1" t="str">
        <f>"8115"</f>
        <v>8115</v>
      </c>
      <c r="E2017" s="1" t="s">
        <v>483</v>
      </c>
      <c r="F2017" s="1" t="s">
        <v>484</v>
      </c>
      <c r="G2017" s="1" t="s">
        <v>16</v>
      </c>
      <c r="H2017" s="1" t="str">
        <f>"1"</f>
        <v>1</v>
      </c>
      <c r="I2017" s="2">
        <v>54.29</v>
      </c>
      <c r="J2017" s="3">
        <v>46162</v>
      </c>
      <c r="K2017" s="1" t="s">
        <v>4711</v>
      </c>
    </row>
    <row r="2018" spans="1:11" x14ac:dyDescent="0.35">
      <c r="A2018" s="1" t="s">
        <v>4441</v>
      </c>
      <c r="B2018" s="1" t="s">
        <v>4709</v>
      </c>
      <c r="C2018" s="1" t="s">
        <v>4714</v>
      </c>
      <c r="D2018" s="1" t="str">
        <f>"8115"</f>
        <v>8115</v>
      </c>
      <c r="E2018" s="1" t="s">
        <v>483</v>
      </c>
      <c r="F2018" s="1" t="s">
        <v>484</v>
      </c>
      <c r="G2018" s="1" t="s">
        <v>16</v>
      </c>
      <c r="H2018" s="1" t="str">
        <f>"1"</f>
        <v>1</v>
      </c>
      <c r="I2018" s="2">
        <v>54.29</v>
      </c>
      <c r="J2018" s="3">
        <v>46162</v>
      </c>
      <c r="K2018" s="1" t="s">
        <v>4711</v>
      </c>
    </row>
    <row r="2019" spans="1:11" x14ac:dyDescent="0.35">
      <c r="A2019" s="1" t="s">
        <v>4441</v>
      </c>
      <c r="B2019" s="1" t="s">
        <v>4709</v>
      </c>
      <c r="C2019" s="1" t="s">
        <v>4715</v>
      </c>
      <c r="D2019" s="1" t="str">
        <f>"8115"</f>
        <v>8115</v>
      </c>
      <c r="E2019" s="1" t="s">
        <v>483</v>
      </c>
      <c r="F2019" s="1" t="s">
        <v>484</v>
      </c>
      <c r="G2019" s="1" t="s">
        <v>16</v>
      </c>
      <c r="H2019" s="1" t="str">
        <f>"1"</f>
        <v>1</v>
      </c>
      <c r="I2019" s="2">
        <v>54.29</v>
      </c>
      <c r="J2019" s="3">
        <v>46162</v>
      </c>
      <c r="K2019" s="1" t="s">
        <v>4711</v>
      </c>
    </row>
    <row r="2020" spans="1:11" x14ac:dyDescent="0.35">
      <c r="A2020" s="1" t="s">
        <v>4441</v>
      </c>
      <c r="B2020" s="1" t="s">
        <v>4709</v>
      </c>
      <c r="C2020" s="1" t="s">
        <v>4716</v>
      </c>
      <c r="D2020" s="1" t="str">
        <f>"8115"</f>
        <v>8115</v>
      </c>
      <c r="E2020" s="1" t="s">
        <v>483</v>
      </c>
      <c r="F2020" s="1" t="s">
        <v>484</v>
      </c>
      <c r="G2020" s="1" t="s">
        <v>16</v>
      </c>
      <c r="H2020" s="1" t="str">
        <f>"1"</f>
        <v>1</v>
      </c>
      <c r="I2020" s="2">
        <v>54.29</v>
      </c>
      <c r="J2020" s="3">
        <v>46162</v>
      </c>
      <c r="K2020" s="1" t="s">
        <v>4711</v>
      </c>
    </row>
    <row r="2021" spans="1:11" x14ac:dyDescent="0.35">
      <c r="A2021" s="1" t="s">
        <v>4441</v>
      </c>
      <c r="B2021" s="1" t="s">
        <v>4709</v>
      </c>
      <c r="C2021" s="1" t="s">
        <v>4717</v>
      </c>
      <c r="D2021" s="1" t="str">
        <f>"8115"</f>
        <v>8115</v>
      </c>
      <c r="E2021" s="1" t="s">
        <v>483</v>
      </c>
      <c r="F2021" s="1" t="s">
        <v>484</v>
      </c>
      <c r="G2021" s="1" t="s">
        <v>16</v>
      </c>
      <c r="H2021" s="1" t="str">
        <f>"1"</f>
        <v>1</v>
      </c>
      <c r="I2021" s="2">
        <v>54.29</v>
      </c>
      <c r="J2021" s="3">
        <v>46162</v>
      </c>
      <c r="K2021" s="1" t="s">
        <v>4711</v>
      </c>
    </row>
    <row r="2022" spans="1:11" x14ac:dyDescent="0.35">
      <c r="A2022" s="1" t="s">
        <v>4441</v>
      </c>
      <c r="B2022" s="1" t="s">
        <v>4709</v>
      </c>
      <c r="C2022" s="1" t="s">
        <v>4718</v>
      </c>
      <c r="D2022" s="1" t="str">
        <f>"8115"</f>
        <v>8115</v>
      </c>
      <c r="E2022" s="1" t="s">
        <v>483</v>
      </c>
      <c r="F2022" s="1" t="s">
        <v>484</v>
      </c>
      <c r="G2022" s="1" t="s">
        <v>16</v>
      </c>
      <c r="H2022" s="1" t="str">
        <f>"1"</f>
        <v>1</v>
      </c>
      <c r="I2022" s="2">
        <v>54.29</v>
      </c>
      <c r="J2022" s="3">
        <v>46162</v>
      </c>
      <c r="K2022" s="1" t="s">
        <v>4711</v>
      </c>
    </row>
    <row r="2023" spans="1:11" x14ac:dyDescent="0.35">
      <c r="A2023" s="1" t="s">
        <v>4441</v>
      </c>
      <c r="B2023" s="1" t="s">
        <v>4737</v>
      </c>
      <c r="C2023" s="1" t="s">
        <v>4741</v>
      </c>
      <c r="D2023" s="1" t="str">
        <f>"2340"</f>
        <v>2340</v>
      </c>
      <c r="E2023" s="1" t="s">
        <v>61</v>
      </c>
      <c r="F2023" s="1" t="s">
        <v>62</v>
      </c>
      <c r="G2023" s="1" t="s">
        <v>16</v>
      </c>
      <c r="H2023" s="1" t="str">
        <f>"1"</f>
        <v>1</v>
      </c>
      <c r="I2023" s="2" t="str">
        <f>"6500"</f>
        <v>6500</v>
      </c>
      <c r="J2023" s="3">
        <v>46162</v>
      </c>
      <c r="K2023" s="1" t="s">
        <v>4742</v>
      </c>
    </row>
    <row r="2024" spans="1:11" x14ac:dyDescent="0.35">
      <c r="A2024" s="1" t="s">
        <v>4441</v>
      </c>
      <c r="B2024" s="1" t="s">
        <v>4802</v>
      </c>
      <c r="C2024" s="1" t="s">
        <v>4810</v>
      </c>
      <c r="D2024" s="1" t="str">
        <f>"3930"</f>
        <v>3930</v>
      </c>
      <c r="E2024" s="1" t="s">
        <v>1476</v>
      </c>
      <c r="F2024" s="1" t="s">
        <v>1477</v>
      </c>
      <c r="G2024" s="1" t="s">
        <v>16</v>
      </c>
      <c r="H2024" s="1" t="str">
        <f>"1"</f>
        <v>1</v>
      </c>
      <c r="I2024" s="2" t="str">
        <f>"4500"</f>
        <v>4500</v>
      </c>
      <c r="J2024" s="3">
        <v>46162</v>
      </c>
      <c r="K2024" s="1" t="s">
        <v>4811</v>
      </c>
    </row>
    <row r="2025" spans="1:11" x14ac:dyDescent="0.35">
      <c r="A2025" s="1" t="s">
        <v>4441</v>
      </c>
      <c r="B2025" s="1" t="s">
        <v>4812</v>
      </c>
      <c r="C2025" s="1" t="s">
        <v>4820</v>
      </c>
      <c r="D2025" s="1" t="str">
        <f>"3750"</f>
        <v>3750</v>
      </c>
      <c r="E2025" s="1" t="s">
        <v>996</v>
      </c>
      <c r="F2025" s="1" t="s">
        <v>997</v>
      </c>
      <c r="G2025" s="1" t="s">
        <v>16</v>
      </c>
      <c r="H2025" s="1" t="str">
        <f>"1"</f>
        <v>1</v>
      </c>
      <c r="I2025" s="2">
        <v>13359.1</v>
      </c>
      <c r="J2025" s="3">
        <v>46163</v>
      </c>
      <c r="K2025" s="1" t="s">
        <v>4821</v>
      </c>
    </row>
    <row r="2026" spans="1:11" x14ac:dyDescent="0.35">
      <c r="A2026" s="1" t="s">
        <v>4441</v>
      </c>
      <c r="B2026" s="1" t="s">
        <v>4812</v>
      </c>
      <c r="C2026" s="1" t="s">
        <v>4822</v>
      </c>
      <c r="D2026" s="1" t="str">
        <f>"3750"</f>
        <v>3750</v>
      </c>
      <c r="E2026" s="1" t="s">
        <v>996</v>
      </c>
      <c r="F2026" s="1" t="s">
        <v>997</v>
      </c>
      <c r="G2026" s="1" t="s">
        <v>16</v>
      </c>
      <c r="H2026" s="1" t="str">
        <f>"1"</f>
        <v>1</v>
      </c>
      <c r="I2026" s="2">
        <v>9543.5499999999993</v>
      </c>
      <c r="J2026" s="3">
        <v>46163</v>
      </c>
      <c r="K2026" s="1" t="s">
        <v>4821</v>
      </c>
    </row>
    <row r="2027" spans="1:11" x14ac:dyDescent="0.35">
      <c r="A2027" s="1" t="s">
        <v>4441</v>
      </c>
      <c r="B2027" s="1" t="s">
        <v>4855</v>
      </c>
      <c r="C2027" s="1" t="s">
        <v>4860</v>
      </c>
      <c r="D2027" s="1" t="str">
        <f>"3940"</f>
        <v>3940</v>
      </c>
      <c r="E2027" s="1" t="str">
        <f>"015771836"</f>
        <v>015771836</v>
      </c>
      <c r="F2027" s="1" t="s">
        <v>1010</v>
      </c>
      <c r="G2027" s="1" t="s">
        <v>16</v>
      </c>
      <c r="H2027" s="1" t="str">
        <f>"1"</f>
        <v>1</v>
      </c>
      <c r="I2027" s="2">
        <v>16821.11</v>
      </c>
      <c r="J2027" s="3">
        <v>46163</v>
      </c>
      <c r="K2027" s="1" t="s">
        <v>4861</v>
      </c>
    </row>
    <row r="2028" spans="1:11" x14ac:dyDescent="0.35">
      <c r="A2028" s="1" t="s">
        <v>4441</v>
      </c>
      <c r="B2028" s="1" t="s">
        <v>4609</v>
      </c>
      <c r="C2028" s="1" t="s">
        <v>4610</v>
      </c>
      <c r="D2028" s="1" t="str">
        <f>"7110"</f>
        <v>7110</v>
      </c>
      <c r="E2028" s="1" t="str">
        <f>"014936759"</f>
        <v>014936759</v>
      </c>
      <c r="F2028" s="1" t="s">
        <v>4611</v>
      </c>
      <c r="G2028" s="1" t="s">
        <v>16</v>
      </c>
      <c r="H2028" s="1" t="str">
        <f>"6"</f>
        <v>6</v>
      </c>
      <c r="I2028" s="2">
        <v>827.71</v>
      </c>
      <c r="J2028" s="3">
        <v>46168</v>
      </c>
      <c r="K2028" s="1" t="s">
        <v>4612</v>
      </c>
    </row>
    <row r="2029" spans="1:11" x14ac:dyDescent="0.35">
      <c r="A2029" s="1" t="s">
        <v>4441</v>
      </c>
      <c r="B2029" s="1" t="s">
        <v>4613</v>
      </c>
      <c r="C2029" s="1" t="s">
        <v>4616</v>
      </c>
      <c r="D2029" s="1" t="str">
        <f>"5855"</f>
        <v>5855</v>
      </c>
      <c r="E2029" s="1" t="str">
        <f>"015345931"</f>
        <v>015345931</v>
      </c>
      <c r="F2029" s="1" t="s">
        <v>1379</v>
      </c>
      <c r="G2029" s="1" t="s">
        <v>16</v>
      </c>
      <c r="H2029" s="1" t="str">
        <f>"8"</f>
        <v>8</v>
      </c>
      <c r="I2029" s="2" t="str">
        <f>"970"</f>
        <v>970</v>
      </c>
      <c r="J2029" s="3">
        <v>46168</v>
      </c>
      <c r="K2029" s="1" t="s">
        <v>4617</v>
      </c>
    </row>
    <row r="2030" spans="1:11" x14ac:dyDescent="0.35">
      <c r="A2030" s="1" t="s">
        <v>4441</v>
      </c>
      <c r="B2030" s="1" t="s">
        <v>4812</v>
      </c>
      <c r="C2030" s="1" t="s">
        <v>4813</v>
      </c>
      <c r="D2030" s="1" t="str">
        <f>"2540"</f>
        <v>2540</v>
      </c>
      <c r="E2030" s="1" t="str">
        <f>"015987911"</f>
        <v>015987911</v>
      </c>
      <c r="F2030" s="1" t="s">
        <v>4814</v>
      </c>
      <c r="G2030" s="1" t="s">
        <v>16</v>
      </c>
      <c r="H2030" s="1" t="str">
        <f>"1"</f>
        <v>1</v>
      </c>
      <c r="I2030" s="2">
        <v>1434.95</v>
      </c>
      <c r="J2030" s="3">
        <v>46168</v>
      </c>
      <c r="K2030" s="1" t="s">
        <v>4815</v>
      </c>
    </row>
    <row r="2031" spans="1:11" x14ac:dyDescent="0.35">
      <c r="A2031" s="1" t="s">
        <v>4441</v>
      </c>
      <c r="B2031" s="1" t="s">
        <v>4812</v>
      </c>
      <c r="C2031" s="1" t="s">
        <v>4831</v>
      </c>
      <c r="D2031" s="1" t="str">
        <f>"5130"</f>
        <v>5130</v>
      </c>
      <c r="E2031" s="1" t="s">
        <v>4832</v>
      </c>
      <c r="F2031" s="1" t="s">
        <v>4833</v>
      </c>
      <c r="G2031" s="1" t="s">
        <v>16</v>
      </c>
      <c r="H2031" s="1" t="str">
        <f>"1"</f>
        <v>1</v>
      </c>
      <c r="I2031" s="2">
        <v>219.89</v>
      </c>
      <c r="J2031" s="3">
        <v>46168</v>
      </c>
      <c r="K2031" s="1" t="s">
        <v>4834</v>
      </c>
    </row>
    <row r="2032" spans="1:11" x14ac:dyDescent="0.35">
      <c r="A2032" s="1" t="s">
        <v>4441</v>
      </c>
      <c r="B2032" s="1" t="s">
        <v>4812</v>
      </c>
      <c r="C2032" s="1" t="s">
        <v>4835</v>
      </c>
      <c r="D2032" s="1" t="str">
        <f>"5130"</f>
        <v>5130</v>
      </c>
      <c r="E2032" s="1" t="s">
        <v>4832</v>
      </c>
      <c r="F2032" s="1" t="s">
        <v>4833</v>
      </c>
      <c r="G2032" s="1" t="s">
        <v>16</v>
      </c>
      <c r="H2032" s="1" t="str">
        <f>"1"</f>
        <v>1</v>
      </c>
      <c r="I2032" s="2">
        <v>146.4</v>
      </c>
      <c r="J2032" s="3">
        <v>46168</v>
      </c>
      <c r="K2032" s="1" t="s">
        <v>4836</v>
      </c>
    </row>
    <row r="2033" spans="1:11" x14ac:dyDescent="0.35">
      <c r="A2033" s="1" t="s">
        <v>4441</v>
      </c>
      <c r="B2033" s="1" t="s">
        <v>4812</v>
      </c>
      <c r="C2033" s="1" t="s">
        <v>4840</v>
      </c>
      <c r="D2033" s="1" t="str">
        <f>"5140"</f>
        <v>5140</v>
      </c>
      <c r="E2033" s="1" t="s">
        <v>761</v>
      </c>
      <c r="F2033" s="1" t="s">
        <v>762</v>
      </c>
      <c r="G2033" s="1" t="s">
        <v>16</v>
      </c>
      <c r="H2033" s="1" t="str">
        <f>"2"</f>
        <v>2</v>
      </c>
      <c r="I2033" s="2" t="str">
        <f>"800"</f>
        <v>800</v>
      </c>
      <c r="J2033" s="3">
        <v>46168</v>
      </c>
      <c r="K2033" s="1" t="s">
        <v>4841</v>
      </c>
    </row>
    <row r="2034" spans="1:11" x14ac:dyDescent="0.35">
      <c r="A2034" s="1" t="s">
        <v>4441</v>
      </c>
      <c r="B2034" s="1" t="s">
        <v>4812</v>
      </c>
      <c r="C2034" s="1" t="s">
        <v>4854</v>
      </c>
      <c r="D2034" s="1" t="str">
        <f>"7830"</f>
        <v>7830</v>
      </c>
      <c r="E2034" s="1" t="s">
        <v>453</v>
      </c>
      <c r="F2034" s="1" t="s">
        <v>454</v>
      </c>
      <c r="G2034" s="1" t="s">
        <v>16</v>
      </c>
      <c r="H2034" s="1" t="str">
        <f>"1"</f>
        <v>1</v>
      </c>
      <c r="I2034" s="2" t="str">
        <f>"1500"</f>
        <v>1500</v>
      </c>
      <c r="J2034" s="3">
        <v>46168</v>
      </c>
      <c r="K2034" s="1" t="s">
        <v>4852</v>
      </c>
    </row>
    <row r="2035" spans="1:11" x14ac:dyDescent="0.35">
      <c r="A2035" s="1" t="s">
        <v>4441</v>
      </c>
      <c r="B2035" s="1" t="s">
        <v>4450</v>
      </c>
      <c r="C2035" s="1" t="s">
        <v>4459</v>
      </c>
      <c r="D2035" s="1" t="str">
        <f>"2340"</f>
        <v>2340</v>
      </c>
      <c r="E2035" s="1" t="s">
        <v>2548</v>
      </c>
      <c r="F2035" s="1" t="s">
        <v>2549</v>
      </c>
      <c r="G2035" s="1" t="s">
        <v>16</v>
      </c>
      <c r="H2035" s="1" t="str">
        <f>"1"</f>
        <v>1</v>
      </c>
      <c r="I2035" s="2" t="str">
        <f>"4593"</f>
        <v>4593</v>
      </c>
      <c r="J2035" s="3">
        <v>46170</v>
      </c>
      <c r="K2035" s="1" t="s">
        <v>4460</v>
      </c>
    </row>
    <row r="2036" spans="1:11" x14ac:dyDescent="0.35">
      <c r="A2036" s="1" t="s">
        <v>4441</v>
      </c>
      <c r="B2036" s="1" t="s">
        <v>4450</v>
      </c>
      <c r="C2036" s="1" t="s">
        <v>4522</v>
      </c>
      <c r="D2036" s="1" t="str">
        <f>"6130"</f>
        <v>6130</v>
      </c>
      <c r="E2036" s="1" t="str">
        <f>"014952839"</f>
        <v>014952839</v>
      </c>
      <c r="F2036" s="1" t="s">
        <v>227</v>
      </c>
      <c r="G2036" s="1" t="s">
        <v>16</v>
      </c>
      <c r="H2036" s="1" t="str">
        <f>"1"</f>
        <v>1</v>
      </c>
      <c r="I2036" s="2" t="str">
        <f>"4393"</f>
        <v>4393</v>
      </c>
      <c r="J2036" s="3">
        <v>46170</v>
      </c>
      <c r="K2036" s="1" t="s">
        <v>4523</v>
      </c>
    </row>
    <row r="2037" spans="1:11" x14ac:dyDescent="0.35">
      <c r="A2037" s="1" t="s">
        <v>4441</v>
      </c>
      <c r="B2037" s="1" t="s">
        <v>4442</v>
      </c>
      <c r="C2037" s="1" t="s">
        <v>4443</v>
      </c>
      <c r="D2037" s="1" t="str">
        <f>"2320"</f>
        <v>2320</v>
      </c>
      <c r="E2037" s="1" t="str">
        <f>"010478754"</f>
        <v>010478754</v>
      </c>
      <c r="F2037" s="1" t="s">
        <v>4444</v>
      </c>
      <c r="G2037" s="1" t="s">
        <v>16</v>
      </c>
      <c r="H2037" s="1" t="str">
        <f>"1"</f>
        <v>1</v>
      </c>
      <c r="I2037" s="2" t="str">
        <f>"125736"</f>
        <v>125736</v>
      </c>
      <c r="J2037" s="3">
        <v>46174</v>
      </c>
      <c r="K2037" s="1" t="s">
        <v>4445</v>
      </c>
    </row>
    <row r="2038" spans="1:11" x14ac:dyDescent="0.35">
      <c r="A2038" s="1" t="s">
        <v>4441</v>
      </c>
      <c r="B2038" s="1" t="s">
        <v>4551</v>
      </c>
      <c r="C2038" s="1" t="s">
        <v>4556</v>
      </c>
      <c r="D2038" s="1" t="str">
        <f>"3750"</f>
        <v>3750</v>
      </c>
      <c r="E2038" s="1" t="s">
        <v>996</v>
      </c>
      <c r="F2038" s="1" t="s">
        <v>997</v>
      </c>
      <c r="G2038" s="1" t="s">
        <v>16</v>
      </c>
      <c r="H2038" s="1" t="str">
        <f>"1"</f>
        <v>1</v>
      </c>
      <c r="I2038" s="2">
        <v>13359.1</v>
      </c>
      <c r="J2038" s="3">
        <v>46174</v>
      </c>
      <c r="K2038" s="1" t="s">
        <v>4557</v>
      </c>
    </row>
    <row r="2039" spans="1:11" x14ac:dyDescent="0.35">
      <c r="A2039" s="1" t="s">
        <v>4441</v>
      </c>
      <c r="B2039" s="1" t="s">
        <v>4551</v>
      </c>
      <c r="C2039" s="1" t="s">
        <v>4574</v>
      </c>
      <c r="D2039" s="1" t="str">
        <f>"7830"</f>
        <v>7830</v>
      </c>
      <c r="E2039" s="1" t="str">
        <f>"016751851"</f>
        <v>016751851</v>
      </c>
      <c r="F2039" s="1" t="s">
        <v>2066</v>
      </c>
      <c r="G2039" s="1" t="s">
        <v>16</v>
      </c>
      <c r="H2039" s="1" t="str">
        <f>"1"</f>
        <v>1</v>
      </c>
      <c r="I2039" s="2" t="str">
        <f>"2585"</f>
        <v>2585</v>
      </c>
      <c r="J2039" s="3">
        <v>46174</v>
      </c>
      <c r="K2039" s="1" t="s">
        <v>4575</v>
      </c>
    </row>
    <row r="2040" spans="1:11" x14ac:dyDescent="0.35">
      <c r="A2040" s="1" t="s">
        <v>4441</v>
      </c>
      <c r="B2040" s="1" t="s">
        <v>4737</v>
      </c>
      <c r="C2040" s="1" t="s">
        <v>4755</v>
      </c>
      <c r="D2040" s="1" t="str">
        <f>"6230"</f>
        <v>6230</v>
      </c>
      <c r="E2040" s="1" t="str">
        <f>"005426680"</f>
        <v>005426680</v>
      </c>
      <c r="F2040" s="1" t="s">
        <v>4756</v>
      </c>
      <c r="G2040" s="1" t="s">
        <v>458</v>
      </c>
      <c r="H2040" s="1" t="str">
        <f>"2"</f>
        <v>2</v>
      </c>
      <c r="I2040" s="2">
        <v>214.59</v>
      </c>
      <c r="J2040" s="3">
        <v>46175</v>
      </c>
      <c r="K2040" s="1" t="s">
        <v>4757</v>
      </c>
    </row>
    <row r="2041" spans="1:11" x14ac:dyDescent="0.35">
      <c r="A2041" s="1" t="s">
        <v>4441</v>
      </c>
      <c r="B2041" s="1" t="s">
        <v>4737</v>
      </c>
      <c r="C2041" s="1" t="s">
        <v>4775</v>
      </c>
      <c r="D2041" s="1" t="str">
        <f>"8145"</f>
        <v>8145</v>
      </c>
      <c r="E2041" s="1" t="str">
        <f>"004858256"</f>
        <v>004858256</v>
      </c>
      <c r="F2041" s="1" t="s">
        <v>423</v>
      </c>
      <c r="G2041" s="1" t="s">
        <v>16</v>
      </c>
      <c r="H2041" s="1" t="str">
        <f>"1"</f>
        <v>1</v>
      </c>
      <c r="I2041" s="2" t="str">
        <f>"119"</f>
        <v>119</v>
      </c>
      <c r="J2041" s="3">
        <v>46175</v>
      </c>
      <c r="K2041" s="1" t="s">
        <v>4776</v>
      </c>
    </row>
    <row r="2042" spans="1:11" x14ac:dyDescent="0.35">
      <c r="A2042" s="1" t="s">
        <v>4441</v>
      </c>
      <c r="B2042" s="1" t="s">
        <v>4737</v>
      </c>
      <c r="C2042" s="1" t="s">
        <v>4777</v>
      </c>
      <c r="D2042" s="1" t="str">
        <f>"8145"</f>
        <v>8145</v>
      </c>
      <c r="E2042" s="1" t="str">
        <f>"005226907"</f>
        <v>005226907</v>
      </c>
      <c r="F2042" s="1" t="s">
        <v>423</v>
      </c>
      <c r="G2042" s="1" t="s">
        <v>16</v>
      </c>
      <c r="H2042" s="1" t="str">
        <f>"5"</f>
        <v>5</v>
      </c>
      <c r="I2042" s="2" t="str">
        <f>"100"</f>
        <v>100</v>
      </c>
      <c r="J2042" s="3">
        <v>46175</v>
      </c>
      <c r="K2042" s="1" t="s">
        <v>4776</v>
      </c>
    </row>
    <row r="2043" spans="1:11" x14ac:dyDescent="0.35">
      <c r="A2043" s="1" t="s">
        <v>4441</v>
      </c>
      <c r="B2043" s="1" t="s">
        <v>4737</v>
      </c>
      <c r="C2043" s="1" t="s">
        <v>4782</v>
      </c>
      <c r="D2043" s="1" t="str">
        <f>"8340"</f>
        <v>8340</v>
      </c>
      <c r="E2043" s="1" t="str">
        <f>"007823232"</f>
        <v>007823232</v>
      </c>
      <c r="F2043" s="1" t="s">
        <v>1196</v>
      </c>
      <c r="G2043" s="1" t="s">
        <v>16</v>
      </c>
      <c r="H2043" s="1" t="str">
        <f>"6"</f>
        <v>6</v>
      </c>
      <c r="I2043" s="2">
        <v>4832.0200000000004</v>
      </c>
      <c r="J2043" s="3">
        <v>46175</v>
      </c>
      <c r="K2043" s="1" t="s">
        <v>4783</v>
      </c>
    </row>
    <row r="2044" spans="1:11" x14ac:dyDescent="0.35">
      <c r="A2044" s="1" t="s">
        <v>4441</v>
      </c>
      <c r="B2044" s="1" t="s">
        <v>4551</v>
      </c>
      <c r="C2044" s="1" t="s">
        <v>4558</v>
      </c>
      <c r="D2044" s="1" t="str">
        <f>"3805"</f>
        <v>3805</v>
      </c>
      <c r="E2044" s="1" t="str">
        <f>"015153766"</f>
        <v>015153766</v>
      </c>
      <c r="F2044" s="1" t="s">
        <v>132</v>
      </c>
      <c r="G2044" s="1" t="s">
        <v>16</v>
      </c>
      <c r="H2044" s="1" t="str">
        <f>"1"</f>
        <v>1</v>
      </c>
      <c r="I2044" s="2">
        <v>16100.91</v>
      </c>
      <c r="J2044" s="3">
        <v>46176</v>
      </c>
      <c r="K2044" s="1" t="s">
        <v>4559</v>
      </c>
    </row>
    <row r="2045" spans="1:11" x14ac:dyDescent="0.35">
      <c r="A2045" s="1" t="s">
        <v>4441</v>
      </c>
      <c r="B2045" s="1" t="s">
        <v>4709</v>
      </c>
      <c r="C2045" s="1" t="s">
        <v>4728</v>
      </c>
      <c r="D2045" s="1" t="str">
        <f>"8465"</f>
        <v>8465</v>
      </c>
      <c r="E2045" s="1" t="str">
        <f>"015356270"</f>
        <v>015356270</v>
      </c>
      <c r="F2045" s="1" t="s">
        <v>4729</v>
      </c>
      <c r="G2045" s="1" t="s">
        <v>16</v>
      </c>
      <c r="H2045" s="1" t="str">
        <f>"117"</f>
        <v>117</v>
      </c>
      <c r="I2045" s="2">
        <v>40.58</v>
      </c>
      <c r="J2045" s="3">
        <v>46176</v>
      </c>
      <c r="K2045" s="1" t="s">
        <v>4730</v>
      </c>
    </row>
    <row r="2046" spans="1:11" x14ac:dyDescent="0.35">
      <c r="A2046" s="1" t="s">
        <v>4441</v>
      </c>
      <c r="B2046" s="1" t="s">
        <v>4737</v>
      </c>
      <c r="C2046" s="1" t="s">
        <v>4739</v>
      </c>
      <c r="D2046" s="1" t="str">
        <f>"2330"</f>
        <v>2330</v>
      </c>
      <c r="E2046" s="1" t="str">
        <f>"013875426"</f>
        <v>013875426</v>
      </c>
      <c r="F2046" s="1" t="s">
        <v>979</v>
      </c>
      <c r="G2046" s="1" t="s">
        <v>16</v>
      </c>
      <c r="H2046" s="1" t="str">
        <f>"1"</f>
        <v>1</v>
      </c>
      <c r="I2046" s="2" t="str">
        <f>"9535"</f>
        <v>9535</v>
      </c>
      <c r="J2046" s="3">
        <v>46176</v>
      </c>
      <c r="K2046" s="1" t="s">
        <v>4740</v>
      </c>
    </row>
    <row r="2047" spans="1:11" x14ac:dyDescent="0.35">
      <c r="A2047" s="1" t="s">
        <v>4441</v>
      </c>
      <c r="B2047" s="1" t="s">
        <v>4737</v>
      </c>
      <c r="C2047" s="1" t="s">
        <v>4747</v>
      </c>
      <c r="D2047" s="1" t="str">
        <f>"6115"</f>
        <v>6115</v>
      </c>
      <c r="E2047" s="1" t="str">
        <f>"012747387"</f>
        <v>012747387</v>
      </c>
      <c r="F2047" s="1" t="s">
        <v>1390</v>
      </c>
      <c r="G2047" s="1" t="s">
        <v>16</v>
      </c>
      <c r="H2047" s="1" t="str">
        <f>"1"</f>
        <v>1</v>
      </c>
      <c r="I2047" s="2">
        <v>12797.7</v>
      </c>
      <c r="J2047" s="3">
        <v>46176</v>
      </c>
      <c r="K2047" s="1" t="s">
        <v>4748</v>
      </c>
    </row>
    <row r="2048" spans="1:11" x14ac:dyDescent="0.35">
      <c r="A2048" s="1" t="s">
        <v>4441</v>
      </c>
      <c r="B2048" s="1" t="s">
        <v>4737</v>
      </c>
      <c r="C2048" s="1" t="s">
        <v>4749</v>
      </c>
      <c r="D2048" s="1" t="str">
        <f>"6115"</f>
        <v>6115</v>
      </c>
      <c r="E2048" s="1" t="str">
        <f>"013199032"</f>
        <v>013199032</v>
      </c>
      <c r="F2048" s="1" t="s">
        <v>224</v>
      </c>
      <c r="G2048" s="1" t="s">
        <v>16</v>
      </c>
      <c r="H2048" s="1" t="str">
        <f>"1"</f>
        <v>1</v>
      </c>
      <c r="I2048" s="2" t="str">
        <f>"17730"</f>
        <v>17730</v>
      </c>
      <c r="J2048" s="3">
        <v>46176</v>
      </c>
      <c r="K2048" s="1" t="s">
        <v>4750</v>
      </c>
    </row>
    <row r="2049" spans="1:11" x14ac:dyDescent="0.35">
      <c r="A2049" s="1" t="s">
        <v>4441</v>
      </c>
      <c r="B2049" s="1" t="s">
        <v>4737</v>
      </c>
      <c r="C2049" s="1" t="s">
        <v>4769</v>
      </c>
      <c r="D2049" s="1" t="str">
        <f>"7025"</f>
        <v>7025</v>
      </c>
      <c r="E2049" s="1" t="s">
        <v>4770</v>
      </c>
      <c r="F2049" s="1" t="s">
        <v>4771</v>
      </c>
      <c r="G2049" s="1" t="s">
        <v>16</v>
      </c>
      <c r="H2049" s="1" t="str">
        <f>"1"</f>
        <v>1</v>
      </c>
      <c r="I2049" s="2" t="str">
        <f>"13187"</f>
        <v>13187</v>
      </c>
      <c r="J2049" s="3">
        <v>46176</v>
      </c>
      <c r="K2049" s="1" t="s">
        <v>4772</v>
      </c>
    </row>
    <row r="2050" spans="1:11" x14ac:dyDescent="0.35">
      <c r="A2050" s="1" t="s">
        <v>4441</v>
      </c>
      <c r="B2050" s="1" t="s">
        <v>4737</v>
      </c>
      <c r="C2050" s="1" t="s">
        <v>4778</v>
      </c>
      <c r="D2050" s="1" t="str">
        <f>"8340"</f>
        <v>8340</v>
      </c>
      <c r="E2050" s="1" t="str">
        <f>"015140578"</f>
        <v>015140578</v>
      </c>
      <c r="F2050" s="1" t="s">
        <v>4546</v>
      </c>
      <c r="G2050" s="1" t="s">
        <v>16</v>
      </c>
      <c r="H2050" s="1" t="str">
        <f>"1"</f>
        <v>1</v>
      </c>
      <c r="I2050" s="2">
        <v>170094.07999999999</v>
      </c>
      <c r="J2050" s="3">
        <v>46176</v>
      </c>
      <c r="K2050" s="1" t="s">
        <v>4779</v>
      </c>
    </row>
    <row r="2051" spans="1:11" x14ac:dyDescent="0.35">
      <c r="A2051" s="1" t="s">
        <v>4441</v>
      </c>
      <c r="B2051" s="1" t="s">
        <v>4737</v>
      </c>
      <c r="C2051" s="1" t="s">
        <v>4780</v>
      </c>
      <c r="D2051" s="1" t="str">
        <f>"8340"</f>
        <v>8340</v>
      </c>
      <c r="E2051" s="1" t="str">
        <f>"015140578"</f>
        <v>015140578</v>
      </c>
      <c r="F2051" s="1" t="s">
        <v>4546</v>
      </c>
      <c r="G2051" s="1" t="s">
        <v>16</v>
      </c>
      <c r="H2051" s="1" t="str">
        <f>"1"</f>
        <v>1</v>
      </c>
      <c r="I2051" s="2">
        <v>170094.07999999999</v>
      </c>
      <c r="J2051" s="3">
        <v>46176</v>
      </c>
      <c r="K2051" s="1" t="s">
        <v>4779</v>
      </c>
    </row>
    <row r="2052" spans="1:11" x14ac:dyDescent="0.35">
      <c r="A2052" s="1" t="s">
        <v>4441</v>
      </c>
      <c r="B2052" s="1" t="s">
        <v>4737</v>
      </c>
      <c r="C2052" s="1" t="s">
        <v>4781</v>
      </c>
      <c r="D2052" s="1" t="str">
        <f>"8340"</f>
        <v>8340</v>
      </c>
      <c r="E2052" s="1" t="str">
        <f>"015140578"</f>
        <v>015140578</v>
      </c>
      <c r="F2052" s="1" t="s">
        <v>4546</v>
      </c>
      <c r="G2052" s="1" t="s">
        <v>16</v>
      </c>
      <c r="H2052" s="1" t="str">
        <f>"1"</f>
        <v>1</v>
      </c>
      <c r="I2052" s="2">
        <v>170094.07999999999</v>
      </c>
      <c r="J2052" s="3">
        <v>46176</v>
      </c>
      <c r="K2052" s="1" t="s">
        <v>4779</v>
      </c>
    </row>
    <row r="2053" spans="1:11" x14ac:dyDescent="0.35">
      <c r="A2053" s="1" t="s">
        <v>4441</v>
      </c>
      <c r="B2053" s="1" t="s">
        <v>4812</v>
      </c>
      <c r="C2053" s="1" t="s">
        <v>4837</v>
      </c>
      <c r="D2053" s="1" t="str">
        <f>"5140"</f>
        <v>5140</v>
      </c>
      <c r="E2053" s="1" t="s">
        <v>761</v>
      </c>
      <c r="F2053" s="1" t="s">
        <v>762</v>
      </c>
      <c r="G2053" s="1" t="s">
        <v>16</v>
      </c>
      <c r="H2053" s="1" t="str">
        <f>"1"</f>
        <v>1</v>
      </c>
      <c r="I2053" s="2" t="str">
        <f>"5688"</f>
        <v>5688</v>
      </c>
      <c r="J2053" s="3">
        <v>46176</v>
      </c>
      <c r="K2053" s="1" t="s">
        <v>4838</v>
      </c>
    </row>
    <row r="2054" spans="1:11" x14ac:dyDescent="0.35">
      <c r="A2054" s="1" t="s">
        <v>4441</v>
      </c>
      <c r="B2054" s="1" t="s">
        <v>4812</v>
      </c>
      <c r="C2054" s="1" t="s">
        <v>4839</v>
      </c>
      <c r="D2054" s="1" t="str">
        <f>"5140"</f>
        <v>5140</v>
      </c>
      <c r="E2054" s="1" t="s">
        <v>761</v>
      </c>
      <c r="F2054" s="1" t="s">
        <v>762</v>
      </c>
      <c r="G2054" s="1" t="s">
        <v>16</v>
      </c>
      <c r="H2054" s="1" t="str">
        <f>"1"</f>
        <v>1</v>
      </c>
      <c r="I2054" s="2" t="str">
        <f>"5688"</f>
        <v>5688</v>
      </c>
      <c r="J2054" s="3">
        <v>46176</v>
      </c>
      <c r="K2054" s="1" t="s">
        <v>4838</v>
      </c>
    </row>
    <row r="2055" spans="1:11" x14ac:dyDescent="0.35">
      <c r="A2055" s="1" t="s">
        <v>4441</v>
      </c>
      <c r="B2055" s="1" t="s">
        <v>4812</v>
      </c>
      <c r="C2055" s="1" t="s">
        <v>4842</v>
      </c>
      <c r="D2055" s="1" t="str">
        <f>"6115"</f>
        <v>6115</v>
      </c>
      <c r="E2055" s="1" t="str">
        <f>"012755061"</f>
        <v>012755061</v>
      </c>
      <c r="F2055" s="1" t="s">
        <v>1390</v>
      </c>
      <c r="G2055" s="1" t="s">
        <v>16</v>
      </c>
      <c r="H2055" s="1" t="str">
        <f>"2"</f>
        <v>2</v>
      </c>
      <c r="I2055" s="2" t="str">
        <f>"10700"</f>
        <v>10700</v>
      </c>
      <c r="J2055" s="3">
        <v>46176</v>
      </c>
      <c r="K2055" s="1" t="s">
        <v>4843</v>
      </c>
    </row>
    <row r="2056" spans="1:11" x14ac:dyDescent="0.35">
      <c r="A2056" s="1" t="s">
        <v>4441</v>
      </c>
      <c r="B2056" s="1" t="s">
        <v>4450</v>
      </c>
      <c r="C2056" s="1" t="s">
        <v>4455</v>
      </c>
      <c r="D2056" s="1" t="str">
        <f>"2330"</f>
        <v>2330</v>
      </c>
      <c r="E2056" s="1" t="str">
        <f>"013875443"</f>
        <v>013875443</v>
      </c>
      <c r="F2056" s="1" t="s">
        <v>979</v>
      </c>
      <c r="G2056" s="1" t="s">
        <v>16</v>
      </c>
      <c r="H2056" s="1" t="str">
        <f>"1"</f>
        <v>1</v>
      </c>
      <c r="I2056" s="2" t="str">
        <f>"9535"</f>
        <v>9535</v>
      </c>
      <c r="J2056" s="3">
        <v>46177</v>
      </c>
      <c r="K2056" s="1" t="s">
        <v>4456</v>
      </c>
    </row>
    <row r="2057" spans="1:11" x14ac:dyDescent="0.35">
      <c r="A2057" s="1" t="s">
        <v>4441</v>
      </c>
      <c r="B2057" s="1" t="s">
        <v>4450</v>
      </c>
      <c r="C2057" s="1" t="s">
        <v>4514</v>
      </c>
      <c r="D2057" s="1" t="str">
        <f>"6115"</f>
        <v>6115</v>
      </c>
      <c r="E2057" s="1" t="s">
        <v>1106</v>
      </c>
      <c r="F2057" s="1" t="s">
        <v>1107</v>
      </c>
      <c r="G2057" s="1" t="s">
        <v>16</v>
      </c>
      <c r="H2057" s="1" t="str">
        <f>"1"</f>
        <v>1</v>
      </c>
      <c r="I2057" s="2" t="str">
        <f>"2000"</f>
        <v>2000</v>
      </c>
      <c r="J2057" s="3">
        <v>46177</v>
      </c>
      <c r="K2057" s="1" t="s">
        <v>4515</v>
      </c>
    </row>
    <row r="2058" spans="1:11" x14ac:dyDescent="0.35">
      <c r="A2058" s="1" t="s">
        <v>4441</v>
      </c>
      <c r="B2058" s="1" t="s">
        <v>4618</v>
      </c>
      <c r="C2058" s="1" t="s">
        <v>4624</v>
      </c>
      <c r="D2058" s="1" t="str">
        <f>"2330"</f>
        <v>2330</v>
      </c>
      <c r="E2058" s="1" t="str">
        <f>"013875443"</f>
        <v>013875443</v>
      </c>
      <c r="F2058" s="1" t="s">
        <v>979</v>
      </c>
      <c r="G2058" s="1" t="s">
        <v>16</v>
      </c>
      <c r="H2058" s="1" t="str">
        <f>"1"</f>
        <v>1</v>
      </c>
      <c r="I2058" s="2" t="str">
        <f>"9535"</f>
        <v>9535</v>
      </c>
      <c r="J2058" s="3">
        <v>46177</v>
      </c>
      <c r="K2058" s="1" t="s">
        <v>4625</v>
      </c>
    </row>
    <row r="2059" spans="1:11" x14ac:dyDescent="0.35">
      <c r="A2059" s="1" t="s">
        <v>4441</v>
      </c>
      <c r="B2059" s="1" t="s">
        <v>4618</v>
      </c>
      <c r="C2059" s="1" t="s">
        <v>4637</v>
      </c>
      <c r="D2059" s="1" t="str">
        <f>"4910"</f>
        <v>4910</v>
      </c>
      <c r="E2059" s="1" t="s">
        <v>1655</v>
      </c>
      <c r="F2059" s="1" t="s">
        <v>1656</v>
      </c>
      <c r="G2059" s="1" t="s">
        <v>16</v>
      </c>
      <c r="H2059" s="1" t="str">
        <f>"1"</f>
        <v>1</v>
      </c>
      <c r="I2059" s="2">
        <v>2690.52</v>
      </c>
      <c r="J2059" s="3">
        <v>46177</v>
      </c>
      <c r="K2059" s="1" t="s">
        <v>4638</v>
      </c>
    </row>
    <row r="2060" spans="1:11" x14ac:dyDescent="0.35">
      <c r="A2060" s="1" t="s">
        <v>4441</v>
      </c>
      <c r="B2060" s="1" t="s">
        <v>4618</v>
      </c>
      <c r="C2060" s="1" t="s">
        <v>4645</v>
      </c>
      <c r="D2060" s="1" t="str">
        <f>"5136"</f>
        <v>5136</v>
      </c>
      <c r="E2060" s="1" t="str">
        <f>"014297469"</f>
        <v>014297469</v>
      </c>
      <c r="F2060" s="1" t="s">
        <v>758</v>
      </c>
      <c r="G2060" s="1" t="s">
        <v>458</v>
      </c>
      <c r="H2060" s="1" t="str">
        <f>"1"</f>
        <v>1</v>
      </c>
      <c r="I2060" s="2">
        <v>280.33999999999997</v>
      </c>
      <c r="J2060" s="3">
        <v>46177</v>
      </c>
      <c r="K2060" s="1" t="s">
        <v>4646</v>
      </c>
    </row>
    <row r="2061" spans="1:11" x14ac:dyDescent="0.35">
      <c r="A2061" s="1" t="s">
        <v>4441</v>
      </c>
      <c r="B2061" s="1" t="s">
        <v>4618</v>
      </c>
      <c r="C2061" s="1" t="s">
        <v>4647</v>
      </c>
      <c r="D2061" s="1" t="str">
        <f>"5140"</f>
        <v>5140</v>
      </c>
      <c r="E2061" s="1" t="s">
        <v>761</v>
      </c>
      <c r="F2061" s="1" t="s">
        <v>762</v>
      </c>
      <c r="G2061" s="1" t="s">
        <v>16</v>
      </c>
      <c r="H2061" s="1" t="str">
        <f>"1"</f>
        <v>1</v>
      </c>
      <c r="I2061" s="2" t="str">
        <f>"4000"</f>
        <v>4000</v>
      </c>
      <c r="J2061" s="3">
        <v>46177</v>
      </c>
      <c r="K2061" s="1" t="s">
        <v>4648</v>
      </c>
    </row>
    <row r="2062" spans="1:11" x14ac:dyDescent="0.35">
      <c r="A2062" s="1" t="s">
        <v>4441</v>
      </c>
      <c r="B2062" s="1" t="s">
        <v>4618</v>
      </c>
      <c r="C2062" s="1" t="s">
        <v>4651</v>
      </c>
      <c r="D2062" s="1" t="str">
        <f>"5830"</f>
        <v>5830</v>
      </c>
      <c r="E2062" s="1" t="str">
        <f>"015102048"</f>
        <v>015102048</v>
      </c>
      <c r="F2062" s="1" t="s">
        <v>1767</v>
      </c>
      <c r="G2062" s="1" t="s">
        <v>16</v>
      </c>
      <c r="H2062" s="1" t="str">
        <f>"1"</f>
        <v>1</v>
      </c>
      <c r="I2062" s="2" t="str">
        <f>"1615"</f>
        <v>1615</v>
      </c>
      <c r="J2062" s="3">
        <v>46177</v>
      </c>
      <c r="K2062" s="1" t="s">
        <v>4652</v>
      </c>
    </row>
    <row r="2063" spans="1:11" x14ac:dyDescent="0.35">
      <c r="A2063" s="1" t="s">
        <v>4441</v>
      </c>
      <c r="B2063" s="1" t="s">
        <v>4618</v>
      </c>
      <c r="C2063" s="1" t="s">
        <v>4653</v>
      </c>
      <c r="D2063" s="1" t="str">
        <f>"6115"</f>
        <v>6115</v>
      </c>
      <c r="E2063" s="1" t="str">
        <f>"015456484"</f>
        <v>015456484</v>
      </c>
      <c r="F2063" s="1" t="s">
        <v>4599</v>
      </c>
      <c r="G2063" s="1" t="s">
        <v>16</v>
      </c>
      <c r="H2063" s="1" t="str">
        <f>"1"</f>
        <v>1</v>
      </c>
      <c r="I2063" s="2">
        <v>1699.31</v>
      </c>
      <c r="J2063" s="3">
        <v>46177</v>
      </c>
      <c r="K2063" s="1" t="s">
        <v>4654</v>
      </c>
    </row>
    <row r="2064" spans="1:11" x14ac:dyDescent="0.35">
      <c r="A2064" s="1" t="s">
        <v>4441</v>
      </c>
      <c r="B2064" s="1" t="s">
        <v>4618</v>
      </c>
      <c r="C2064" s="1" t="s">
        <v>4655</v>
      </c>
      <c r="D2064" s="1" t="str">
        <f>"6210"</f>
        <v>6210</v>
      </c>
      <c r="E2064" s="1" t="str">
        <f>"015527806"</f>
        <v>015527806</v>
      </c>
      <c r="F2064" s="1" t="s">
        <v>4656</v>
      </c>
      <c r="G2064" s="1" t="s">
        <v>16</v>
      </c>
      <c r="H2064" s="1" t="str">
        <f>"6"</f>
        <v>6</v>
      </c>
      <c r="I2064" s="2">
        <v>922.86</v>
      </c>
      <c r="J2064" s="3">
        <v>46177</v>
      </c>
      <c r="K2064" s="1" t="s">
        <v>4657</v>
      </c>
    </row>
    <row r="2065" spans="1:11" x14ac:dyDescent="0.35">
      <c r="A2065" s="1" t="s">
        <v>4441</v>
      </c>
      <c r="B2065" s="1" t="s">
        <v>4618</v>
      </c>
      <c r="C2065" s="1" t="s">
        <v>4683</v>
      </c>
      <c r="D2065" s="1" t="str">
        <f>"7490"</f>
        <v>7490</v>
      </c>
      <c r="E2065" s="1" t="str">
        <f>"017230434"</f>
        <v>017230434</v>
      </c>
      <c r="F2065" s="1" t="s">
        <v>4684</v>
      </c>
      <c r="G2065" s="1" t="s">
        <v>16</v>
      </c>
      <c r="H2065" s="1" t="str">
        <f>"1"</f>
        <v>1</v>
      </c>
      <c r="I2065" s="2" t="str">
        <f>"4999"</f>
        <v>4999</v>
      </c>
      <c r="J2065" s="3">
        <v>46177</v>
      </c>
      <c r="K2065" s="1" t="s">
        <v>4685</v>
      </c>
    </row>
    <row r="2066" spans="1:11" x14ac:dyDescent="0.35">
      <c r="A2066" s="1" t="s">
        <v>4441</v>
      </c>
      <c r="B2066" s="1" t="s">
        <v>4794</v>
      </c>
      <c r="C2066" s="1" t="s">
        <v>4795</v>
      </c>
      <c r="D2066" s="1" t="str">
        <f>"2360"</f>
        <v>2360</v>
      </c>
      <c r="E2066" s="1" t="str">
        <f>"016204061"</f>
        <v>016204061</v>
      </c>
      <c r="F2066" s="1" t="s">
        <v>2021</v>
      </c>
      <c r="G2066" s="1" t="s">
        <v>16</v>
      </c>
      <c r="H2066" s="1" t="str">
        <f>"1"</f>
        <v>1</v>
      </c>
      <c r="I2066" s="2" t="str">
        <f>"93349"</f>
        <v>93349</v>
      </c>
      <c r="J2066" s="3">
        <v>46177</v>
      </c>
      <c r="K2066" s="1" t="s">
        <v>4796</v>
      </c>
    </row>
    <row r="2067" spans="1:11" x14ac:dyDescent="0.35">
      <c r="A2067" s="1" t="s">
        <v>4441</v>
      </c>
      <c r="B2067" s="1" t="s">
        <v>4812</v>
      </c>
      <c r="C2067" s="1" t="s">
        <v>4846</v>
      </c>
      <c r="D2067" s="1" t="str">
        <f>"6115"</f>
        <v>6115</v>
      </c>
      <c r="E2067" s="1" t="s">
        <v>1106</v>
      </c>
      <c r="F2067" s="1" t="s">
        <v>1107</v>
      </c>
      <c r="G2067" s="1" t="s">
        <v>16</v>
      </c>
      <c r="H2067" s="1" t="str">
        <f>"5"</f>
        <v>5</v>
      </c>
      <c r="I2067" s="2" t="str">
        <f>"2000"</f>
        <v>2000</v>
      </c>
      <c r="J2067" s="3">
        <v>46177</v>
      </c>
      <c r="K2067" s="1" t="s">
        <v>4843</v>
      </c>
    </row>
    <row r="2068" spans="1:11" x14ac:dyDescent="0.35">
      <c r="A2068" s="1" t="s">
        <v>4441</v>
      </c>
      <c r="B2068" s="1" t="s">
        <v>4709</v>
      </c>
      <c r="C2068" s="1" t="s">
        <v>4726</v>
      </c>
      <c r="D2068" s="1" t="str">
        <f>"8465"</f>
        <v>8465</v>
      </c>
      <c r="E2068" s="1" t="str">
        <f>"013980687"</f>
        <v>013980687</v>
      </c>
      <c r="F2068" s="1" t="s">
        <v>644</v>
      </c>
      <c r="G2068" s="1" t="s">
        <v>16</v>
      </c>
      <c r="H2068" s="1" t="str">
        <f>"5"</f>
        <v>5</v>
      </c>
      <c r="I2068" s="2">
        <v>65.8</v>
      </c>
      <c r="J2068" s="3">
        <v>46178</v>
      </c>
      <c r="K2068" s="1" t="s">
        <v>4727</v>
      </c>
    </row>
    <row r="2069" spans="1:11" x14ac:dyDescent="0.35">
      <c r="A2069" s="1" t="s">
        <v>4441</v>
      </c>
      <c r="B2069" s="1" t="s">
        <v>4709</v>
      </c>
      <c r="C2069" s="1" t="s">
        <v>4731</v>
      </c>
      <c r="D2069" s="1" t="str">
        <f>"8465"</f>
        <v>8465</v>
      </c>
      <c r="E2069" s="1" t="str">
        <f>"013980687"</f>
        <v>013980687</v>
      </c>
      <c r="F2069" s="1" t="s">
        <v>644</v>
      </c>
      <c r="G2069" s="1" t="s">
        <v>16</v>
      </c>
      <c r="H2069" s="1" t="str">
        <f>"61"</f>
        <v>61</v>
      </c>
      <c r="I2069" s="2">
        <v>65.8</v>
      </c>
      <c r="J2069" s="3">
        <v>46178</v>
      </c>
      <c r="K2069" s="1" t="s">
        <v>4727</v>
      </c>
    </row>
    <row r="2070" spans="1:11" x14ac:dyDescent="0.35">
      <c r="A2070" s="1" t="s">
        <v>4441</v>
      </c>
      <c r="B2070" s="1" t="s">
        <v>4709</v>
      </c>
      <c r="C2070" s="1" t="s">
        <v>4734</v>
      </c>
      <c r="D2070" s="1" t="str">
        <f>"8465"</f>
        <v>8465</v>
      </c>
      <c r="E2070" s="1" t="str">
        <f>"010490888"</f>
        <v>010490888</v>
      </c>
      <c r="F2070" s="1" t="s">
        <v>644</v>
      </c>
      <c r="G2070" s="1" t="s">
        <v>16</v>
      </c>
      <c r="H2070" s="1" t="str">
        <f>"1"</f>
        <v>1</v>
      </c>
      <c r="I2070" s="2">
        <v>72.53</v>
      </c>
      <c r="J2070" s="3">
        <v>46178</v>
      </c>
      <c r="K2070" s="1" t="s">
        <v>4727</v>
      </c>
    </row>
    <row r="2071" spans="1:11" x14ac:dyDescent="0.35">
      <c r="A2071" s="1" t="s">
        <v>4441</v>
      </c>
      <c r="B2071" s="1" t="s">
        <v>4709</v>
      </c>
      <c r="C2071" s="1" t="s">
        <v>4735</v>
      </c>
      <c r="D2071" s="1" t="str">
        <f>"9905"</f>
        <v>9905</v>
      </c>
      <c r="E2071" s="1" t="s">
        <v>150</v>
      </c>
      <c r="F2071" s="1" t="s">
        <v>151</v>
      </c>
      <c r="G2071" s="1" t="s">
        <v>16</v>
      </c>
      <c r="H2071" s="1" t="str">
        <f>"3"</f>
        <v>3</v>
      </c>
      <c r="I2071" s="2" t="str">
        <f>"1699"</f>
        <v>1699</v>
      </c>
      <c r="J2071" s="3">
        <v>46178</v>
      </c>
      <c r="K2071" s="1" t="s">
        <v>4736</v>
      </c>
    </row>
    <row r="2072" spans="1:11" x14ac:dyDescent="0.35">
      <c r="A2072" s="1" t="s">
        <v>4441</v>
      </c>
      <c r="B2072" s="1" t="s">
        <v>4591</v>
      </c>
      <c r="C2072" s="1" t="s">
        <v>4598</v>
      </c>
      <c r="D2072" s="1" t="str">
        <f>"6115"</f>
        <v>6115</v>
      </c>
      <c r="E2072" s="1" t="str">
        <f>"015456484"</f>
        <v>015456484</v>
      </c>
      <c r="F2072" s="1" t="s">
        <v>4599</v>
      </c>
      <c r="G2072" s="1" t="s">
        <v>16</v>
      </c>
      <c r="H2072" s="1" t="str">
        <f>"8"</f>
        <v>8</v>
      </c>
      <c r="I2072" s="2">
        <v>1699.31</v>
      </c>
      <c r="J2072" s="3">
        <v>46181</v>
      </c>
      <c r="K2072" s="1" t="s">
        <v>4600</v>
      </c>
    </row>
    <row r="2073" spans="1:11" x14ac:dyDescent="0.35">
      <c r="A2073" s="1" t="s">
        <v>4441</v>
      </c>
      <c r="B2073" s="1" t="s">
        <v>4450</v>
      </c>
      <c r="C2073" s="1" t="s">
        <v>4533</v>
      </c>
      <c r="D2073" s="1" t="str">
        <f>"7110"</f>
        <v>7110</v>
      </c>
      <c r="E2073" s="1" t="s">
        <v>4534</v>
      </c>
      <c r="F2073" s="1" t="s">
        <v>4535</v>
      </c>
      <c r="G2073" s="1" t="s">
        <v>16</v>
      </c>
      <c r="H2073" s="1" t="str">
        <f>"1"</f>
        <v>1</v>
      </c>
      <c r="I2073" s="2" t="str">
        <f>"600"</f>
        <v>600</v>
      </c>
      <c r="J2073" s="3">
        <v>46184</v>
      </c>
      <c r="K2073" s="1" t="s">
        <v>4536</v>
      </c>
    </row>
    <row r="2074" spans="1:11" x14ac:dyDescent="0.35">
      <c r="A2074" s="1" t="s">
        <v>4441</v>
      </c>
      <c r="B2074" s="1" t="s">
        <v>4450</v>
      </c>
      <c r="C2074" s="1" t="s">
        <v>4545</v>
      </c>
      <c r="D2074" s="1" t="str">
        <f>"8340"</f>
        <v>8340</v>
      </c>
      <c r="E2074" s="1" t="str">
        <f>"015140578"</f>
        <v>015140578</v>
      </c>
      <c r="F2074" s="1" t="s">
        <v>4546</v>
      </c>
      <c r="G2074" s="1" t="s">
        <v>16</v>
      </c>
      <c r="H2074" s="1" t="str">
        <f>"1"</f>
        <v>1</v>
      </c>
      <c r="I2074" s="2">
        <v>170094.07999999999</v>
      </c>
      <c r="J2074" s="3">
        <v>46184</v>
      </c>
      <c r="K2074" s="1" t="s">
        <v>4547</v>
      </c>
    </row>
    <row r="2075" spans="1:11" x14ac:dyDescent="0.35">
      <c r="A2075" s="1" t="s">
        <v>4441</v>
      </c>
      <c r="B2075" s="1" t="s">
        <v>4618</v>
      </c>
      <c r="C2075" s="1" t="s">
        <v>4660</v>
      </c>
      <c r="D2075" s="1" t="str">
        <f>"6545"</f>
        <v>6545</v>
      </c>
      <c r="E2075" s="1" t="str">
        <f>"016092699"</f>
        <v>016092699</v>
      </c>
      <c r="F2075" s="1" t="s">
        <v>4527</v>
      </c>
      <c r="G2075" s="1" t="s">
        <v>458</v>
      </c>
      <c r="H2075" s="1" t="str">
        <f>"4"</f>
        <v>4</v>
      </c>
      <c r="I2075" s="2">
        <v>8495.23</v>
      </c>
      <c r="J2075" s="3">
        <v>46184</v>
      </c>
      <c r="K2075" s="1" t="s">
        <v>4661</v>
      </c>
    </row>
    <row r="2076" spans="1:11" x14ac:dyDescent="0.35">
      <c r="A2076" s="1" t="s">
        <v>4441</v>
      </c>
      <c r="B2076" s="1" t="s">
        <v>4618</v>
      </c>
      <c r="C2076" s="1" t="s">
        <v>4686</v>
      </c>
      <c r="D2076" s="1" t="str">
        <f>"8145"</f>
        <v>8145</v>
      </c>
      <c r="E2076" s="1" t="s">
        <v>1879</v>
      </c>
      <c r="F2076" s="1" t="s">
        <v>1880</v>
      </c>
      <c r="G2076" s="1" t="s">
        <v>16</v>
      </c>
      <c r="H2076" s="1" t="str">
        <f>"3"</f>
        <v>3</v>
      </c>
      <c r="I2076" s="2" t="str">
        <f>"445"</f>
        <v>445</v>
      </c>
      <c r="J2076" s="3">
        <v>46184</v>
      </c>
      <c r="K2076" s="1" t="s">
        <v>4687</v>
      </c>
    </row>
    <row r="2077" spans="1:11" x14ac:dyDescent="0.35">
      <c r="A2077" s="1" t="s">
        <v>4441</v>
      </c>
      <c r="B2077" s="1" t="s">
        <v>4618</v>
      </c>
      <c r="C2077" s="1" t="s">
        <v>4662</v>
      </c>
      <c r="D2077" s="1" t="str">
        <f>"6545"</f>
        <v>6545</v>
      </c>
      <c r="E2077" s="1" t="str">
        <f>"015324962"</f>
        <v>015324962</v>
      </c>
      <c r="F2077" s="1" t="s">
        <v>2053</v>
      </c>
      <c r="G2077" s="1" t="s">
        <v>215</v>
      </c>
      <c r="H2077" s="1" t="str">
        <f>"1"</f>
        <v>1</v>
      </c>
      <c r="I2077" s="2">
        <v>1868.26</v>
      </c>
      <c r="J2077" s="3">
        <v>46185</v>
      </c>
      <c r="K2077" s="1" t="s">
        <v>4663</v>
      </c>
    </row>
    <row r="2078" spans="1:11" x14ac:dyDescent="0.35">
      <c r="A2078" s="1" t="s">
        <v>4441</v>
      </c>
      <c r="B2078" s="1" t="s">
        <v>4618</v>
      </c>
      <c r="C2078" s="1" t="s">
        <v>4664</v>
      </c>
      <c r="D2078" s="1" t="str">
        <f>"6545"</f>
        <v>6545</v>
      </c>
      <c r="E2078" s="1" t="str">
        <f>"015324962"</f>
        <v>015324962</v>
      </c>
      <c r="F2078" s="1" t="s">
        <v>2053</v>
      </c>
      <c r="G2078" s="1" t="s">
        <v>215</v>
      </c>
      <c r="H2078" s="1" t="str">
        <f>"2"</f>
        <v>2</v>
      </c>
      <c r="I2078" s="2">
        <v>1868.26</v>
      </c>
      <c r="J2078" s="3">
        <v>46185</v>
      </c>
      <c r="K2078" s="1" t="s">
        <v>4663</v>
      </c>
    </row>
    <row r="2079" spans="1:11" x14ac:dyDescent="0.35">
      <c r="A2079" s="1" t="s">
        <v>4441</v>
      </c>
      <c r="B2079" s="1" t="s">
        <v>4618</v>
      </c>
      <c r="C2079" s="1" t="s">
        <v>4665</v>
      </c>
      <c r="D2079" s="1" t="str">
        <f>"6545"</f>
        <v>6545</v>
      </c>
      <c r="E2079" s="1" t="str">
        <f>"015324962"</f>
        <v>015324962</v>
      </c>
      <c r="F2079" s="1" t="s">
        <v>2053</v>
      </c>
      <c r="G2079" s="1" t="s">
        <v>215</v>
      </c>
      <c r="H2079" s="1" t="str">
        <f>"3"</f>
        <v>3</v>
      </c>
      <c r="I2079" s="2">
        <v>1868.26</v>
      </c>
      <c r="J2079" s="3">
        <v>46185</v>
      </c>
      <c r="K2079" s="1" t="s">
        <v>4663</v>
      </c>
    </row>
    <row r="2080" spans="1:11" x14ac:dyDescent="0.35">
      <c r="A2080" s="1" t="s">
        <v>4441</v>
      </c>
      <c r="B2080" s="1" t="s">
        <v>4709</v>
      </c>
      <c r="C2080" s="1" t="s">
        <v>4719</v>
      </c>
      <c r="D2080" s="1" t="str">
        <f>"8145"</f>
        <v>8145</v>
      </c>
      <c r="E2080" s="1" t="s">
        <v>408</v>
      </c>
      <c r="F2080" s="1" t="s">
        <v>409</v>
      </c>
      <c r="G2080" s="1" t="s">
        <v>16</v>
      </c>
      <c r="H2080" s="1" t="str">
        <f>"1"</f>
        <v>1</v>
      </c>
      <c r="I2080" s="2" t="str">
        <f>"4350"</f>
        <v>4350</v>
      </c>
      <c r="J2080" s="3">
        <v>46185</v>
      </c>
      <c r="K2080" s="1" t="s">
        <v>4720</v>
      </c>
    </row>
    <row r="2081" spans="1:11" x14ac:dyDescent="0.35">
      <c r="A2081" s="1" t="s">
        <v>4441</v>
      </c>
      <c r="B2081" s="1" t="s">
        <v>4709</v>
      </c>
      <c r="C2081" s="1" t="s">
        <v>4721</v>
      </c>
      <c r="D2081" s="1" t="str">
        <f>"8145"</f>
        <v>8145</v>
      </c>
      <c r="E2081" s="1" t="s">
        <v>408</v>
      </c>
      <c r="F2081" s="1" t="s">
        <v>409</v>
      </c>
      <c r="G2081" s="1" t="s">
        <v>16</v>
      </c>
      <c r="H2081" s="1" t="str">
        <f>"1"</f>
        <v>1</v>
      </c>
      <c r="I2081" s="2" t="str">
        <f>"4350"</f>
        <v>4350</v>
      </c>
      <c r="J2081" s="3">
        <v>46185</v>
      </c>
      <c r="K2081" s="1" t="s">
        <v>4720</v>
      </c>
    </row>
    <row r="2082" spans="1:11" x14ac:dyDescent="0.35">
      <c r="A2082" s="1" t="s">
        <v>4441</v>
      </c>
      <c r="B2082" s="1" t="s">
        <v>4855</v>
      </c>
      <c r="C2082" s="1" t="s">
        <v>4858</v>
      </c>
      <c r="D2082" s="1" t="str">
        <f>"2330"</f>
        <v>2330</v>
      </c>
      <c r="E2082" s="1" t="s">
        <v>70</v>
      </c>
      <c r="F2082" s="1" t="s">
        <v>71</v>
      </c>
      <c r="G2082" s="1" t="s">
        <v>16</v>
      </c>
      <c r="H2082" s="1" t="str">
        <f>"1"</f>
        <v>1</v>
      </c>
      <c r="I2082" s="2" t="str">
        <f>"6111"</f>
        <v>6111</v>
      </c>
      <c r="J2082" s="3">
        <v>46185</v>
      </c>
      <c r="K2082" s="1" t="s">
        <v>4859</v>
      </c>
    </row>
    <row r="2083" spans="1:11" x14ac:dyDescent="0.35">
      <c r="A2083" s="1" t="s">
        <v>4441</v>
      </c>
      <c r="B2083" s="1" t="s">
        <v>4709</v>
      </c>
      <c r="C2083" s="1" t="s">
        <v>4724</v>
      </c>
      <c r="D2083" s="1" t="str">
        <f>"8340"</f>
        <v>8340</v>
      </c>
      <c r="E2083" s="1" t="str">
        <f>"015455884"</f>
        <v>015455884</v>
      </c>
      <c r="F2083" s="1" t="s">
        <v>253</v>
      </c>
      <c r="G2083" s="1" t="s">
        <v>16</v>
      </c>
      <c r="H2083" s="1" t="str">
        <f>"3"</f>
        <v>3</v>
      </c>
      <c r="I2083" s="2">
        <v>19444.53</v>
      </c>
      <c r="J2083" s="3">
        <v>46188</v>
      </c>
      <c r="K2083" s="1" t="s">
        <v>4725</v>
      </c>
    </row>
    <row r="2084" spans="1:11" x14ac:dyDescent="0.35">
      <c r="A2084" s="1" t="s">
        <v>4441</v>
      </c>
      <c r="B2084" s="1" t="s">
        <v>4791</v>
      </c>
      <c r="C2084" s="1" t="s">
        <v>4792</v>
      </c>
      <c r="D2084" s="1" t="str">
        <f>"5180"</f>
        <v>5180</v>
      </c>
      <c r="E2084" s="1" t="str">
        <f>"016709469"</f>
        <v>016709469</v>
      </c>
      <c r="F2084" s="1" t="s">
        <v>1076</v>
      </c>
      <c r="G2084" s="1" t="s">
        <v>215</v>
      </c>
      <c r="H2084" s="1" t="str">
        <f>"2"</f>
        <v>2</v>
      </c>
      <c r="I2084" s="2" t="str">
        <f>"2211"</f>
        <v>2211</v>
      </c>
      <c r="J2084" s="3">
        <v>46189</v>
      </c>
      <c r="K2084" s="1" t="s">
        <v>4793</v>
      </c>
    </row>
    <row r="2085" spans="1:11" x14ac:dyDescent="0.35">
      <c r="A2085" s="1" t="s">
        <v>4441</v>
      </c>
      <c r="B2085" s="1" t="s">
        <v>4812</v>
      </c>
      <c r="C2085" s="1" t="s">
        <v>4823</v>
      </c>
      <c r="D2085" s="1" t="str">
        <f>"3805"</f>
        <v>3805</v>
      </c>
      <c r="E2085" s="1" t="s">
        <v>384</v>
      </c>
      <c r="F2085" s="1" t="s">
        <v>385</v>
      </c>
      <c r="G2085" s="1" t="s">
        <v>16</v>
      </c>
      <c r="H2085" s="1" t="str">
        <f>"1"</f>
        <v>1</v>
      </c>
      <c r="I2085" s="2" t="str">
        <f>"30000"</f>
        <v>30000</v>
      </c>
      <c r="J2085" s="3">
        <v>46189</v>
      </c>
      <c r="K2085" s="1" t="s">
        <v>4824</v>
      </c>
    </row>
    <row r="2086" spans="1:11" x14ac:dyDescent="0.35">
      <c r="A2086" s="1" t="s">
        <v>4441</v>
      </c>
      <c r="B2086" s="1" t="s">
        <v>4812</v>
      </c>
      <c r="C2086" s="1" t="s">
        <v>4847</v>
      </c>
      <c r="D2086" s="1" t="str">
        <f>"6130"</f>
        <v>6130</v>
      </c>
      <c r="E2086" s="1" t="s">
        <v>4848</v>
      </c>
      <c r="F2086" s="1" t="s">
        <v>4849</v>
      </c>
      <c r="G2086" s="1" t="s">
        <v>16</v>
      </c>
      <c r="H2086" s="1" t="str">
        <f>"1"</f>
        <v>1</v>
      </c>
      <c r="I2086" s="2" t="str">
        <f>"559"</f>
        <v>559</v>
      </c>
      <c r="J2086" s="3">
        <v>46189</v>
      </c>
      <c r="K2086" s="1" t="s">
        <v>4850</v>
      </c>
    </row>
    <row r="2087" spans="1:11" x14ac:dyDescent="0.35">
      <c r="A2087" s="1" t="s">
        <v>4441</v>
      </c>
      <c r="B2087" s="1" t="s">
        <v>4450</v>
      </c>
      <c r="C2087" s="1" t="s">
        <v>4453</v>
      </c>
      <c r="D2087" s="1" t="str">
        <f>"2330"</f>
        <v>2330</v>
      </c>
      <c r="E2087" s="1" t="s">
        <v>70</v>
      </c>
      <c r="F2087" s="1" t="s">
        <v>71</v>
      </c>
      <c r="G2087" s="1" t="s">
        <v>16</v>
      </c>
      <c r="H2087" s="1" t="str">
        <f>"1"</f>
        <v>1</v>
      </c>
      <c r="I2087" s="2" t="str">
        <f>"6000"</f>
        <v>6000</v>
      </c>
      <c r="J2087" s="3">
        <v>46190</v>
      </c>
      <c r="K2087" s="1" t="s">
        <v>4454</v>
      </c>
    </row>
    <row r="2088" spans="1:11" x14ac:dyDescent="0.35">
      <c r="A2088" s="1" t="s">
        <v>4441</v>
      </c>
      <c r="B2088" s="1" t="s">
        <v>4450</v>
      </c>
      <c r="C2088" s="1" t="s">
        <v>4461</v>
      </c>
      <c r="D2088" s="1" t="str">
        <f>"3750"</f>
        <v>3750</v>
      </c>
      <c r="E2088" s="1" t="s">
        <v>158</v>
      </c>
      <c r="F2088" s="1" t="s">
        <v>159</v>
      </c>
      <c r="G2088" s="1" t="s">
        <v>16</v>
      </c>
      <c r="H2088" s="1" t="str">
        <f>"1"</f>
        <v>1</v>
      </c>
      <c r="I2088" s="2" t="str">
        <f>"199"</f>
        <v>199</v>
      </c>
      <c r="J2088" s="3">
        <v>46190</v>
      </c>
      <c r="K2088" s="1" t="s">
        <v>4462</v>
      </c>
    </row>
    <row r="2089" spans="1:11" x14ac:dyDescent="0.35">
      <c r="A2089" s="1" t="s">
        <v>4441</v>
      </c>
      <c r="B2089" s="1" t="s">
        <v>4450</v>
      </c>
      <c r="C2089" s="1" t="s">
        <v>4465</v>
      </c>
      <c r="D2089" s="1" t="str">
        <f>"3750"</f>
        <v>3750</v>
      </c>
      <c r="E2089" s="1" t="s">
        <v>158</v>
      </c>
      <c r="F2089" s="1" t="s">
        <v>159</v>
      </c>
      <c r="G2089" s="1" t="s">
        <v>16</v>
      </c>
      <c r="H2089" s="1" t="str">
        <f>"1"</f>
        <v>1</v>
      </c>
      <c r="I2089" s="2" t="str">
        <f>"529"</f>
        <v>529</v>
      </c>
      <c r="J2089" s="3">
        <v>46190</v>
      </c>
      <c r="K2089" s="1" t="s">
        <v>4466</v>
      </c>
    </row>
    <row r="2090" spans="1:11" x14ac:dyDescent="0.35">
      <c r="A2090" s="1" t="s">
        <v>4441</v>
      </c>
      <c r="B2090" s="1" t="s">
        <v>4450</v>
      </c>
      <c r="C2090" s="1" t="s">
        <v>4481</v>
      </c>
      <c r="D2090" s="1" t="str">
        <f>"4910"</f>
        <v>4910</v>
      </c>
      <c r="E2090" s="1" t="str">
        <f>"014906453"</f>
        <v>014906453</v>
      </c>
      <c r="F2090" s="1" t="s">
        <v>4482</v>
      </c>
      <c r="G2090" s="1" t="s">
        <v>458</v>
      </c>
      <c r="H2090" s="1" t="str">
        <f>"1"</f>
        <v>1</v>
      </c>
      <c r="I2090" s="2" t="str">
        <f>"210000"</f>
        <v>210000</v>
      </c>
      <c r="J2090" s="3">
        <v>46190</v>
      </c>
      <c r="K2090" s="1" t="s">
        <v>4483</v>
      </c>
    </row>
    <row r="2091" spans="1:11" x14ac:dyDescent="0.35">
      <c r="A2091" s="1" t="s">
        <v>4441</v>
      </c>
      <c r="B2091" s="1" t="s">
        <v>4450</v>
      </c>
      <c r="C2091" s="1" t="s">
        <v>4487</v>
      </c>
      <c r="D2091" s="1" t="str">
        <f>"5120"</f>
        <v>5120</v>
      </c>
      <c r="E2091" s="1" t="str">
        <f>"013351358"</f>
        <v>013351358</v>
      </c>
      <c r="F2091" s="1" t="s">
        <v>4488</v>
      </c>
      <c r="G2091" s="1" t="s">
        <v>458</v>
      </c>
      <c r="H2091" s="1" t="str">
        <f>"1"</f>
        <v>1</v>
      </c>
      <c r="I2091" s="2">
        <v>39.24</v>
      </c>
      <c r="J2091" s="3">
        <v>46190</v>
      </c>
      <c r="K2091" s="1" t="s">
        <v>4489</v>
      </c>
    </row>
    <row r="2092" spans="1:11" x14ac:dyDescent="0.35">
      <c r="A2092" s="1" t="s">
        <v>4441</v>
      </c>
      <c r="B2092" s="1" t="s">
        <v>4450</v>
      </c>
      <c r="C2092" s="1" t="s">
        <v>4498</v>
      </c>
      <c r="D2092" s="1" t="str">
        <f>"5180"</f>
        <v>5180</v>
      </c>
      <c r="E2092" s="1" t="str">
        <f>"014371986"</f>
        <v>014371986</v>
      </c>
      <c r="F2092" s="1" t="s">
        <v>4499</v>
      </c>
      <c r="G2092" s="1" t="s">
        <v>215</v>
      </c>
      <c r="H2092" s="1" t="str">
        <f>"1"</f>
        <v>1</v>
      </c>
      <c r="I2092" s="2">
        <v>169.41</v>
      </c>
      <c r="J2092" s="3">
        <v>46190</v>
      </c>
      <c r="K2092" s="1" t="s">
        <v>4500</v>
      </c>
    </row>
    <row r="2093" spans="1:11" x14ac:dyDescent="0.35">
      <c r="A2093" s="1" t="s">
        <v>4441</v>
      </c>
      <c r="B2093" s="1" t="s">
        <v>4450</v>
      </c>
      <c r="C2093" s="1" t="s">
        <v>4507</v>
      </c>
      <c r="D2093" s="1" t="str">
        <f>"5180"</f>
        <v>5180</v>
      </c>
      <c r="E2093" s="1" t="s">
        <v>88</v>
      </c>
      <c r="F2093" s="1" t="s">
        <v>89</v>
      </c>
      <c r="G2093" s="1" t="s">
        <v>16</v>
      </c>
      <c r="H2093" s="1" t="str">
        <f>"7"</f>
        <v>7</v>
      </c>
      <c r="I2093" s="2" t="str">
        <f>"30"</f>
        <v>30</v>
      </c>
      <c r="J2093" s="3">
        <v>46190</v>
      </c>
      <c r="K2093" s="1" t="s">
        <v>4508</v>
      </c>
    </row>
    <row r="2094" spans="1:11" x14ac:dyDescent="0.35">
      <c r="A2094" s="1" t="s">
        <v>4441</v>
      </c>
      <c r="B2094" s="1" t="s">
        <v>4450</v>
      </c>
      <c r="C2094" s="1" t="s">
        <v>4520</v>
      </c>
      <c r="D2094" s="1" t="str">
        <f>"6130"</f>
        <v>6130</v>
      </c>
      <c r="E2094" s="1" t="str">
        <f>"014952839"</f>
        <v>014952839</v>
      </c>
      <c r="F2094" s="1" t="s">
        <v>227</v>
      </c>
      <c r="G2094" s="1" t="s">
        <v>16</v>
      </c>
      <c r="H2094" s="1" t="str">
        <f>"1"</f>
        <v>1</v>
      </c>
      <c r="I2094" s="2" t="str">
        <f>"4393"</f>
        <v>4393</v>
      </c>
      <c r="J2094" s="3">
        <v>46190</v>
      </c>
      <c r="K2094" s="1" t="s">
        <v>4521</v>
      </c>
    </row>
    <row r="2095" spans="1:11" x14ac:dyDescent="0.35">
      <c r="A2095" s="1" t="s">
        <v>4441</v>
      </c>
      <c r="B2095" s="1" t="s">
        <v>4450</v>
      </c>
      <c r="C2095" s="1" t="s">
        <v>4524</v>
      </c>
      <c r="D2095" s="1" t="str">
        <f>"6230"</f>
        <v>6230</v>
      </c>
      <c r="E2095" s="1" t="s">
        <v>3314</v>
      </c>
      <c r="F2095" s="1" t="s">
        <v>3315</v>
      </c>
      <c r="G2095" s="1" t="s">
        <v>16</v>
      </c>
      <c r="H2095" s="1" t="str">
        <f>"2"</f>
        <v>2</v>
      </c>
      <c r="I2095" s="2">
        <v>555.4</v>
      </c>
      <c r="J2095" s="3">
        <v>46190</v>
      </c>
      <c r="K2095" s="1" t="s">
        <v>4525</v>
      </c>
    </row>
    <row r="2096" spans="1:11" x14ac:dyDescent="0.35">
      <c r="A2096" s="1" t="s">
        <v>4441</v>
      </c>
      <c r="B2096" s="1" t="s">
        <v>4450</v>
      </c>
      <c r="C2096" s="1" t="s">
        <v>4529</v>
      </c>
      <c r="D2096" s="1" t="str">
        <f>"6625"</f>
        <v>6625</v>
      </c>
      <c r="E2096" s="1" t="str">
        <f>"015494851"</f>
        <v>015494851</v>
      </c>
      <c r="F2096" s="1" t="s">
        <v>439</v>
      </c>
      <c r="G2096" s="1" t="s">
        <v>16</v>
      </c>
      <c r="H2096" s="1" t="str">
        <f>"2"</f>
        <v>2</v>
      </c>
      <c r="I2096" s="2">
        <v>599.71</v>
      </c>
      <c r="J2096" s="3">
        <v>46190</v>
      </c>
      <c r="K2096" s="1" t="s">
        <v>4530</v>
      </c>
    </row>
    <row r="2097" spans="1:11" x14ac:dyDescent="0.35">
      <c r="A2097" s="1" t="s">
        <v>4441</v>
      </c>
      <c r="B2097" s="1" t="s">
        <v>4548</v>
      </c>
      <c r="C2097" s="1" t="s">
        <v>4549</v>
      </c>
      <c r="D2097" s="1" t="str">
        <f>"2330"</f>
        <v>2330</v>
      </c>
      <c r="E2097" s="1" t="s">
        <v>70</v>
      </c>
      <c r="F2097" s="1" t="s">
        <v>71</v>
      </c>
      <c r="G2097" s="1" t="s">
        <v>16</v>
      </c>
      <c r="H2097" s="1" t="str">
        <f>"1"</f>
        <v>1</v>
      </c>
      <c r="I2097" s="2" t="str">
        <f>"6000"</f>
        <v>6000</v>
      </c>
      <c r="J2097" s="3">
        <v>46190</v>
      </c>
      <c r="K2097" s="1" t="s">
        <v>4550</v>
      </c>
    </row>
    <row r="2098" spans="1:11" x14ac:dyDescent="0.35">
      <c r="A2098" s="1" t="s">
        <v>4441</v>
      </c>
      <c r="B2098" s="1" t="s">
        <v>4802</v>
      </c>
      <c r="C2098" s="1" t="s">
        <v>4803</v>
      </c>
      <c r="D2098" s="1" t="str">
        <f>"2320"</f>
        <v>2320</v>
      </c>
      <c r="E2098" s="1" t="str">
        <f>"012157631"</f>
        <v>012157631</v>
      </c>
      <c r="F2098" s="1" t="s">
        <v>360</v>
      </c>
      <c r="G2098" s="1" t="s">
        <v>16</v>
      </c>
      <c r="H2098" s="1" t="str">
        <f>"1"</f>
        <v>1</v>
      </c>
      <c r="I2098" s="2" t="str">
        <f>"33082"</f>
        <v>33082</v>
      </c>
      <c r="J2098" s="3">
        <v>46190</v>
      </c>
      <c r="K2098" s="1" t="s">
        <v>4804</v>
      </c>
    </row>
    <row r="2099" spans="1:11" x14ac:dyDescent="0.35">
      <c r="A2099" s="1" t="s">
        <v>4441</v>
      </c>
      <c r="B2099" s="1" t="s">
        <v>4802</v>
      </c>
      <c r="C2099" s="1" t="s">
        <v>4805</v>
      </c>
      <c r="D2099" s="1" t="str">
        <f>"2540"</f>
        <v>2540</v>
      </c>
      <c r="E2099" s="1" t="str">
        <f>"015899452"</f>
        <v>015899452</v>
      </c>
      <c r="F2099" s="1" t="s">
        <v>4806</v>
      </c>
      <c r="G2099" s="1" t="s">
        <v>16</v>
      </c>
      <c r="H2099" s="1" t="str">
        <f>"1"</f>
        <v>1</v>
      </c>
      <c r="I2099" s="2">
        <v>674.98</v>
      </c>
      <c r="J2099" s="3">
        <v>46190</v>
      </c>
      <c r="K2099" s="1" t="s">
        <v>4807</v>
      </c>
    </row>
    <row r="2100" spans="1:11" x14ac:dyDescent="0.35">
      <c r="A2100" s="1" t="s">
        <v>4441</v>
      </c>
      <c r="B2100" s="1" t="s">
        <v>4802</v>
      </c>
      <c r="C2100" s="1" t="s">
        <v>4808</v>
      </c>
      <c r="D2100" s="1" t="str">
        <f>"3805"</f>
        <v>3805</v>
      </c>
      <c r="E2100" s="1" t="s">
        <v>384</v>
      </c>
      <c r="F2100" s="1" t="s">
        <v>385</v>
      </c>
      <c r="G2100" s="1" t="s">
        <v>16</v>
      </c>
      <c r="H2100" s="1" t="str">
        <f>"1"</f>
        <v>1</v>
      </c>
      <c r="I2100" s="2" t="str">
        <f>"30000"</f>
        <v>30000</v>
      </c>
      <c r="J2100" s="3">
        <v>46190</v>
      </c>
      <c r="K2100" s="1" t="s">
        <v>4809</v>
      </c>
    </row>
    <row r="2101" spans="1:11" x14ac:dyDescent="0.35">
      <c r="A2101" s="1" t="s">
        <v>4441</v>
      </c>
      <c r="B2101" s="1" t="s">
        <v>4812</v>
      </c>
      <c r="C2101" s="1" t="s">
        <v>4825</v>
      </c>
      <c r="D2101" s="1" t="str">
        <f>"3805"</f>
        <v>3805</v>
      </c>
      <c r="E2101" s="1" t="s">
        <v>384</v>
      </c>
      <c r="F2101" s="1" t="s">
        <v>385</v>
      </c>
      <c r="G2101" s="1" t="s">
        <v>16</v>
      </c>
      <c r="H2101" s="1" t="str">
        <f>"1"</f>
        <v>1</v>
      </c>
      <c r="I2101" s="2">
        <v>259283.8</v>
      </c>
      <c r="J2101" s="3">
        <v>46191</v>
      </c>
      <c r="K2101" s="1" t="s">
        <v>4826</v>
      </c>
    </row>
    <row r="2102" spans="1:11" x14ac:dyDescent="0.35">
      <c r="A2102" s="1" t="s">
        <v>4441</v>
      </c>
      <c r="B2102" s="1" t="s">
        <v>4613</v>
      </c>
      <c r="C2102" s="1" t="s">
        <v>4614</v>
      </c>
      <c r="D2102" s="1" t="str">
        <f>"5855"</f>
        <v>5855</v>
      </c>
      <c r="E2102" s="1" t="str">
        <f>"015053103"</f>
        <v>015053103</v>
      </c>
      <c r="F2102" s="1" t="s">
        <v>1366</v>
      </c>
      <c r="G2102" s="1" t="s">
        <v>16</v>
      </c>
      <c r="H2102" s="1" t="str">
        <f>"1"</f>
        <v>1</v>
      </c>
      <c r="I2102" s="2" t="str">
        <f>"6138"</f>
        <v>6138</v>
      </c>
      <c r="J2102" s="3">
        <v>46196</v>
      </c>
      <c r="K2102" s="1" t="s">
        <v>4615</v>
      </c>
    </row>
    <row r="2103" spans="1:11" x14ac:dyDescent="0.35">
      <c r="A2103" s="1" t="s">
        <v>4441</v>
      </c>
      <c r="B2103" s="1" t="s">
        <v>4450</v>
      </c>
      <c r="C2103" s="1" t="s">
        <v>4469</v>
      </c>
      <c r="D2103" s="1" t="str">
        <f>"3805"</f>
        <v>3805</v>
      </c>
      <c r="E2103" s="1" t="s">
        <v>384</v>
      </c>
      <c r="F2103" s="1" t="s">
        <v>385</v>
      </c>
      <c r="G2103" s="1" t="s">
        <v>16</v>
      </c>
      <c r="H2103" s="1" t="str">
        <f>"1"</f>
        <v>1</v>
      </c>
      <c r="I2103" s="2" t="str">
        <f>"30000"</f>
        <v>30000</v>
      </c>
      <c r="J2103" s="3">
        <v>46197</v>
      </c>
      <c r="K2103" s="1" t="s">
        <v>4470</v>
      </c>
    </row>
    <row r="2104" spans="1:11" x14ac:dyDescent="0.35">
      <c r="A2104" s="1" t="s">
        <v>4441</v>
      </c>
      <c r="B2104" s="1" t="s">
        <v>4450</v>
      </c>
      <c r="C2104" s="1" t="s">
        <v>4495</v>
      </c>
      <c r="D2104" s="1" t="str">
        <f>"5140"</f>
        <v>5140</v>
      </c>
      <c r="E2104" s="1" t="s">
        <v>761</v>
      </c>
      <c r="F2104" s="1" t="s">
        <v>762</v>
      </c>
      <c r="G2104" s="1" t="s">
        <v>16</v>
      </c>
      <c r="H2104" s="1" t="str">
        <f>"1"</f>
        <v>1</v>
      </c>
      <c r="I2104" s="2" t="str">
        <f>"1600"</f>
        <v>1600</v>
      </c>
      <c r="J2104" s="3">
        <v>46197</v>
      </c>
      <c r="K2104" s="1" t="s">
        <v>4496</v>
      </c>
    </row>
    <row r="2105" spans="1:11" x14ac:dyDescent="0.35">
      <c r="A2105" s="1" t="s">
        <v>4441</v>
      </c>
      <c r="B2105" s="1" t="s">
        <v>4450</v>
      </c>
      <c r="C2105" s="1" t="s">
        <v>4497</v>
      </c>
      <c r="D2105" s="1" t="str">
        <f>"5140"</f>
        <v>5140</v>
      </c>
      <c r="E2105" s="1" t="s">
        <v>761</v>
      </c>
      <c r="F2105" s="1" t="s">
        <v>762</v>
      </c>
      <c r="G2105" s="1" t="s">
        <v>16</v>
      </c>
      <c r="H2105" s="1" t="str">
        <f>"1"</f>
        <v>1</v>
      </c>
      <c r="I2105" s="2" t="str">
        <f>"1600"</f>
        <v>1600</v>
      </c>
      <c r="J2105" s="3">
        <v>46197</v>
      </c>
      <c r="K2105" s="1" t="s">
        <v>4496</v>
      </c>
    </row>
    <row r="2106" spans="1:11" x14ac:dyDescent="0.35">
      <c r="A2106" s="1" t="s">
        <v>4441</v>
      </c>
      <c r="B2106" s="1" t="s">
        <v>4450</v>
      </c>
      <c r="C2106" s="1" t="s">
        <v>4512</v>
      </c>
      <c r="D2106" s="1" t="str">
        <f>"6115"</f>
        <v>6115</v>
      </c>
      <c r="E2106" s="1" t="s">
        <v>1106</v>
      </c>
      <c r="F2106" s="1" t="s">
        <v>1107</v>
      </c>
      <c r="G2106" s="1" t="s">
        <v>16</v>
      </c>
      <c r="H2106" s="1" t="str">
        <f>"1"</f>
        <v>1</v>
      </c>
      <c r="I2106" s="2" t="str">
        <f>"2384"</f>
        <v>2384</v>
      </c>
      <c r="J2106" s="3">
        <v>46197</v>
      </c>
      <c r="K2106" s="1" t="s">
        <v>4513</v>
      </c>
    </row>
    <row r="2107" spans="1:11" x14ac:dyDescent="0.35">
      <c r="A2107" s="1" t="s">
        <v>4441</v>
      </c>
      <c r="B2107" s="1" t="s">
        <v>4450</v>
      </c>
      <c r="C2107" s="1" t="s">
        <v>4537</v>
      </c>
      <c r="D2107" s="1" t="str">
        <f>"7830"</f>
        <v>7830</v>
      </c>
      <c r="E2107" s="1" t="s">
        <v>14</v>
      </c>
      <c r="F2107" s="1" t="s">
        <v>15</v>
      </c>
      <c r="G2107" s="1" t="s">
        <v>16</v>
      </c>
      <c r="H2107" s="1" t="str">
        <f>"2"</f>
        <v>2</v>
      </c>
      <c r="I2107" s="2" t="str">
        <f>"2585"</f>
        <v>2585</v>
      </c>
      <c r="J2107" s="3">
        <v>46197</v>
      </c>
      <c r="K2107" s="1" t="s">
        <v>4538</v>
      </c>
    </row>
    <row r="2108" spans="1:11" x14ac:dyDescent="0.35">
      <c r="A2108" s="1" t="s">
        <v>4441</v>
      </c>
      <c r="B2108" s="1" t="s">
        <v>4450</v>
      </c>
      <c r="C2108" s="1" t="s">
        <v>4539</v>
      </c>
      <c r="D2108" s="1" t="str">
        <f>"7830"</f>
        <v>7830</v>
      </c>
      <c r="E2108" s="1" t="s">
        <v>14</v>
      </c>
      <c r="F2108" s="1" t="s">
        <v>15</v>
      </c>
      <c r="G2108" s="1" t="s">
        <v>16</v>
      </c>
      <c r="H2108" s="1" t="str">
        <f>"2"</f>
        <v>2</v>
      </c>
      <c r="I2108" s="2" t="str">
        <f>"2585"</f>
        <v>2585</v>
      </c>
      <c r="J2108" s="3">
        <v>46197</v>
      </c>
      <c r="K2108" s="1" t="s">
        <v>4540</v>
      </c>
    </row>
    <row r="2109" spans="1:11" x14ac:dyDescent="0.35">
      <c r="A2109" s="1" t="s">
        <v>4441</v>
      </c>
      <c r="B2109" s="1" t="s">
        <v>4737</v>
      </c>
      <c r="C2109" s="1" t="s">
        <v>4745</v>
      </c>
      <c r="D2109" s="1" t="str">
        <f>"6115"</f>
        <v>6115</v>
      </c>
      <c r="E2109" s="1" t="str">
        <f>"013199032"</f>
        <v>013199032</v>
      </c>
      <c r="F2109" s="1" t="s">
        <v>224</v>
      </c>
      <c r="G2109" s="1" t="s">
        <v>16</v>
      </c>
      <c r="H2109" s="1" t="str">
        <f>"1"</f>
        <v>1</v>
      </c>
      <c r="I2109" s="2" t="str">
        <f>"17730"</f>
        <v>17730</v>
      </c>
      <c r="J2109" s="3">
        <v>46197</v>
      </c>
      <c r="K2109" s="1" t="s">
        <v>4746</v>
      </c>
    </row>
    <row r="2110" spans="1:11" x14ac:dyDescent="0.35">
      <c r="A2110" s="1" t="s">
        <v>4441</v>
      </c>
      <c r="B2110" s="1" t="s">
        <v>4737</v>
      </c>
      <c r="C2110" s="1" t="s">
        <v>4751</v>
      </c>
      <c r="D2110" s="1" t="str">
        <f>"6115"</f>
        <v>6115</v>
      </c>
      <c r="E2110" s="1" t="str">
        <f>"012747387"</f>
        <v>012747387</v>
      </c>
      <c r="F2110" s="1" t="s">
        <v>1390</v>
      </c>
      <c r="G2110" s="1" t="s">
        <v>16</v>
      </c>
      <c r="H2110" s="1" t="str">
        <f>"1"</f>
        <v>1</v>
      </c>
      <c r="I2110" s="2">
        <v>12797.7</v>
      </c>
      <c r="J2110" s="3">
        <v>46197</v>
      </c>
      <c r="K2110" s="1" t="s">
        <v>4752</v>
      </c>
    </row>
    <row r="2111" spans="1:11" x14ac:dyDescent="0.35">
      <c r="A2111" s="1" t="s">
        <v>4441</v>
      </c>
      <c r="B2111" s="1" t="s">
        <v>4737</v>
      </c>
      <c r="C2111" s="1" t="s">
        <v>4753</v>
      </c>
      <c r="D2111" s="1" t="str">
        <f>"6115"</f>
        <v>6115</v>
      </c>
      <c r="E2111" s="1" t="str">
        <f>"012755061"</f>
        <v>012755061</v>
      </c>
      <c r="F2111" s="1" t="s">
        <v>1390</v>
      </c>
      <c r="G2111" s="1" t="s">
        <v>16</v>
      </c>
      <c r="H2111" s="1" t="str">
        <f>"1"</f>
        <v>1</v>
      </c>
      <c r="I2111" s="2" t="str">
        <f>"10700"</f>
        <v>10700</v>
      </c>
      <c r="J2111" s="3">
        <v>46197</v>
      </c>
      <c r="K2111" s="1" t="s">
        <v>4752</v>
      </c>
    </row>
    <row r="2112" spans="1:11" x14ac:dyDescent="0.35">
      <c r="A2112" s="1" t="s">
        <v>4441</v>
      </c>
      <c r="B2112" s="1" t="s">
        <v>4737</v>
      </c>
      <c r="C2112" s="1" t="s">
        <v>4754</v>
      </c>
      <c r="D2112" s="1" t="str">
        <f>"6115"</f>
        <v>6115</v>
      </c>
      <c r="E2112" s="1" t="str">
        <f>"012755061"</f>
        <v>012755061</v>
      </c>
      <c r="F2112" s="1" t="s">
        <v>1390</v>
      </c>
      <c r="G2112" s="1" t="s">
        <v>16</v>
      </c>
      <c r="H2112" s="1" t="str">
        <f>"1"</f>
        <v>1</v>
      </c>
      <c r="I2112" s="2" t="str">
        <f>"10700"</f>
        <v>10700</v>
      </c>
      <c r="J2112" s="3">
        <v>46197</v>
      </c>
      <c r="K2112" s="1" t="s">
        <v>4752</v>
      </c>
    </row>
    <row r="2113" spans="1:11" x14ac:dyDescent="0.35">
      <c r="A2113" s="1" t="s">
        <v>4441</v>
      </c>
      <c r="B2113" s="1" t="s">
        <v>4737</v>
      </c>
      <c r="C2113" s="1" t="s">
        <v>4760</v>
      </c>
      <c r="D2113" s="1" t="str">
        <f>"6545"</f>
        <v>6545</v>
      </c>
      <c r="E2113" s="1" t="str">
        <f>"016092699"</f>
        <v>016092699</v>
      </c>
      <c r="F2113" s="1" t="s">
        <v>4527</v>
      </c>
      <c r="G2113" s="1" t="s">
        <v>458</v>
      </c>
      <c r="H2113" s="1" t="str">
        <f>"3"</f>
        <v>3</v>
      </c>
      <c r="I2113" s="2">
        <v>8495.23</v>
      </c>
      <c r="J2113" s="3">
        <v>46197</v>
      </c>
      <c r="K2113" s="1" t="s">
        <v>4761</v>
      </c>
    </row>
    <row r="2114" spans="1:11" x14ac:dyDescent="0.35">
      <c r="A2114" s="1" t="s">
        <v>4441</v>
      </c>
      <c r="B2114" s="1" t="s">
        <v>4737</v>
      </c>
      <c r="C2114" s="1" t="s">
        <v>4762</v>
      </c>
      <c r="D2114" s="1" t="str">
        <f>"6545"</f>
        <v>6545</v>
      </c>
      <c r="E2114" s="1" t="str">
        <f>"016092699"</f>
        <v>016092699</v>
      </c>
      <c r="F2114" s="1" t="s">
        <v>4527</v>
      </c>
      <c r="G2114" s="1" t="s">
        <v>458</v>
      </c>
      <c r="H2114" s="1" t="str">
        <f>"3"</f>
        <v>3</v>
      </c>
      <c r="I2114" s="2">
        <v>8495.23</v>
      </c>
      <c r="J2114" s="3">
        <v>46197</v>
      </c>
      <c r="K2114" s="1" t="s">
        <v>4763</v>
      </c>
    </row>
    <row r="2115" spans="1:11" x14ac:dyDescent="0.35">
      <c r="A2115" s="1" t="s">
        <v>4441</v>
      </c>
      <c r="B2115" s="1" t="s">
        <v>4737</v>
      </c>
      <c r="C2115" s="1" t="s">
        <v>4764</v>
      </c>
      <c r="D2115" s="1" t="str">
        <f>"6545"</f>
        <v>6545</v>
      </c>
      <c r="E2115" s="1" t="str">
        <f>"016092699"</f>
        <v>016092699</v>
      </c>
      <c r="F2115" s="1" t="s">
        <v>4527</v>
      </c>
      <c r="G2115" s="1" t="s">
        <v>458</v>
      </c>
      <c r="H2115" s="1" t="str">
        <f>"1"</f>
        <v>1</v>
      </c>
      <c r="I2115" s="2">
        <v>8495.23</v>
      </c>
      <c r="J2115" s="3">
        <v>46197</v>
      </c>
      <c r="K2115" s="1" t="s">
        <v>4765</v>
      </c>
    </row>
    <row r="2116" spans="1:11" x14ac:dyDescent="0.35">
      <c r="A2116" s="1" t="s">
        <v>4441</v>
      </c>
      <c r="B2116" s="1" t="s">
        <v>4737</v>
      </c>
      <c r="C2116" s="1" t="s">
        <v>4766</v>
      </c>
      <c r="D2116" s="1" t="str">
        <f>"7021"</f>
        <v>7021</v>
      </c>
      <c r="E2116" s="1" t="str">
        <f>"015586810"</f>
        <v>015586810</v>
      </c>
      <c r="F2116" s="1" t="s">
        <v>4767</v>
      </c>
      <c r="G2116" s="1" t="s">
        <v>16</v>
      </c>
      <c r="H2116" s="1" t="str">
        <f>"3"</f>
        <v>3</v>
      </c>
      <c r="I2116" s="2" t="str">
        <f>"5616"</f>
        <v>5616</v>
      </c>
      <c r="J2116" s="3">
        <v>46197</v>
      </c>
      <c r="K2116" s="1" t="s">
        <v>4768</v>
      </c>
    </row>
    <row r="2117" spans="1:11" x14ac:dyDescent="0.35">
      <c r="A2117" s="1" t="s">
        <v>4441</v>
      </c>
      <c r="B2117" s="1" t="s">
        <v>4737</v>
      </c>
      <c r="C2117" s="1" t="s">
        <v>4773</v>
      </c>
      <c r="D2117" s="1" t="str">
        <f>"7025"</f>
        <v>7025</v>
      </c>
      <c r="E2117" s="1" t="str">
        <f>"017325569"</f>
        <v>017325569</v>
      </c>
      <c r="F2117" s="1" t="s">
        <v>2959</v>
      </c>
      <c r="G2117" s="1" t="s">
        <v>16</v>
      </c>
      <c r="H2117" s="1" t="str">
        <f>"5"</f>
        <v>5</v>
      </c>
      <c r="I2117" s="2">
        <v>1052.3800000000001</v>
      </c>
      <c r="J2117" s="3">
        <v>46197</v>
      </c>
      <c r="K2117" s="1" t="s">
        <v>4774</v>
      </c>
    </row>
    <row r="2118" spans="1:11" x14ac:dyDescent="0.35">
      <c r="A2118" s="1" t="s">
        <v>4441</v>
      </c>
      <c r="B2118" s="1" t="s">
        <v>4450</v>
      </c>
      <c r="C2118" s="1" t="s">
        <v>4471</v>
      </c>
      <c r="D2118" s="1" t="str">
        <f>"3930"</f>
        <v>3930</v>
      </c>
      <c r="E2118" s="1" t="str">
        <f>"010764237"</f>
        <v>010764237</v>
      </c>
      <c r="F2118" s="1" t="s">
        <v>1304</v>
      </c>
      <c r="G2118" s="1" t="s">
        <v>16</v>
      </c>
      <c r="H2118" s="1" t="str">
        <f>"1"</f>
        <v>1</v>
      </c>
      <c r="I2118" s="2" t="str">
        <f>"75000"</f>
        <v>75000</v>
      </c>
      <c r="J2118" s="3">
        <v>46198</v>
      </c>
      <c r="K2118" s="1" t="s">
        <v>4472</v>
      </c>
    </row>
    <row r="2119" spans="1:11" x14ac:dyDescent="0.35">
      <c r="A2119" s="1" t="s">
        <v>4441</v>
      </c>
      <c r="B2119" s="1" t="s">
        <v>4450</v>
      </c>
      <c r="C2119" s="1" t="s">
        <v>4501</v>
      </c>
      <c r="D2119" s="1" t="str">
        <f>"5180"</f>
        <v>5180</v>
      </c>
      <c r="E2119" s="1" t="str">
        <f>"016313029"</f>
        <v>016313029</v>
      </c>
      <c r="F2119" s="1" t="s">
        <v>4502</v>
      </c>
      <c r="G2119" s="1" t="s">
        <v>16</v>
      </c>
      <c r="H2119" s="1" t="str">
        <f>"1"</f>
        <v>1</v>
      </c>
      <c r="I2119" s="2" t="str">
        <f>"133488"</f>
        <v>133488</v>
      </c>
      <c r="J2119" s="3">
        <v>46198</v>
      </c>
      <c r="K2119" s="1" t="s">
        <v>4503</v>
      </c>
    </row>
    <row r="2120" spans="1:11" x14ac:dyDescent="0.35">
      <c r="A2120" s="1" t="s">
        <v>4441</v>
      </c>
      <c r="B2120" s="1" t="s">
        <v>4450</v>
      </c>
      <c r="C2120" s="1" t="s">
        <v>4518</v>
      </c>
      <c r="D2120" s="1" t="str">
        <f>"6130"</f>
        <v>6130</v>
      </c>
      <c r="E2120" s="1" t="str">
        <f>"014952839"</f>
        <v>014952839</v>
      </c>
      <c r="F2120" s="1" t="s">
        <v>227</v>
      </c>
      <c r="G2120" s="1" t="s">
        <v>16</v>
      </c>
      <c r="H2120" s="1" t="str">
        <f>"1"</f>
        <v>1</v>
      </c>
      <c r="I2120" s="2" t="str">
        <f>"4393"</f>
        <v>4393</v>
      </c>
      <c r="J2120" s="3">
        <v>46198</v>
      </c>
      <c r="K2120" s="1" t="s">
        <v>4519</v>
      </c>
    </row>
    <row r="2121" spans="1:11" x14ac:dyDescent="0.35">
      <c r="A2121" s="1" t="s">
        <v>4441</v>
      </c>
      <c r="B2121" s="1" t="s">
        <v>4450</v>
      </c>
      <c r="C2121" s="1" t="s">
        <v>4526</v>
      </c>
      <c r="D2121" s="1" t="str">
        <f>"6545"</f>
        <v>6545</v>
      </c>
      <c r="E2121" s="1" t="str">
        <f>"016092699"</f>
        <v>016092699</v>
      </c>
      <c r="F2121" s="1" t="s">
        <v>4527</v>
      </c>
      <c r="G2121" s="1" t="s">
        <v>458</v>
      </c>
      <c r="H2121" s="1" t="str">
        <f>"1"</f>
        <v>1</v>
      </c>
      <c r="I2121" s="2">
        <v>8495.23</v>
      </c>
      <c r="J2121" s="3">
        <v>46198</v>
      </c>
      <c r="K2121" s="1" t="s">
        <v>4528</v>
      </c>
    </row>
    <row r="2122" spans="1:11" x14ac:dyDescent="0.35">
      <c r="A2122" s="1" t="s">
        <v>4870</v>
      </c>
      <c r="B2122" s="1" t="s">
        <v>4871</v>
      </c>
      <c r="C2122" s="1" t="s">
        <v>4872</v>
      </c>
      <c r="D2122" s="1" t="str">
        <f>"5895"</f>
        <v>5895</v>
      </c>
      <c r="E2122" s="1" t="str">
        <f>"016997317"</f>
        <v>016997317</v>
      </c>
      <c r="F2122" s="1" t="s">
        <v>4873</v>
      </c>
      <c r="G2122" s="1" t="s">
        <v>16</v>
      </c>
      <c r="H2122" s="1" t="str">
        <f>"1"</f>
        <v>1</v>
      </c>
      <c r="I2122" s="2" t="str">
        <f>"310627"</f>
        <v>310627</v>
      </c>
      <c r="J2122" s="3">
        <v>46174</v>
      </c>
      <c r="K2122" s="1" t="s">
        <v>4874</v>
      </c>
    </row>
    <row r="2123" spans="1:11" x14ac:dyDescent="0.35">
      <c r="A2123" s="1" t="s">
        <v>4875</v>
      </c>
      <c r="B2123" s="1" t="s">
        <v>4963</v>
      </c>
      <c r="C2123" s="1" t="s">
        <v>4995</v>
      </c>
      <c r="D2123" s="1" t="str">
        <f>"6115"</f>
        <v>6115</v>
      </c>
      <c r="E2123" s="1" t="str">
        <f>"015301458"</f>
        <v>015301458</v>
      </c>
      <c r="F2123" s="1" t="s">
        <v>1390</v>
      </c>
      <c r="G2123" s="1" t="s">
        <v>16</v>
      </c>
      <c r="H2123" s="1" t="str">
        <f>"12"</f>
        <v>12</v>
      </c>
      <c r="I2123" s="2" t="str">
        <f>"26334"</f>
        <v>26334</v>
      </c>
      <c r="J2123" s="3">
        <v>46119</v>
      </c>
      <c r="K2123" s="1" t="s">
        <v>4996</v>
      </c>
    </row>
    <row r="2124" spans="1:11" x14ac:dyDescent="0.35">
      <c r="A2124" s="1" t="s">
        <v>4875</v>
      </c>
      <c r="B2124" s="1" t="s">
        <v>4963</v>
      </c>
      <c r="C2124" s="1" t="s">
        <v>4970</v>
      </c>
      <c r="D2124" s="1" t="str">
        <f>"2310"</f>
        <v>2310</v>
      </c>
      <c r="E2124" s="1" t="s">
        <v>4971</v>
      </c>
      <c r="F2124" s="1" t="s">
        <v>4972</v>
      </c>
      <c r="G2124" s="1" t="s">
        <v>16</v>
      </c>
      <c r="H2124" s="1" t="str">
        <f>"1"</f>
        <v>1</v>
      </c>
      <c r="I2124" s="2" t="str">
        <f>"72000"</f>
        <v>72000</v>
      </c>
      <c r="J2124" s="3">
        <v>46120</v>
      </c>
      <c r="K2124" s="1" t="s">
        <v>4973</v>
      </c>
    </row>
    <row r="2125" spans="1:11" x14ac:dyDescent="0.35">
      <c r="A2125" s="1" t="s">
        <v>4875</v>
      </c>
      <c r="B2125" s="1" t="s">
        <v>4963</v>
      </c>
      <c r="C2125" s="1" t="s">
        <v>4982</v>
      </c>
      <c r="D2125" s="1" t="str">
        <f>"2330"</f>
        <v>2330</v>
      </c>
      <c r="E2125" s="1" t="s">
        <v>70</v>
      </c>
      <c r="F2125" s="1" t="s">
        <v>71</v>
      </c>
      <c r="G2125" s="1" t="s">
        <v>16</v>
      </c>
      <c r="H2125" s="1" t="str">
        <f>"1"</f>
        <v>1</v>
      </c>
      <c r="I2125" s="2" t="str">
        <f>"50187"</f>
        <v>50187</v>
      </c>
      <c r="J2125" s="3">
        <v>46120</v>
      </c>
      <c r="K2125" s="1" t="s">
        <v>4983</v>
      </c>
    </row>
    <row r="2126" spans="1:11" x14ac:dyDescent="0.35">
      <c r="A2126" s="1" t="s">
        <v>4875</v>
      </c>
      <c r="B2126" s="1" t="s">
        <v>4963</v>
      </c>
      <c r="C2126" s="1" t="s">
        <v>4990</v>
      </c>
      <c r="D2126" s="1" t="str">
        <f>"3805"</f>
        <v>3805</v>
      </c>
      <c r="E2126" s="1" t="s">
        <v>384</v>
      </c>
      <c r="F2126" s="1" t="s">
        <v>385</v>
      </c>
      <c r="G2126" s="1" t="s">
        <v>16</v>
      </c>
      <c r="H2126" s="1" t="str">
        <f>"1"</f>
        <v>1</v>
      </c>
      <c r="I2126" s="2" t="str">
        <f>"100000"</f>
        <v>100000</v>
      </c>
      <c r="J2126" s="3">
        <v>46120</v>
      </c>
      <c r="K2126" s="1" t="s">
        <v>4991</v>
      </c>
    </row>
    <row r="2127" spans="1:11" x14ac:dyDescent="0.35">
      <c r="A2127" s="1" t="s">
        <v>4875</v>
      </c>
      <c r="B2127" s="1" t="s">
        <v>4963</v>
      </c>
      <c r="C2127" s="1" t="s">
        <v>4986</v>
      </c>
      <c r="D2127" s="1" t="str">
        <f>"2330"</f>
        <v>2330</v>
      </c>
      <c r="E2127" s="1" t="str">
        <f>"010907861"</f>
        <v>010907861</v>
      </c>
      <c r="F2127" s="1" t="s">
        <v>122</v>
      </c>
      <c r="G2127" s="1" t="s">
        <v>16</v>
      </c>
      <c r="H2127" s="1" t="str">
        <f>"1"</f>
        <v>1</v>
      </c>
      <c r="I2127" s="2" t="str">
        <f>"16640"</f>
        <v>16640</v>
      </c>
      <c r="J2127" s="3">
        <v>46121</v>
      </c>
      <c r="K2127" s="1" t="s">
        <v>4987</v>
      </c>
    </row>
    <row r="2128" spans="1:11" x14ac:dyDescent="0.35">
      <c r="A2128" s="1" t="s">
        <v>4875</v>
      </c>
      <c r="B2128" s="1" t="s">
        <v>4963</v>
      </c>
      <c r="C2128" s="1" t="s">
        <v>4964</v>
      </c>
      <c r="D2128" s="1" t="str">
        <f>"1925"</f>
        <v>1925</v>
      </c>
      <c r="E2128" s="1" t="s">
        <v>4965</v>
      </c>
      <c r="F2128" s="1" t="s">
        <v>4966</v>
      </c>
      <c r="G2128" s="1" t="s">
        <v>16</v>
      </c>
      <c r="H2128" s="1" t="str">
        <f>"1"</f>
        <v>1</v>
      </c>
      <c r="I2128" s="2" t="str">
        <f>"176000"</f>
        <v>176000</v>
      </c>
      <c r="J2128" s="3">
        <v>46125</v>
      </c>
      <c r="K2128" s="1" t="s">
        <v>4967</v>
      </c>
    </row>
    <row r="2129" spans="1:11" x14ac:dyDescent="0.35">
      <c r="A2129" s="1" t="s">
        <v>4875</v>
      </c>
      <c r="B2129" s="1" t="s">
        <v>4963</v>
      </c>
      <c r="C2129" s="1" t="s">
        <v>4978</v>
      </c>
      <c r="D2129" s="1" t="str">
        <f>"2320"</f>
        <v>2320</v>
      </c>
      <c r="E2129" s="1" t="str">
        <f>"013614773"</f>
        <v>013614773</v>
      </c>
      <c r="F2129" s="1" t="s">
        <v>2294</v>
      </c>
      <c r="G2129" s="1" t="s">
        <v>16</v>
      </c>
      <c r="H2129" s="1" t="str">
        <f>"1"</f>
        <v>1</v>
      </c>
      <c r="I2129" s="2" t="str">
        <f>"58000"</f>
        <v>58000</v>
      </c>
      <c r="J2129" s="3">
        <v>46126</v>
      </c>
      <c r="K2129" s="1" t="s">
        <v>4979</v>
      </c>
    </row>
    <row r="2130" spans="1:11" x14ac:dyDescent="0.35">
      <c r="A2130" s="1" t="s">
        <v>4875</v>
      </c>
      <c r="B2130" s="1" t="s">
        <v>4926</v>
      </c>
      <c r="C2130" s="1" t="s">
        <v>4950</v>
      </c>
      <c r="D2130" s="1" t="str">
        <f>"7025"</f>
        <v>7025</v>
      </c>
      <c r="E2130" s="1" t="s">
        <v>3672</v>
      </c>
      <c r="F2130" s="1" t="s">
        <v>3673</v>
      </c>
      <c r="G2130" s="1" t="s">
        <v>16</v>
      </c>
      <c r="H2130" s="1" t="str">
        <f>"25"</f>
        <v>25</v>
      </c>
      <c r="I2130" s="2" t="str">
        <f>"29"</f>
        <v>29</v>
      </c>
      <c r="J2130" s="3">
        <v>46128</v>
      </c>
      <c r="K2130" s="1" t="s">
        <v>4951</v>
      </c>
    </row>
    <row r="2131" spans="1:11" x14ac:dyDescent="0.35">
      <c r="A2131" s="1" t="s">
        <v>4875</v>
      </c>
      <c r="B2131" s="1" t="s">
        <v>4900</v>
      </c>
      <c r="C2131" s="1" t="s">
        <v>4901</v>
      </c>
      <c r="D2131" s="1" t="str">
        <f>"1240"</f>
        <v>1240</v>
      </c>
      <c r="E2131" s="1" t="str">
        <f>"015403690"</f>
        <v>015403690</v>
      </c>
      <c r="F2131" s="1" t="s">
        <v>1103</v>
      </c>
      <c r="G2131" s="1" t="s">
        <v>16</v>
      </c>
      <c r="H2131" s="1" t="str">
        <f>"14"</f>
        <v>14</v>
      </c>
      <c r="I2131" s="2" t="str">
        <f>"340"</f>
        <v>340</v>
      </c>
      <c r="J2131" s="3">
        <v>46129</v>
      </c>
      <c r="K2131" s="1" t="s">
        <v>4902</v>
      </c>
    </row>
    <row r="2132" spans="1:11" x14ac:dyDescent="0.35">
      <c r="A2132" s="1" t="s">
        <v>4875</v>
      </c>
      <c r="B2132" s="1" t="s">
        <v>4963</v>
      </c>
      <c r="C2132" s="1" t="s">
        <v>4974</v>
      </c>
      <c r="D2132" s="1" t="str">
        <f>"2320"</f>
        <v>2320</v>
      </c>
      <c r="E2132" s="1" t="s">
        <v>975</v>
      </c>
      <c r="F2132" s="1" t="s">
        <v>976</v>
      </c>
      <c r="G2132" s="1" t="s">
        <v>16</v>
      </c>
      <c r="H2132" s="1" t="str">
        <f>"1"</f>
        <v>1</v>
      </c>
      <c r="I2132" s="2" t="str">
        <f>"47710"</f>
        <v>47710</v>
      </c>
      <c r="J2132" s="3">
        <v>46129</v>
      </c>
      <c r="K2132" s="1" t="s">
        <v>4975</v>
      </c>
    </row>
    <row r="2133" spans="1:11" x14ac:dyDescent="0.35">
      <c r="A2133" s="1" t="s">
        <v>4875</v>
      </c>
      <c r="B2133" s="1" t="s">
        <v>4926</v>
      </c>
      <c r="C2133" s="1" t="s">
        <v>4952</v>
      </c>
      <c r="D2133" s="1" t="str">
        <f>"7025"</f>
        <v>7025</v>
      </c>
      <c r="E2133" s="1" t="s">
        <v>4953</v>
      </c>
      <c r="F2133" s="1" t="s">
        <v>4954</v>
      </c>
      <c r="G2133" s="1" t="s">
        <v>16</v>
      </c>
      <c r="H2133" s="1" t="str">
        <f>"6"</f>
        <v>6</v>
      </c>
      <c r="I2133" s="2" t="str">
        <f>"20"</f>
        <v>20</v>
      </c>
      <c r="J2133" s="3">
        <v>46134</v>
      </c>
      <c r="K2133" s="1" t="s">
        <v>4955</v>
      </c>
    </row>
    <row r="2134" spans="1:11" x14ac:dyDescent="0.35">
      <c r="A2134" s="1" t="s">
        <v>4875</v>
      </c>
      <c r="B2134" s="1" t="s">
        <v>4926</v>
      </c>
      <c r="C2134" s="1" t="s">
        <v>4944</v>
      </c>
      <c r="D2134" s="1" t="str">
        <f>"5180"</f>
        <v>5180</v>
      </c>
      <c r="E2134" s="1" t="str">
        <f>"014926121"</f>
        <v>014926121</v>
      </c>
      <c r="F2134" s="1" t="s">
        <v>4945</v>
      </c>
      <c r="G2134" s="1" t="s">
        <v>16</v>
      </c>
      <c r="H2134" s="1" t="str">
        <f>"1"</f>
        <v>1</v>
      </c>
      <c r="I2134" s="2">
        <v>744.62</v>
      </c>
      <c r="J2134" s="3">
        <v>46135</v>
      </c>
      <c r="K2134" s="1" t="s">
        <v>4946</v>
      </c>
    </row>
    <row r="2135" spans="1:11" x14ac:dyDescent="0.35">
      <c r="A2135" s="1" t="s">
        <v>4875</v>
      </c>
      <c r="B2135" s="1" t="s">
        <v>4900</v>
      </c>
      <c r="C2135" s="1" t="s">
        <v>4909</v>
      </c>
      <c r="D2135" s="1" t="str">
        <f>"2320"</f>
        <v>2320</v>
      </c>
      <c r="E2135" s="1" t="s">
        <v>2218</v>
      </c>
      <c r="F2135" s="1" t="s">
        <v>2219</v>
      </c>
      <c r="G2135" s="1" t="s">
        <v>16</v>
      </c>
      <c r="H2135" s="1" t="str">
        <f>"1"</f>
        <v>1</v>
      </c>
      <c r="I2135" s="2" t="str">
        <f>"165000"</f>
        <v>165000</v>
      </c>
      <c r="J2135" s="3">
        <v>46139</v>
      </c>
      <c r="K2135" s="1" t="s">
        <v>4910</v>
      </c>
    </row>
    <row r="2136" spans="1:11" x14ac:dyDescent="0.35">
      <c r="A2136" s="1" t="s">
        <v>4875</v>
      </c>
      <c r="B2136" s="1" t="s">
        <v>4900</v>
      </c>
      <c r="C2136" s="1" t="s">
        <v>4911</v>
      </c>
      <c r="D2136" s="1" t="str">
        <f>"6760"</f>
        <v>6760</v>
      </c>
      <c r="E2136" s="1" t="s">
        <v>2444</v>
      </c>
      <c r="F2136" s="1" t="s">
        <v>2445</v>
      </c>
      <c r="G2136" s="1" t="s">
        <v>16</v>
      </c>
      <c r="H2136" s="1" t="str">
        <f>"5"</f>
        <v>5</v>
      </c>
      <c r="I2136" s="2" t="str">
        <f>"600"</f>
        <v>600</v>
      </c>
      <c r="J2136" s="3">
        <v>46139</v>
      </c>
      <c r="K2136" s="1" t="s">
        <v>4912</v>
      </c>
    </row>
    <row r="2137" spans="1:11" x14ac:dyDescent="0.35">
      <c r="A2137" s="1" t="s">
        <v>4875</v>
      </c>
      <c r="B2137" s="1" t="s">
        <v>4963</v>
      </c>
      <c r="C2137" s="1" t="s">
        <v>4968</v>
      </c>
      <c r="D2137" s="1" t="str">
        <f>"1940"</f>
        <v>1940</v>
      </c>
      <c r="E2137" s="1" t="s">
        <v>1503</v>
      </c>
      <c r="F2137" s="1" t="s">
        <v>1504</v>
      </c>
      <c r="G2137" s="1" t="s">
        <v>16</v>
      </c>
      <c r="H2137" s="1" t="str">
        <f>"1"</f>
        <v>1</v>
      </c>
      <c r="I2137" s="2" t="str">
        <f>"469281"</f>
        <v>469281</v>
      </c>
      <c r="J2137" s="3">
        <v>46139</v>
      </c>
      <c r="K2137" s="1" t="s">
        <v>4969</v>
      </c>
    </row>
    <row r="2138" spans="1:11" x14ac:dyDescent="0.35">
      <c r="A2138" s="1" t="s">
        <v>4875</v>
      </c>
      <c r="B2138" s="1" t="s">
        <v>4963</v>
      </c>
      <c r="C2138" s="1" t="s">
        <v>4980</v>
      </c>
      <c r="D2138" s="1" t="str">
        <f>"2330"</f>
        <v>2330</v>
      </c>
      <c r="E2138" s="1" t="s">
        <v>70</v>
      </c>
      <c r="F2138" s="1" t="s">
        <v>71</v>
      </c>
      <c r="G2138" s="1" t="s">
        <v>16</v>
      </c>
      <c r="H2138" s="1" t="str">
        <f>"1"</f>
        <v>1</v>
      </c>
      <c r="I2138" s="2" t="str">
        <f>"1455"</f>
        <v>1455</v>
      </c>
      <c r="J2138" s="3">
        <v>46139</v>
      </c>
      <c r="K2138" s="1" t="s">
        <v>4981</v>
      </c>
    </row>
    <row r="2139" spans="1:11" x14ac:dyDescent="0.35">
      <c r="A2139" s="1" t="s">
        <v>4875</v>
      </c>
      <c r="B2139" s="1" t="s">
        <v>4963</v>
      </c>
      <c r="C2139" s="1" t="s">
        <v>4984</v>
      </c>
      <c r="D2139" s="1" t="str">
        <f>"2330"</f>
        <v>2330</v>
      </c>
      <c r="E2139" s="1" t="s">
        <v>70</v>
      </c>
      <c r="F2139" s="1" t="s">
        <v>71</v>
      </c>
      <c r="G2139" s="1" t="s">
        <v>16</v>
      </c>
      <c r="H2139" s="1" t="str">
        <f>"1"</f>
        <v>1</v>
      </c>
      <c r="I2139" s="2" t="str">
        <f>"1520"</f>
        <v>1520</v>
      </c>
      <c r="J2139" s="3">
        <v>46139</v>
      </c>
      <c r="K2139" s="1" t="s">
        <v>4985</v>
      </c>
    </row>
    <row r="2140" spans="1:11" x14ac:dyDescent="0.35">
      <c r="A2140" s="1" t="s">
        <v>4875</v>
      </c>
      <c r="B2140" s="1" t="s">
        <v>4963</v>
      </c>
      <c r="C2140" s="1" t="s">
        <v>4976</v>
      </c>
      <c r="D2140" s="1" t="str">
        <f>"2320"</f>
        <v>2320</v>
      </c>
      <c r="E2140" s="1" t="str">
        <f>"015819536"</f>
        <v>015819536</v>
      </c>
      <c r="F2140" s="1" t="s">
        <v>271</v>
      </c>
      <c r="G2140" s="1" t="s">
        <v>16</v>
      </c>
      <c r="H2140" s="1" t="str">
        <f>"1"</f>
        <v>1</v>
      </c>
      <c r="I2140" s="2" t="str">
        <f>"25500"</f>
        <v>25500</v>
      </c>
      <c r="J2140" s="3">
        <v>46140</v>
      </c>
      <c r="K2140" s="1" t="s">
        <v>4977</v>
      </c>
    </row>
    <row r="2141" spans="1:11" x14ac:dyDescent="0.35">
      <c r="A2141" s="1" t="s">
        <v>4875</v>
      </c>
      <c r="B2141" s="1" t="s">
        <v>4926</v>
      </c>
      <c r="C2141" s="1" t="s">
        <v>4932</v>
      </c>
      <c r="D2141" s="1" t="str">
        <f>"4520"</f>
        <v>4520</v>
      </c>
      <c r="E2141" s="1" t="str">
        <f>"016084194"</f>
        <v>016084194</v>
      </c>
      <c r="F2141" s="1" t="s">
        <v>4933</v>
      </c>
      <c r="G2141" s="1" t="s">
        <v>16</v>
      </c>
      <c r="H2141" s="1" t="str">
        <f>"8"</f>
        <v>8</v>
      </c>
      <c r="I2141" s="2">
        <v>379.37</v>
      </c>
      <c r="J2141" s="3">
        <v>46142</v>
      </c>
      <c r="K2141" s="1" t="s">
        <v>4934</v>
      </c>
    </row>
    <row r="2142" spans="1:11" x14ac:dyDescent="0.35">
      <c r="A2142" s="1" t="s">
        <v>4875</v>
      </c>
      <c r="B2142" s="1" t="s">
        <v>4926</v>
      </c>
      <c r="C2142" s="1" t="s">
        <v>4935</v>
      </c>
      <c r="D2142" s="1" t="str">
        <f>"4520"</f>
        <v>4520</v>
      </c>
      <c r="E2142" s="1" t="str">
        <f>"016097748"</f>
        <v>016097748</v>
      </c>
      <c r="F2142" s="1" t="s">
        <v>4936</v>
      </c>
      <c r="G2142" s="1" t="s">
        <v>16</v>
      </c>
      <c r="H2142" s="1" t="str">
        <f>"6"</f>
        <v>6</v>
      </c>
      <c r="I2142" s="2">
        <v>78.59</v>
      </c>
      <c r="J2142" s="3">
        <v>46142</v>
      </c>
      <c r="K2142" s="1" t="s">
        <v>4937</v>
      </c>
    </row>
    <row r="2143" spans="1:11" x14ac:dyDescent="0.35">
      <c r="A2143" s="1" t="s">
        <v>4875</v>
      </c>
      <c r="B2143" s="1" t="s">
        <v>4926</v>
      </c>
      <c r="C2143" s="1" t="s">
        <v>4956</v>
      </c>
      <c r="D2143" s="1" t="str">
        <f>"7910"</f>
        <v>7910</v>
      </c>
      <c r="E2143" s="1" t="str">
        <f>"015452530"</f>
        <v>015452530</v>
      </c>
      <c r="F2143" s="1" t="s">
        <v>4957</v>
      </c>
      <c r="G2143" s="1" t="s">
        <v>16</v>
      </c>
      <c r="H2143" s="1" t="str">
        <f>"1"</f>
        <v>1</v>
      </c>
      <c r="I2143" s="2">
        <v>323.56</v>
      </c>
      <c r="J2143" s="3">
        <v>46142</v>
      </c>
      <c r="K2143" s="1" t="s">
        <v>4958</v>
      </c>
    </row>
    <row r="2144" spans="1:11" x14ac:dyDescent="0.35">
      <c r="A2144" s="1" t="s">
        <v>4875</v>
      </c>
      <c r="B2144" s="1" t="s">
        <v>4963</v>
      </c>
      <c r="C2144" s="1" t="s">
        <v>4988</v>
      </c>
      <c r="D2144" s="1" t="str">
        <f>"2330"</f>
        <v>2330</v>
      </c>
      <c r="E2144" s="1" t="s">
        <v>70</v>
      </c>
      <c r="F2144" s="1" t="s">
        <v>71</v>
      </c>
      <c r="G2144" s="1" t="s">
        <v>16</v>
      </c>
      <c r="H2144" s="1" t="str">
        <f>"1"</f>
        <v>1</v>
      </c>
      <c r="I2144" s="2" t="str">
        <f>"10000"</f>
        <v>10000</v>
      </c>
      <c r="J2144" s="3">
        <v>46143</v>
      </c>
      <c r="K2144" s="1" t="s">
        <v>4989</v>
      </c>
    </row>
    <row r="2145" spans="1:11" x14ac:dyDescent="0.35">
      <c r="A2145" s="1" t="s">
        <v>4875</v>
      </c>
      <c r="B2145" s="1" t="s">
        <v>4963</v>
      </c>
      <c r="C2145" s="1" t="s">
        <v>4992</v>
      </c>
      <c r="D2145" s="1" t="str">
        <f>"5180"</f>
        <v>5180</v>
      </c>
      <c r="E2145" s="1" t="str">
        <f>"015595981"</f>
        <v>015595981</v>
      </c>
      <c r="F2145" s="1" t="s">
        <v>1076</v>
      </c>
      <c r="G2145" s="1" t="s">
        <v>215</v>
      </c>
      <c r="H2145" s="1" t="str">
        <f>"1"</f>
        <v>1</v>
      </c>
      <c r="I2145" s="2" t="str">
        <f>"1774"</f>
        <v>1774</v>
      </c>
      <c r="J2145" s="3">
        <v>46146</v>
      </c>
      <c r="K2145" s="1" t="s">
        <v>5165</v>
      </c>
    </row>
    <row r="2146" spans="1:11" x14ac:dyDescent="0.35">
      <c r="A2146" s="1" t="s">
        <v>4875</v>
      </c>
      <c r="B2146" s="1" t="s">
        <v>4963</v>
      </c>
      <c r="C2146" s="1" t="s">
        <v>4993</v>
      </c>
      <c r="D2146" s="1" t="str">
        <f>"5855"</f>
        <v>5855</v>
      </c>
      <c r="E2146" s="1" t="str">
        <f>"014748904"</f>
        <v>014748904</v>
      </c>
      <c r="F2146" s="1" t="s">
        <v>175</v>
      </c>
      <c r="G2146" s="1" t="s">
        <v>16</v>
      </c>
      <c r="H2146" s="1" t="str">
        <f>"22"</f>
        <v>22</v>
      </c>
      <c r="I2146" s="2" t="str">
        <f>"5314"</f>
        <v>5314</v>
      </c>
      <c r="J2146" s="3">
        <v>46148</v>
      </c>
      <c r="K2146" s="1" t="s">
        <v>4994</v>
      </c>
    </row>
    <row r="2147" spans="1:11" x14ac:dyDescent="0.35">
      <c r="A2147" s="1" t="s">
        <v>4875</v>
      </c>
      <c r="B2147" s="1" t="s">
        <v>4900</v>
      </c>
      <c r="C2147" s="1" t="s">
        <v>4906</v>
      </c>
      <c r="D2147" s="1" t="str">
        <f>"2310"</f>
        <v>2310</v>
      </c>
      <c r="E2147" s="1" t="str">
        <f>"016231545"</f>
        <v>016231545</v>
      </c>
      <c r="F2147" s="1" t="s">
        <v>4907</v>
      </c>
      <c r="G2147" s="1" t="s">
        <v>16</v>
      </c>
      <c r="H2147" s="1" t="str">
        <f>"1"</f>
        <v>1</v>
      </c>
      <c r="I2147" s="2" t="str">
        <f>"32000"</f>
        <v>32000</v>
      </c>
      <c r="J2147" s="3">
        <v>46150</v>
      </c>
      <c r="K2147" s="1" t="s">
        <v>4908</v>
      </c>
    </row>
    <row r="2148" spans="1:11" x14ac:dyDescent="0.35">
      <c r="A2148" s="1" t="s">
        <v>4875</v>
      </c>
      <c r="B2148" s="1" t="s">
        <v>4921</v>
      </c>
      <c r="C2148" s="1" t="s">
        <v>4922</v>
      </c>
      <c r="D2148" s="1" t="str">
        <f>"2320"</f>
        <v>2320</v>
      </c>
      <c r="E2148" s="1" t="str">
        <f>"011274800"</f>
        <v>011274800</v>
      </c>
      <c r="F2148" s="1" t="s">
        <v>271</v>
      </c>
      <c r="G2148" s="1" t="s">
        <v>16</v>
      </c>
      <c r="H2148" s="1" t="str">
        <f>"1"</f>
        <v>1</v>
      </c>
      <c r="I2148" s="2" t="str">
        <f>"7895"</f>
        <v>7895</v>
      </c>
      <c r="J2148" s="3">
        <v>46156</v>
      </c>
      <c r="K2148" s="1" t="s">
        <v>5165</v>
      </c>
    </row>
    <row r="2149" spans="1:11" x14ac:dyDescent="0.35">
      <c r="A2149" s="1" t="s">
        <v>4875</v>
      </c>
      <c r="B2149" s="1" t="s">
        <v>4926</v>
      </c>
      <c r="C2149" s="1" t="s">
        <v>4929</v>
      </c>
      <c r="D2149" s="1" t="str">
        <f>"4120"</f>
        <v>4120</v>
      </c>
      <c r="E2149" s="1" t="str">
        <f>"016975351"</f>
        <v>016975351</v>
      </c>
      <c r="F2149" s="1" t="s">
        <v>4930</v>
      </c>
      <c r="G2149" s="1" t="s">
        <v>16</v>
      </c>
      <c r="H2149" s="1" t="str">
        <f>"2"</f>
        <v>2</v>
      </c>
      <c r="I2149" s="2" t="str">
        <f>"5641"</f>
        <v>5641</v>
      </c>
      <c r="J2149" s="3">
        <v>46156</v>
      </c>
      <c r="K2149" s="1" t="s">
        <v>4931</v>
      </c>
    </row>
    <row r="2150" spans="1:11" x14ac:dyDescent="0.35">
      <c r="A2150" s="1" t="s">
        <v>4875</v>
      </c>
      <c r="B2150" s="1" t="s">
        <v>4926</v>
      </c>
      <c r="C2150" s="1" t="s">
        <v>4943</v>
      </c>
      <c r="D2150" s="1" t="str">
        <f>"5180"</f>
        <v>5180</v>
      </c>
      <c r="E2150" s="1" t="s">
        <v>88</v>
      </c>
      <c r="F2150" s="1" t="s">
        <v>89</v>
      </c>
      <c r="G2150" s="1" t="s">
        <v>16</v>
      </c>
      <c r="H2150" s="1" t="str">
        <f>"1"</f>
        <v>1</v>
      </c>
      <c r="I2150" s="2" t="str">
        <f>"150"</f>
        <v>150</v>
      </c>
      <c r="J2150" s="3">
        <v>46156</v>
      </c>
      <c r="K2150" s="1" t="s">
        <v>4941</v>
      </c>
    </row>
    <row r="2151" spans="1:11" x14ac:dyDescent="0.35">
      <c r="A2151" s="1" t="s">
        <v>4875</v>
      </c>
      <c r="B2151" s="1" t="s">
        <v>4926</v>
      </c>
      <c r="C2151" s="1" t="s">
        <v>4947</v>
      </c>
      <c r="D2151" s="1" t="str">
        <f>"5180"</f>
        <v>5180</v>
      </c>
      <c r="E2151" s="1" t="str">
        <f>"014830249"</f>
        <v>014830249</v>
      </c>
      <c r="F2151" s="1" t="s">
        <v>792</v>
      </c>
      <c r="G2151" s="1" t="s">
        <v>458</v>
      </c>
      <c r="H2151" s="1" t="str">
        <f>"10"</f>
        <v>10</v>
      </c>
      <c r="I2151" s="2" t="str">
        <f>"1780"</f>
        <v>1780</v>
      </c>
      <c r="J2151" s="3">
        <v>46156</v>
      </c>
      <c r="K2151" s="1" t="s">
        <v>4941</v>
      </c>
    </row>
    <row r="2152" spans="1:11" x14ac:dyDescent="0.35">
      <c r="A2152" s="1" t="s">
        <v>4875</v>
      </c>
      <c r="B2152" s="1" t="s">
        <v>4926</v>
      </c>
      <c r="C2152" s="1" t="s">
        <v>4959</v>
      </c>
      <c r="D2152" s="1" t="str">
        <f>"8145"</f>
        <v>8145</v>
      </c>
      <c r="E2152" s="1" t="s">
        <v>4960</v>
      </c>
      <c r="F2152" s="1" t="s">
        <v>4961</v>
      </c>
      <c r="G2152" s="1" t="s">
        <v>16</v>
      </c>
      <c r="H2152" s="1" t="str">
        <f>"2"</f>
        <v>2</v>
      </c>
      <c r="I2152" s="2" t="str">
        <f>"500"</f>
        <v>500</v>
      </c>
      <c r="J2152" s="3">
        <v>46156</v>
      </c>
      <c r="K2152" s="1" t="s">
        <v>4962</v>
      </c>
    </row>
    <row r="2153" spans="1:11" x14ac:dyDescent="0.35">
      <c r="A2153" s="1" t="s">
        <v>4875</v>
      </c>
      <c r="B2153" s="1" t="s">
        <v>4926</v>
      </c>
      <c r="C2153" s="1" t="s">
        <v>4938</v>
      </c>
      <c r="D2153" s="1" t="str">
        <f>"5120"</f>
        <v>5120</v>
      </c>
      <c r="E2153" s="1" t="str">
        <f>"014767556"</f>
        <v>014767556</v>
      </c>
      <c r="F2153" s="1" t="s">
        <v>586</v>
      </c>
      <c r="G2153" s="1" t="s">
        <v>16</v>
      </c>
      <c r="H2153" s="1" t="str">
        <f>"10"</f>
        <v>10</v>
      </c>
      <c r="I2153" s="2">
        <v>61.83</v>
      </c>
      <c r="J2153" s="3">
        <v>46157</v>
      </c>
      <c r="K2153" s="1" t="s">
        <v>4939</v>
      </c>
    </row>
    <row r="2154" spans="1:11" x14ac:dyDescent="0.35">
      <c r="A2154" s="1" t="s">
        <v>4875</v>
      </c>
      <c r="B2154" s="1" t="s">
        <v>4926</v>
      </c>
      <c r="C2154" s="1" t="s">
        <v>4940</v>
      </c>
      <c r="D2154" s="1" t="str">
        <f>"5120"</f>
        <v>5120</v>
      </c>
      <c r="E2154" s="1" t="s">
        <v>576</v>
      </c>
      <c r="F2154" s="1" t="s">
        <v>577</v>
      </c>
      <c r="G2154" s="1" t="s">
        <v>16</v>
      </c>
      <c r="H2154" s="1" t="str">
        <f>"5"</f>
        <v>5</v>
      </c>
      <c r="I2154" s="2" t="str">
        <f>"25"</f>
        <v>25</v>
      </c>
      <c r="J2154" s="3">
        <v>46157</v>
      </c>
      <c r="K2154" s="1" t="s">
        <v>4941</v>
      </c>
    </row>
    <row r="2155" spans="1:11" x14ac:dyDescent="0.35">
      <c r="A2155" s="1" t="s">
        <v>4875</v>
      </c>
      <c r="B2155" s="1" t="s">
        <v>4926</v>
      </c>
      <c r="C2155" s="1" t="s">
        <v>4942</v>
      </c>
      <c r="D2155" s="1" t="str">
        <f>"5120"</f>
        <v>5120</v>
      </c>
      <c r="E2155" s="1" t="str">
        <f>"008785932"</f>
        <v>008785932</v>
      </c>
      <c r="F2155" s="1" t="s">
        <v>586</v>
      </c>
      <c r="G2155" s="1" t="s">
        <v>16</v>
      </c>
      <c r="H2155" s="1" t="str">
        <f>"29"</f>
        <v>29</v>
      </c>
      <c r="I2155" s="2">
        <v>97.1</v>
      </c>
      <c r="J2155" s="3">
        <v>46157</v>
      </c>
      <c r="K2155" s="1" t="s">
        <v>4939</v>
      </c>
    </row>
    <row r="2156" spans="1:11" x14ac:dyDescent="0.35">
      <c r="A2156" s="1" t="s">
        <v>4875</v>
      </c>
      <c r="B2156" s="1" t="s">
        <v>4926</v>
      </c>
      <c r="C2156" s="1" t="s">
        <v>4948</v>
      </c>
      <c r="D2156" s="1" t="str">
        <f>"5180"</f>
        <v>5180</v>
      </c>
      <c r="E2156" s="1" t="str">
        <f>"003133045"</f>
        <v>003133045</v>
      </c>
      <c r="F2156" s="1" t="s">
        <v>3119</v>
      </c>
      <c r="G2156" s="1" t="s">
        <v>215</v>
      </c>
      <c r="H2156" s="1" t="str">
        <f>"7"</f>
        <v>7</v>
      </c>
      <c r="I2156" s="2" t="str">
        <f>"3362"</f>
        <v>3362</v>
      </c>
      <c r="J2156" s="3">
        <v>46157</v>
      </c>
      <c r="K2156" s="1" t="s">
        <v>4949</v>
      </c>
    </row>
    <row r="2157" spans="1:11" x14ac:dyDescent="0.35">
      <c r="A2157" s="1" t="s">
        <v>4875</v>
      </c>
      <c r="B2157" s="1" t="s">
        <v>4923</v>
      </c>
      <c r="C2157" s="1" t="s">
        <v>4924</v>
      </c>
      <c r="D2157" s="1" t="str">
        <f>"2320"</f>
        <v>2320</v>
      </c>
      <c r="E2157" s="1" t="str">
        <f>"007529289"</f>
        <v>007529289</v>
      </c>
      <c r="F2157" s="1" t="s">
        <v>271</v>
      </c>
      <c r="G2157" s="1" t="s">
        <v>16</v>
      </c>
      <c r="H2157" s="1" t="str">
        <f>"1"</f>
        <v>1</v>
      </c>
      <c r="I2157" s="2" t="str">
        <f>"4202"</f>
        <v>4202</v>
      </c>
      <c r="J2157" s="3">
        <v>46161</v>
      </c>
      <c r="K2157" s="1" t="s">
        <v>4925</v>
      </c>
    </row>
    <row r="2158" spans="1:11" x14ac:dyDescent="0.35">
      <c r="A2158" s="1" t="s">
        <v>4875</v>
      </c>
      <c r="B2158" s="1" t="s">
        <v>4876</v>
      </c>
      <c r="C2158" s="1" t="s">
        <v>4880</v>
      </c>
      <c r="D2158" s="1" t="str">
        <f>"1240"</f>
        <v>1240</v>
      </c>
      <c r="E2158" s="1" t="str">
        <f>"015065920"</f>
        <v>015065920</v>
      </c>
      <c r="F2158" s="1" t="s">
        <v>175</v>
      </c>
      <c r="G2158" s="1" t="s">
        <v>16</v>
      </c>
      <c r="H2158" s="1" t="str">
        <f>"4"</f>
        <v>4</v>
      </c>
      <c r="I2158" s="2">
        <v>1185.0999999999999</v>
      </c>
      <c r="J2158" s="3">
        <v>46162</v>
      </c>
      <c r="K2158" s="1" t="s">
        <v>4881</v>
      </c>
    </row>
    <row r="2159" spans="1:11" x14ac:dyDescent="0.35">
      <c r="A2159" s="1" t="s">
        <v>4875</v>
      </c>
      <c r="B2159" s="1" t="s">
        <v>4926</v>
      </c>
      <c r="C2159" s="1" t="s">
        <v>4927</v>
      </c>
      <c r="D2159" s="1" t="str">
        <f>"3930"</f>
        <v>3930</v>
      </c>
      <c r="E2159" s="1" t="s">
        <v>1476</v>
      </c>
      <c r="F2159" s="1" t="s">
        <v>1477</v>
      </c>
      <c r="G2159" s="1" t="s">
        <v>16</v>
      </c>
      <c r="H2159" s="1" t="str">
        <f>"1"</f>
        <v>1</v>
      </c>
      <c r="I2159" s="2" t="str">
        <f>"5000"</f>
        <v>5000</v>
      </c>
      <c r="J2159" s="3">
        <v>46171</v>
      </c>
      <c r="K2159" s="1" t="s">
        <v>4928</v>
      </c>
    </row>
    <row r="2160" spans="1:11" x14ac:dyDescent="0.35">
      <c r="A2160" s="1" t="s">
        <v>4875</v>
      </c>
      <c r="B2160" s="1" t="s">
        <v>4900</v>
      </c>
      <c r="C2160" s="1" t="s">
        <v>4913</v>
      </c>
      <c r="D2160" s="1" t="str">
        <f>"6760"</f>
        <v>6760</v>
      </c>
      <c r="E2160" s="1" t="s">
        <v>2444</v>
      </c>
      <c r="F2160" s="1" t="s">
        <v>2445</v>
      </c>
      <c r="G2160" s="1" t="s">
        <v>16</v>
      </c>
      <c r="H2160" s="1" t="str">
        <f>"2"</f>
        <v>2</v>
      </c>
      <c r="I2160" s="2" t="str">
        <f>"500"</f>
        <v>500</v>
      </c>
      <c r="J2160" s="3">
        <v>46175</v>
      </c>
      <c r="K2160" s="1" t="s">
        <v>4914</v>
      </c>
    </row>
    <row r="2161" spans="1:11" x14ac:dyDescent="0.35">
      <c r="A2161" s="1" t="s">
        <v>4875</v>
      </c>
      <c r="B2161" s="1" t="s">
        <v>4900</v>
      </c>
      <c r="C2161" s="1" t="s">
        <v>4915</v>
      </c>
      <c r="D2161" s="1" t="str">
        <f>"6760"</f>
        <v>6760</v>
      </c>
      <c r="E2161" s="1" t="s">
        <v>2444</v>
      </c>
      <c r="F2161" s="1" t="s">
        <v>2445</v>
      </c>
      <c r="G2161" s="1" t="s">
        <v>16</v>
      </c>
      <c r="H2161" s="1" t="str">
        <f>"3"</f>
        <v>3</v>
      </c>
      <c r="I2161" s="2" t="str">
        <f>"975"</f>
        <v>975</v>
      </c>
      <c r="J2161" s="3">
        <v>46175</v>
      </c>
      <c r="K2161" s="1" t="s">
        <v>4914</v>
      </c>
    </row>
    <row r="2162" spans="1:11" x14ac:dyDescent="0.35">
      <c r="A2162" s="1" t="s">
        <v>4875</v>
      </c>
      <c r="B2162" s="1" t="s">
        <v>4900</v>
      </c>
      <c r="C2162" s="1" t="s">
        <v>4916</v>
      </c>
      <c r="D2162" s="1" t="str">
        <f>"6760"</f>
        <v>6760</v>
      </c>
      <c r="E2162" s="1" t="s">
        <v>2444</v>
      </c>
      <c r="F2162" s="1" t="s">
        <v>2445</v>
      </c>
      <c r="G2162" s="1" t="s">
        <v>16</v>
      </c>
      <c r="H2162" s="1" t="str">
        <f>"2"</f>
        <v>2</v>
      </c>
      <c r="I2162" s="2" t="str">
        <f>"350"</f>
        <v>350</v>
      </c>
      <c r="J2162" s="3">
        <v>46175</v>
      </c>
      <c r="K2162" s="1" t="s">
        <v>4914</v>
      </c>
    </row>
    <row r="2163" spans="1:11" x14ac:dyDescent="0.35">
      <c r="A2163" s="1" t="s">
        <v>4875</v>
      </c>
      <c r="B2163" s="1" t="s">
        <v>4876</v>
      </c>
      <c r="C2163" s="1" t="s">
        <v>4884</v>
      </c>
      <c r="D2163" s="1" t="str">
        <f>"7025"</f>
        <v>7025</v>
      </c>
      <c r="E2163" s="1" t="s">
        <v>248</v>
      </c>
      <c r="F2163" s="1" t="s">
        <v>249</v>
      </c>
      <c r="G2163" s="1" t="s">
        <v>16</v>
      </c>
      <c r="H2163" s="1" t="str">
        <f>"20"</f>
        <v>20</v>
      </c>
      <c r="I2163" s="2" t="str">
        <f>"179"</f>
        <v>179</v>
      </c>
      <c r="J2163" s="3">
        <v>46182</v>
      </c>
      <c r="K2163" s="1" t="s">
        <v>4885</v>
      </c>
    </row>
    <row r="2164" spans="1:11" x14ac:dyDescent="0.35">
      <c r="A2164" s="1" t="s">
        <v>4875</v>
      </c>
      <c r="B2164" s="1" t="s">
        <v>4892</v>
      </c>
      <c r="C2164" s="1" t="s">
        <v>4893</v>
      </c>
      <c r="D2164" s="1" t="str">
        <f>"2330"</f>
        <v>2330</v>
      </c>
      <c r="E2164" s="1" t="s">
        <v>70</v>
      </c>
      <c r="F2164" s="1" t="s">
        <v>71</v>
      </c>
      <c r="G2164" s="1" t="s">
        <v>16</v>
      </c>
      <c r="H2164" s="1" t="str">
        <f>"1"</f>
        <v>1</v>
      </c>
      <c r="I2164" s="2" t="str">
        <f>"79455"</f>
        <v>79455</v>
      </c>
      <c r="J2164" s="3">
        <v>46182</v>
      </c>
      <c r="K2164" s="1" t="s">
        <v>4894</v>
      </c>
    </row>
    <row r="2165" spans="1:11" x14ac:dyDescent="0.35">
      <c r="A2165" s="1" t="s">
        <v>4875</v>
      </c>
      <c r="B2165" s="1" t="s">
        <v>4892</v>
      </c>
      <c r="C2165" s="1" t="s">
        <v>4895</v>
      </c>
      <c r="D2165" s="1" t="str">
        <f>"2330"</f>
        <v>2330</v>
      </c>
      <c r="E2165" s="1" t="s">
        <v>70</v>
      </c>
      <c r="F2165" s="1" t="s">
        <v>71</v>
      </c>
      <c r="G2165" s="1" t="s">
        <v>16</v>
      </c>
      <c r="H2165" s="1" t="str">
        <f>"1"</f>
        <v>1</v>
      </c>
      <c r="I2165" s="2" t="str">
        <f>"79455"</f>
        <v>79455</v>
      </c>
      <c r="J2165" s="3">
        <v>46182</v>
      </c>
      <c r="K2165" s="1" t="s">
        <v>4894</v>
      </c>
    </row>
    <row r="2166" spans="1:11" x14ac:dyDescent="0.35">
      <c r="A2166" s="1" t="s">
        <v>4875</v>
      </c>
      <c r="B2166" s="1" t="s">
        <v>4892</v>
      </c>
      <c r="C2166" s="1" t="s">
        <v>4898</v>
      </c>
      <c r="D2166" s="1" t="str">
        <f>"4910"</f>
        <v>4910</v>
      </c>
      <c r="E2166" s="1" t="s">
        <v>1655</v>
      </c>
      <c r="F2166" s="1" t="s">
        <v>1656</v>
      </c>
      <c r="G2166" s="1" t="s">
        <v>16</v>
      </c>
      <c r="H2166" s="1" t="str">
        <f>"1"</f>
        <v>1</v>
      </c>
      <c r="I2166" s="2" t="str">
        <f>"714"</f>
        <v>714</v>
      </c>
      <c r="J2166" s="3">
        <v>46182</v>
      </c>
      <c r="K2166" s="1" t="s">
        <v>4899</v>
      </c>
    </row>
    <row r="2167" spans="1:11" x14ac:dyDescent="0.35">
      <c r="A2167" s="1" t="s">
        <v>4875</v>
      </c>
      <c r="B2167" s="1" t="s">
        <v>4876</v>
      </c>
      <c r="C2167" s="1" t="s">
        <v>4877</v>
      </c>
      <c r="D2167" s="1" t="str">
        <f>"1005"</f>
        <v>1005</v>
      </c>
      <c r="E2167" s="1" t="str">
        <f>"016976892"</f>
        <v>016976892</v>
      </c>
      <c r="F2167" s="1" t="s">
        <v>4878</v>
      </c>
      <c r="G2167" s="1" t="s">
        <v>16</v>
      </c>
      <c r="H2167" s="1" t="str">
        <f>"4"</f>
        <v>4</v>
      </c>
      <c r="I2167" s="2" t="str">
        <f>"1804"</f>
        <v>1804</v>
      </c>
      <c r="J2167" s="3">
        <v>46184</v>
      </c>
      <c r="K2167" s="1" t="s">
        <v>4879</v>
      </c>
    </row>
    <row r="2168" spans="1:11" x14ac:dyDescent="0.35">
      <c r="A2168" s="1" t="s">
        <v>4875</v>
      </c>
      <c r="B2168" s="1" t="s">
        <v>4900</v>
      </c>
      <c r="C2168" s="1" t="s">
        <v>4903</v>
      </c>
      <c r="D2168" s="1" t="str">
        <f>"1940"</f>
        <v>1940</v>
      </c>
      <c r="E2168" s="1" t="str">
        <f>"001093313"</f>
        <v>001093313</v>
      </c>
      <c r="F2168" s="1" t="s">
        <v>4904</v>
      </c>
      <c r="G2168" s="1" t="s">
        <v>16</v>
      </c>
      <c r="H2168" s="1" t="str">
        <f>"1"</f>
        <v>1</v>
      </c>
      <c r="I2168" s="2" t="str">
        <f>"4663"</f>
        <v>4663</v>
      </c>
      <c r="J2168" s="3">
        <v>46189</v>
      </c>
      <c r="K2168" s="1" t="s">
        <v>4905</v>
      </c>
    </row>
    <row r="2169" spans="1:11" x14ac:dyDescent="0.35">
      <c r="A2169" s="1" t="s">
        <v>4875</v>
      </c>
      <c r="B2169" s="1" t="s">
        <v>4900</v>
      </c>
      <c r="C2169" s="1" t="s">
        <v>4917</v>
      </c>
      <c r="D2169" s="1" t="str">
        <f>"8465"</f>
        <v>8465</v>
      </c>
      <c r="E2169" s="1" t="str">
        <f>"015987693"</f>
        <v>015987693</v>
      </c>
      <c r="F2169" s="1" t="s">
        <v>653</v>
      </c>
      <c r="G2169" s="1" t="s">
        <v>16</v>
      </c>
      <c r="H2169" s="1" t="str">
        <f>"10"</f>
        <v>10</v>
      </c>
      <c r="I2169" s="2">
        <v>638.64</v>
      </c>
      <c r="J2169" s="3">
        <v>46189</v>
      </c>
      <c r="K2169" s="1" t="s">
        <v>4918</v>
      </c>
    </row>
    <row r="2170" spans="1:11" x14ac:dyDescent="0.35">
      <c r="A2170" s="1" t="s">
        <v>4875</v>
      </c>
      <c r="B2170" s="1" t="s">
        <v>4900</v>
      </c>
      <c r="C2170" s="1" t="s">
        <v>4919</v>
      </c>
      <c r="D2170" s="1" t="str">
        <f>"8465"</f>
        <v>8465</v>
      </c>
      <c r="E2170" s="1" t="str">
        <f>"016036613"</f>
        <v>016036613</v>
      </c>
      <c r="F2170" s="1" t="s">
        <v>1236</v>
      </c>
      <c r="G2170" s="1" t="s">
        <v>16</v>
      </c>
      <c r="H2170" s="1" t="str">
        <f>"10"</f>
        <v>10</v>
      </c>
      <c r="I2170" s="2">
        <v>395.65</v>
      </c>
      <c r="J2170" s="3">
        <v>46189</v>
      </c>
      <c r="K2170" s="1" t="s">
        <v>4920</v>
      </c>
    </row>
    <row r="2171" spans="1:11" x14ac:dyDescent="0.35">
      <c r="A2171" s="1" t="s">
        <v>4875</v>
      </c>
      <c r="B2171" s="1" t="s">
        <v>4886</v>
      </c>
      <c r="C2171" s="1" t="s">
        <v>4889</v>
      </c>
      <c r="D2171" s="1" t="str">
        <f>"8145"</f>
        <v>8145</v>
      </c>
      <c r="E2171" s="1" t="str">
        <f>"015121201"</f>
        <v>015121201</v>
      </c>
      <c r="F2171" s="1" t="s">
        <v>4890</v>
      </c>
      <c r="G2171" s="1" t="s">
        <v>16</v>
      </c>
      <c r="H2171" s="1" t="str">
        <f>"2"</f>
        <v>2</v>
      </c>
      <c r="I2171" s="2">
        <v>19181.689999999999</v>
      </c>
      <c r="J2171" s="3">
        <v>46190</v>
      </c>
      <c r="K2171" s="1" t="s">
        <v>4891</v>
      </c>
    </row>
    <row r="2172" spans="1:11" x14ac:dyDescent="0.35">
      <c r="A2172" s="1" t="s">
        <v>4875</v>
      </c>
      <c r="B2172" s="1" t="s">
        <v>4876</v>
      </c>
      <c r="C2172" s="1" t="s">
        <v>4882</v>
      </c>
      <c r="D2172" s="1" t="str">
        <f>"6720"</f>
        <v>6720</v>
      </c>
      <c r="E2172" s="1" t="s">
        <v>2250</v>
      </c>
      <c r="F2172" s="1" t="s">
        <v>2251</v>
      </c>
      <c r="G2172" s="1" t="s">
        <v>16</v>
      </c>
      <c r="H2172" s="1" t="str">
        <f>"10"</f>
        <v>10</v>
      </c>
      <c r="I2172" s="2" t="str">
        <f>"320"</f>
        <v>320</v>
      </c>
      <c r="J2172" s="3">
        <v>46196</v>
      </c>
      <c r="K2172" s="1" t="s">
        <v>4883</v>
      </c>
    </row>
    <row r="2173" spans="1:11" x14ac:dyDescent="0.35">
      <c r="A2173" s="1" t="s">
        <v>4875</v>
      </c>
      <c r="B2173" s="1" t="s">
        <v>4892</v>
      </c>
      <c r="C2173" s="1" t="s">
        <v>4896</v>
      </c>
      <c r="D2173" s="1" t="str">
        <f>"3930"</f>
        <v>3930</v>
      </c>
      <c r="E2173" s="1" t="str">
        <f>"011546668"</f>
        <v>011546668</v>
      </c>
      <c r="F2173" s="1" t="s">
        <v>1304</v>
      </c>
      <c r="G2173" s="1" t="s">
        <v>16</v>
      </c>
      <c r="H2173" s="1" t="str">
        <f>"1"</f>
        <v>1</v>
      </c>
      <c r="I2173" s="2" t="str">
        <f>"18000"</f>
        <v>18000</v>
      </c>
      <c r="J2173" s="3">
        <v>46196</v>
      </c>
      <c r="K2173" s="1" t="s">
        <v>4897</v>
      </c>
    </row>
    <row r="2174" spans="1:11" x14ac:dyDescent="0.35">
      <c r="A2174" s="1" t="s">
        <v>4875</v>
      </c>
      <c r="B2174" s="1" t="s">
        <v>4886</v>
      </c>
      <c r="C2174" s="1" t="s">
        <v>4887</v>
      </c>
      <c r="D2174" s="1" t="str">
        <f>"1240"</f>
        <v>1240</v>
      </c>
      <c r="E2174" s="1" t="str">
        <f>"015403690"</f>
        <v>015403690</v>
      </c>
      <c r="F2174" s="1" t="s">
        <v>1103</v>
      </c>
      <c r="G2174" s="1" t="s">
        <v>16</v>
      </c>
      <c r="H2174" s="1" t="str">
        <f>"10"</f>
        <v>10</v>
      </c>
      <c r="I2174" s="2" t="str">
        <f>"340"</f>
        <v>340</v>
      </c>
      <c r="J2174" s="3">
        <v>46199</v>
      </c>
      <c r="K2174" s="1" t="s">
        <v>4888</v>
      </c>
    </row>
    <row r="2175" spans="1:11" x14ac:dyDescent="0.35">
      <c r="A2175" s="1" t="s">
        <v>4997</v>
      </c>
      <c r="B2175" s="1" t="s">
        <v>5037</v>
      </c>
      <c r="C2175" s="1" t="s">
        <v>5069</v>
      </c>
      <c r="D2175" s="1" t="str">
        <f>"8465"</f>
        <v>8465</v>
      </c>
      <c r="E2175" s="1" t="str">
        <f>"016419671"</f>
        <v>016419671</v>
      </c>
      <c r="F2175" s="1" t="s">
        <v>4067</v>
      </c>
      <c r="G2175" s="1" t="s">
        <v>16</v>
      </c>
      <c r="H2175" s="1" t="str">
        <f>"26"</f>
        <v>26</v>
      </c>
      <c r="I2175" s="2">
        <v>40.4</v>
      </c>
      <c r="J2175" s="3">
        <v>46113</v>
      </c>
      <c r="K2175" s="1" t="s">
        <v>5070</v>
      </c>
    </row>
    <row r="2176" spans="1:11" x14ac:dyDescent="0.35">
      <c r="A2176" s="1" t="s">
        <v>4997</v>
      </c>
      <c r="B2176" s="1" t="s">
        <v>5037</v>
      </c>
      <c r="C2176" s="1" t="s">
        <v>5071</v>
      </c>
      <c r="D2176" s="1" t="str">
        <f>"8465"</f>
        <v>8465</v>
      </c>
      <c r="E2176" s="1" t="str">
        <f>"016419671"</f>
        <v>016419671</v>
      </c>
      <c r="F2176" s="1" t="s">
        <v>4067</v>
      </c>
      <c r="G2176" s="1" t="s">
        <v>16</v>
      </c>
      <c r="H2176" s="1" t="str">
        <f>"47"</f>
        <v>47</v>
      </c>
      <c r="I2176" s="2">
        <v>40.4</v>
      </c>
      <c r="J2176" s="3">
        <v>46113</v>
      </c>
      <c r="K2176" s="1" t="s">
        <v>5072</v>
      </c>
    </row>
    <row r="2177" spans="1:11" x14ac:dyDescent="0.35">
      <c r="A2177" s="1" t="s">
        <v>4997</v>
      </c>
      <c r="B2177" s="1" t="s">
        <v>5037</v>
      </c>
      <c r="C2177" s="1" t="s">
        <v>5073</v>
      </c>
      <c r="D2177" s="1" t="str">
        <f>"8465"</f>
        <v>8465</v>
      </c>
      <c r="E2177" s="1" t="str">
        <f>"016419671"</f>
        <v>016419671</v>
      </c>
      <c r="F2177" s="1" t="s">
        <v>4067</v>
      </c>
      <c r="G2177" s="1" t="s">
        <v>16</v>
      </c>
      <c r="H2177" s="1" t="str">
        <f>"46"</f>
        <v>46</v>
      </c>
      <c r="I2177" s="2">
        <v>40.4</v>
      </c>
      <c r="J2177" s="3">
        <v>46113</v>
      </c>
      <c r="K2177" s="1" t="s">
        <v>5074</v>
      </c>
    </row>
    <row r="2178" spans="1:11" x14ac:dyDescent="0.35">
      <c r="A2178" s="1" t="s">
        <v>4997</v>
      </c>
      <c r="B2178" s="1" t="s">
        <v>5037</v>
      </c>
      <c r="C2178" s="1" t="s">
        <v>5075</v>
      </c>
      <c r="D2178" s="1" t="str">
        <f>"8465"</f>
        <v>8465</v>
      </c>
      <c r="E2178" s="1" t="str">
        <f>"016419671"</f>
        <v>016419671</v>
      </c>
      <c r="F2178" s="1" t="s">
        <v>4067</v>
      </c>
      <c r="G2178" s="1" t="s">
        <v>16</v>
      </c>
      <c r="H2178" s="1" t="str">
        <f>"25"</f>
        <v>25</v>
      </c>
      <c r="I2178" s="2">
        <v>40.4</v>
      </c>
      <c r="J2178" s="3">
        <v>46113</v>
      </c>
      <c r="K2178" s="1" t="s">
        <v>5076</v>
      </c>
    </row>
    <row r="2179" spans="1:11" x14ac:dyDescent="0.35">
      <c r="A2179" s="1" t="s">
        <v>4997</v>
      </c>
      <c r="B2179" s="1" t="s">
        <v>5037</v>
      </c>
      <c r="C2179" s="1" t="s">
        <v>5045</v>
      </c>
      <c r="D2179" s="1" t="str">
        <f>"4910"</f>
        <v>4910</v>
      </c>
      <c r="E2179" s="1" t="s">
        <v>1655</v>
      </c>
      <c r="F2179" s="1" t="s">
        <v>1656</v>
      </c>
      <c r="G2179" s="1" t="s">
        <v>16</v>
      </c>
      <c r="H2179" s="1" t="str">
        <f>"1"</f>
        <v>1</v>
      </c>
      <c r="I2179" s="2">
        <v>295.61</v>
      </c>
      <c r="J2179" s="3">
        <v>46121</v>
      </c>
      <c r="K2179" s="1" t="s">
        <v>5046</v>
      </c>
    </row>
    <row r="2180" spans="1:11" x14ac:dyDescent="0.35">
      <c r="A2180" s="1" t="s">
        <v>4997</v>
      </c>
      <c r="B2180" s="1" t="s">
        <v>5037</v>
      </c>
      <c r="C2180" s="1" t="s">
        <v>5042</v>
      </c>
      <c r="D2180" s="1" t="str">
        <f>"4310"</f>
        <v>4310</v>
      </c>
      <c r="E2180" s="1" t="str">
        <f>"015646677"</f>
        <v>015646677</v>
      </c>
      <c r="F2180" s="1" t="s">
        <v>5043</v>
      </c>
      <c r="G2180" s="1" t="s">
        <v>16</v>
      </c>
      <c r="H2180" s="1" t="str">
        <f>"2"</f>
        <v>2</v>
      </c>
      <c r="I2180" s="2" t="str">
        <f>"4000"</f>
        <v>4000</v>
      </c>
      <c r="J2180" s="3">
        <v>46128</v>
      </c>
      <c r="K2180" s="1" t="s">
        <v>5044</v>
      </c>
    </row>
    <row r="2181" spans="1:11" x14ac:dyDescent="0.35">
      <c r="A2181" s="1" t="s">
        <v>4997</v>
      </c>
      <c r="B2181" s="1" t="s">
        <v>5037</v>
      </c>
      <c r="C2181" s="1" t="s">
        <v>5067</v>
      </c>
      <c r="D2181" s="1" t="str">
        <f>"8460"</f>
        <v>8460</v>
      </c>
      <c r="E2181" s="1" t="str">
        <f>"006068366"</f>
        <v>006068366</v>
      </c>
      <c r="F2181" s="1" t="s">
        <v>2408</v>
      </c>
      <c r="G2181" s="1" t="s">
        <v>16</v>
      </c>
      <c r="H2181" s="1" t="str">
        <f>"8"</f>
        <v>8</v>
      </c>
      <c r="I2181" s="2">
        <v>41.55</v>
      </c>
      <c r="J2181" s="3">
        <v>46134</v>
      </c>
      <c r="K2181" s="1" t="s">
        <v>5068</v>
      </c>
    </row>
    <row r="2182" spans="1:11" x14ac:dyDescent="0.35">
      <c r="A2182" s="1" t="s">
        <v>4997</v>
      </c>
      <c r="B2182" s="1" t="s">
        <v>5077</v>
      </c>
      <c r="C2182" s="1" t="s">
        <v>5084</v>
      </c>
      <c r="D2182" s="1" t="str">
        <f>"5855"</f>
        <v>5855</v>
      </c>
      <c r="E2182" s="1" t="str">
        <f>"015330555"</f>
        <v>015330555</v>
      </c>
      <c r="F2182" s="1" t="s">
        <v>462</v>
      </c>
      <c r="G2182" s="1" t="s">
        <v>16</v>
      </c>
      <c r="H2182" s="1" t="str">
        <f>"5"</f>
        <v>5</v>
      </c>
      <c r="I2182" s="2" t="str">
        <f>"1800"</f>
        <v>1800</v>
      </c>
      <c r="J2182" s="3">
        <v>46135</v>
      </c>
      <c r="K2182" s="1" t="s">
        <v>5085</v>
      </c>
    </row>
    <row r="2183" spans="1:11" x14ac:dyDescent="0.35">
      <c r="A2183" s="1" t="s">
        <v>4997</v>
      </c>
      <c r="B2183" s="1" t="s">
        <v>5077</v>
      </c>
      <c r="C2183" s="1" t="s">
        <v>5089</v>
      </c>
      <c r="D2183" s="1" t="str">
        <f>"7830"</f>
        <v>7830</v>
      </c>
      <c r="E2183" s="1" t="s">
        <v>14</v>
      </c>
      <c r="F2183" s="1" t="s">
        <v>15</v>
      </c>
      <c r="G2183" s="1" t="s">
        <v>16</v>
      </c>
      <c r="H2183" s="1" t="str">
        <f>"1"</f>
        <v>1</v>
      </c>
      <c r="I2183" s="2">
        <v>571.5</v>
      </c>
      <c r="J2183" s="3">
        <v>46135</v>
      </c>
      <c r="K2183" s="1" t="s">
        <v>5090</v>
      </c>
    </row>
    <row r="2184" spans="1:11" x14ac:dyDescent="0.35">
      <c r="A2184" s="1" t="s">
        <v>4997</v>
      </c>
      <c r="B2184" s="1" t="s">
        <v>5037</v>
      </c>
      <c r="C2184" s="1" t="s">
        <v>5047</v>
      </c>
      <c r="D2184" s="1" t="str">
        <f>"4910"</f>
        <v>4910</v>
      </c>
      <c r="E2184" s="1" t="str">
        <f>"016203116"</f>
        <v>016203116</v>
      </c>
      <c r="F2184" s="1" t="s">
        <v>4479</v>
      </c>
      <c r="G2184" s="1" t="s">
        <v>215</v>
      </c>
      <c r="H2184" s="1" t="str">
        <f>"1"</f>
        <v>1</v>
      </c>
      <c r="I2184" s="2">
        <v>5039.3599999999997</v>
      </c>
      <c r="J2184" s="3">
        <v>46140</v>
      </c>
      <c r="K2184" s="1" t="s">
        <v>5048</v>
      </c>
    </row>
    <row r="2185" spans="1:11" x14ac:dyDescent="0.35">
      <c r="A2185" s="1" t="s">
        <v>4997</v>
      </c>
      <c r="B2185" s="1" t="s">
        <v>5034</v>
      </c>
      <c r="C2185" s="1" t="s">
        <v>5035</v>
      </c>
      <c r="D2185" s="1" t="str">
        <f>"7830"</f>
        <v>7830</v>
      </c>
      <c r="E2185" s="1" t="str">
        <f>"016751851"</f>
        <v>016751851</v>
      </c>
      <c r="F2185" s="1" t="s">
        <v>2066</v>
      </c>
      <c r="G2185" s="1" t="s">
        <v>16</v>
      </c>
      <c r="H2185" s="1" t="str">
        <f>"1"</f>
        <v>1</v>
      </c>
      <c r="I2185" s="2" t="str">
        <f>"2585"</f>
        <v>2585</v>
      </c>
      <c r="J2185" s="3">
        <v>46142</v>
      </c>
      <c r="K2185" s="1" t="s">
        <v>5036</v>
      </c>
    </row>
    <row r="2186" spans="1:11" x14ac:dyDescent="0.35">
      <c r="A2186" s="1" t="s">
        <v>4997</v>
      </c>
      <c r="B2186" s="1" t="s">
        <v>5037</v>
      </c>
      <c r="C2186" s="1" t="s">
        <v>5051</v>
      </c>
      <c r="D2186" s="1" t="str">
        <f>"5180"</f>
        <v>5180</v>
      </c>
      <c r="E2186" s="1" t="str">
        <f>"016282375"</f>
        <v>016282375</v>
      </c>
      <c r="F2186" s="1" t="s">
        <v>2993</v>
      </c>
      <c r="G2186" s="1" t="s">
        <v>215</v>
      </c>
      <c r="H2186" s="1" t="str">
        <f>"10"</f>
        <v>10</v>
      </c>
      <c r="I2186" s="2" t="str">
        <f>"3655"</f>
        <v>3655</v>
      </c>
      <c r="J2186" s="3">
        <v>46149</v>
      </c>
      <c r="K2186" s="1" t="s">
        <v>5052</v>
      </c>
    </row>
    <row r="2187" spans="1:11" x14ac:dyDescent="0.35">
      <c r="A2187" s="1" t="s">
        <v>4997</v>
      </c>
      <c r="B2187" s="1" t="s">
        <v>5037</v>
      </c>
      <c r="C2187" s="1" t="s">
        <v>5053</v>
      </c>
      <c r="D2187" s="1" t="str">
        <f>"5825"</f>
        <v>5825</v>
      </c>
      <c r="E2187" s="1" t="s">
        <v>5054</v>
      </c>
      <c r="F2187" s="1" t="s">
        <v>5055</v>
      </c>
      <c r="G2187" s="1" t="s">
        <v>16</v>
      </c>
      <c r="H2187" s="1" t="str">
        <f>"1"</f>
        <v>1</v>
      </c>
      <c r="I2187" s="2" t="str">
        <f>"150"</f>
        <v>150</v>
      </c>
      <c r="J2187" s="3">
        <v>46149</v>
      </c>
      <c r="K2187" s="1" t="s">
        <v>5056</v>
      </c>
    </row>
    <row r="2188" spans="1:11" x14ac:dyDescent="0.35">
      <c r="A2188" s="1" t="s">
        <v>4997</v>
      </c>
      <c r="B2188" s="1" t="s">
        <v>5037</v>
      </c>
      <c r="C2188" s="1" t="s">
        <v>5064</v>
      </c>
      <c r="D2188" s="1" t="str">
        <f>"8460"</f>
        <v>8460</v>
      </c>
      <c r="E2188" s="1" t="str">
        <f>"006068366"</f>
        <v>006068366</v>
      </c>
      <c r="F2188" s="1" t="s">
        <v>2408</v>
      </c>
      <c r="G2188" s="1" t="s">
        <v>16</v>
      </c>
      <c r="H2188" s="1" t="str">
        <f>"4"</f>
        <v>4</v>
      </c>
      <c r="I2188" s="2">
        <v>41.55</v>
      </c>
      <c r="J2188" s="3">
        <v>46162</v>
      </c>
      <c r="K2188" s="1" t="s">
        <v>5065</v>
      </c>
    </row>
    <row r="2189" spans="1:11" x14ac:dyDescent="0.35">
      <c r="A2189" s="1" t="s">
        <v>4997</v>
      </c>
      <c r="B2189" s="1" t="s">
        <v>5037</v>
      </c>
      <c r="C2189" s="1" t="s">
        <v>5066</v>
      </c>
      <c r="D2189" s="1" t="str">
        <f>"8460"</f>
        <v>8460</v>
      </c>
      <c r="E2189" s="1" t="str">
        <f>"006068366"</f>
        <v>006068366</v>
      </c>
      <c r="F2189" s="1" t="s">
        <v>2408</v>
      </c>
      <c r="G2189" s="1" t="s">
        <v>16</v>
      </c>
      <c r="H2189" s="1" t="str">
        <f>"10"</f>
        <v>10</v>
      </c>
      <c r="I2189" s="2">
        <v>41.55</v>
      </c>
      <c r="J2189" s="3">
        <v>46162</v>
      </c>
      <c r="K2189" s="1" t="s">
        <v>5065</v>
      </c>
    </row>
    <row r="2190" spans="1:11" x14ac:dyDescent="0.35">
      <c r="A2190" s="1" t="s">
        <v>4997</v>
      </c>
      <c r="B2190" s="1" t="s">
        <v>5077</v>
      </c>
      <c r="C2190" s="1" t="s">
        <v>5094</v>
      </c>
      <c r="D2190" s="1" t="str">
        <f>"8460"</f>
        <v>8460</v>
      </c>
      <c r="E2190" s="1" t="s">
        <v>1740</v>
      </c>
      <c r="F2190" s="1" t="s">
        <v>1741</v>
      </c>
      <c r="G2190" s="1" t="s">
        <v>16</v>
      </c>
      <c r="H2190" s="1" t="str">
        <f>"3"</f>
        <v>3</v>
      </c>
      <c r="I2190" s="2" t="str">
        <f>"320"</f>
        <v>320</v>
      </c>
      <c r="J2190" s="3">
        <v>46170</v>
      </c>
      <c r="K2190" s="1" t="s">
        <v>5095</v>
      </c>
    </row>
    <row r="2191" spans="1:11" x14ac:dyDescent="0.35">
      <c r="A2191" s="1" t="s">
        <v>4997</v>
      </c>
      <c r="B2191" s="1" t="s">
        <v>4998</v>
      </c>
      <c r="C2191" s="1" t="s">
        <v>4999</v>
      </c>
      <c r="D2191" s="1" t="str">
        <f>"1095"</f>
        <v>1095</v>
      </c>
      <c r="E2191" s="1" t="str">
        <f>"004070674"</f>
        <v>004070674</v>
      </c>
      <c r="F2191" s="1" t="s">
        <v>2010</v>
      </c>
      <c r="G2191" s="1" t="s">
        <v>16</v>
      </c>
      <c r="H2191" s="1" t="str">
        <f>"3"</f>
        <v>3</v>
      </c>
      <c r="I2191" s="2">
        <v>1098.96</v>
      </c>
      <c r="J2191" s="3">
        <v>46175</v>
      </c>
      <c r="K2191" s="1" t="s">
        <v>5000</v>
      </c>
    </row>
    <row r="2192" spans="1:11" x14ac:dyDescent="0.35">
      <c r="A2192" s="1" t="s">
        <v>4997</v>
      </c>
      <c r="B2192" s="1" t="s">
        <v>4998</v>
      </c>
      <c r="C2192" s="1" t="s">
        <v>5003</v>
      </c>
      <c r="D2192" s="1" t="str">
        <f>"5120"</f>
        <v>5120</v>
      </c>
      <c r="E2192" s="1" t="str">
        <f>"008785932"</f>
        <v>008785932</v>
      </c>
      <c r="F2192" s="1" t="s">
        <v>586</v>
      </c>
      <c r="G2192" s="1" t="s">
        <v>16</v>
      </c>
      <c r="H2192" s="1" t="str">
        <f>"30"</f>
        <v>30</v>
      </c>
      <c r="I2192" s="2">
        <v>97.1</v>
      </c>
      <c r="J2192" s="3">
        <v>46175</v>
      </c>
      <c r="K2192" s="1" t="s">
        <v>5004</v>
      </c>
    </row>
    <row r="2193" spans="1:11" x14ac:dyDescent="0.35">
      <c r="A2193" s="1" t="s">
        <v>4997</v>
      </c>
      <c r="B2193" s="1" t="s">
        <v>4998</v>
      </c>
      <c r="C2193" s="1" t="s">
        <v>5005</v>
      </c>
      <c r="D2193" s="1" t="str">
        <f>"5180"</f>
        <v>5180</v>
      </c>
      <c r="E2193" s="1" t="str">
        <f>"015068287"</f>
        <v>015068287</v>
      </c>
      <c r="F2193" s="1" t="s">
        <v>1076</v>
      </c>
      <c r="G2193" s="1" t="s">
        <v>215</v>
      </c>
      <c r="H2193" s="1" t="str">
        <f>"1"</f>
        <v>1</v>
      </c>
      <c r="I2193" s="2" t="str">
        <f>"1774"</f>
        <v>1774</v>
      </c>
      <c r="J2193" s="3">
        <v>46175</v>
      </c>
      <c r="K2193" s="1" t="s">
        <v>5006</v>
      </c>
    </row>
    <row r="2194" spans="1:11" x14ac:dyDescent="0.35">
      <c r="A2194" s="1" t="s">
        <v>4997</v>
      </c>
      <c r="B2194" s="1" t="s">
        <v>4998</v>
      </c>
      <c r="C2194" s="1" t="s">
        <v>5016</v>
      </c>
      <c r="D2194" s="1" t="str">
        <f>"6720"</f>
        <v>6720</v>
      </c>
      <c r="E2194" s="1" t="s">
        <v>4001</v>
      </c>
      <c r="F2194" s="1" t="s">
        <v>4002</v>
      </c>
      <c r="G2194" s="1" t="s">
        <v>16</v>
      </c>
      <c r="H2194" s="1" t="str">
        <f>"1"</f>
        <v>1</v>
      </c>
      <c r="I2194" s="2" t="str">
        <f>"1154"</f>
        <v>1154</v>
      </c>
      <c r="J2194" s="3">
        <v>46175</v>
      </c>
      <c r="K2194" s="1" t="s">
        <v>5017</v>
      </c>
    </row>
    <row r="2195" spans="1:11" x14ac:dyDescent="0.35">
      <c r="A2195" s="1" t="s">
        <v>4997</v>
      </c>
      <c r="B2195" s="1" t="s">
        <v>4998</v>
      </c>
      <c r="C2195" s="1" t="s">
        <v>5022</v>
      </c>
      <c r="D2195" s="1" t="str">
        <f>"8145"</f>
        <v>8145</v>
      </c>
      <c r="E2195" s="1" t="str">
        <f>"015102074"</f>
        <v>015102074</v>
      </c>
      <c r="F2195" s="1" t="s">
        <v>423</v>
      </c>
      <c r="G2195" s="1" t="s">
        <v>16</v>
      </c>
      <c r="H2195" s="1" t="str">
        <f>"1"</f>
        <v>1</v>
      </c>
      <c r="I2195" s="2">
        <v>175.66</v>
      </c>
      <c r="J2195" s="3">
        <v>46175</v>
      </c>
      <c r="K2195" s="1" t="s">
        <v>5023</v>
      </c>
    </row>
    <row r="2196" spans="1:11" x14ac:dyDescent="0.35">
      <c r="A2196" s="1" t="s">
        <v>4997</v>
      </c>
      <c r="B2196" s="1" t="s">
        <v>4998</v>
      </c>
      <c r="C2196" s="1" t="s">
        <v>5027</v>
      </c>
      <c r="D2196" s="1" t="str">
        <f>"8465"</f>
        <v>8465</v>
      </c>
      <c r="E2196" s="1" t="str">
        <f>"016046541"</f>
        <v>016046541</v>
      </c>
      <c r="F2196" s="1" t="s">
        <v>660</v>
      </c>
      <c r="G2196" s="1" t="s">
        <v>16</v>
      </c>
      <c r="H2196" s="1" t="str">
        <f>"20"</f>
        <v>20</v>
      </c>
      <c r="I2196" s="2">
        <v>40.270000000000003</v>
      </c>
      <c r="J2196" s="3">
        <v>46175</v>
      </c>
      <c r="K2196" s="1" t="s">
        <v>5028</v>
      </c>
    </row>
    <row r="2197" spans="1:11" x14ac:dyDescent="0.35">
      <c r="A2197" s="1" t="s">
        <v>4997</v>
      </c>
      <c r="B2197" s="1" t="s">
        <v>4998</v>
      </c>
      <c r="C2197" s="1" t="s">
        <v>5029</v>
      </c>
      <c r="D2197" s="1" t="str">
        <f>"8465"</f>
        <v>8465</v>
      </c>
      <c r="E2197" s="1" t="str">
        <f>"016046541"</f>
        <v>016046541</v>
      </c>
      <c r="F2197" s="1" t="s">
        <v>660</v>
      </c>
      <c r="G2197" s="1" t="s">
        <v>16</v>
      </c>
      <c r="H2197" s="1" t="str">
        <f>"10"</f>
        <v>10</v>
      </c>
      <c r="I2197" s="2">
        <v>40.270000000000003</v>
      </c>
      <c r="J2197" s="3">
        <v>46175</v>
      </c>
      <c r="K2197" s="1" t="s">
        <v>5030</v>
      </c>
    </row>
    <row r="2198" spans="1:11" x14ac:dyDescent="0.35">
      <c r="A2198" s="1" t="s">
        <v>4997</v>
      </c>
      <c r="B2198" s="1" t="s">
        <v>4998</v>
      </c>
      <c r="C2198" s="1" t="s">
        <v>5031</v>
      </c>
      <c r="D2198" s="1" t="str">
        <f>"8465"</f>
        <v>8465</v>
      </c>
      <c r="E2198" s="1" t="str">
        <f>"016046541"</f>
        <v>016046541</v>
      </c>
      <c r="F2198" s="1" t="s">
        <v>660</v>
      </c>
      <c r="G2198" s="1" t="s">
        <v>16</v>
      </c>
      <c r="H2198" s="1" t="str">
        <f>"60"</f>
        <v>60</v>
      </c>
      <c r="I2198" s="2">
        <v>40.270000000000003</v>
      </c>
      <c r="J2198" s="3">
        <v>46175</v>
      </c>
      <c r="K2198" s="1" t="s">
        <v>5032</v>
      </c>
    </row>
    <row r="2199" spans="1:11" x14ac:dyDescent="0.35">
      <c r="A2199" s="1" t="s">
        <v>4997</v>
      </c>
      <c r="B2199" s="1" t="s">
        <v>4998</v>
      </c>
      <c r="C2199" s="1" t="s">
        <v>5033</v>
      </c>
      <c r="D2199" s="1" t="str">
        <f>"8465"</f>
        <v>8465</v>
      </c>
      <c r="E2199" s="1" t="str">
        <f>"016046541"</f>
        <v>016046541</v>
      </c>
      <c r="F2199" s="1" t="s">
        <v>660</v>
      </c>
      <c r="G2199" s="1" t="s">
        <v>16</v>
      </c>
      <c r="H2199" s="1" t="str">
        <f>"15"</f>
        <v>15</v>
      </c>
      <c r="I2199" s="2">
        <v>40.270000000000003</v>
      </c>
      <c r="J2199" s="3">
        <v>46175</v>
      </c>
      <c r="K2199" s="1" t="s">
        <v>5028</v>
      </c>
    </row>
    <row r="2200" spans="1:11" x14ac:dyDescent="0.35">
      <c r="A2200" s="1" t="s">
        <v>4997</v>
      </c>
      <c r="B2200" s="1" t="s">
        <v>5100</v>
      </c>
      <c r="C2200" s="1" t="s">
        <v>5101</v>
      </c>
      <c r="D2200" s="1" t="str">
        <f>"1240"</f>
        <v>1240</v>
      </c>
      <c r="E2200" s="1" t="s">
        <v>1800</v>
      </c>
      <c r="F2200" s="1" t="s">
        <v>1801</v>
      </c>
      <c r="G2200" s="1" t="s">
        <v>16</v>
      </c>
      <c r="H2200" s="1" t="str">
        <f>"1"</f>
        <v>1</v>
      </c>
      <c r="I2200" s="2" t="str">
        <f>"3635"</f>
        <v>3635</v>
      </c>
      <c r="J2200" s="3">
        <v>46176</v>
      </c>
      <c r="K2200" s="1" t="s">
        <v>5102</v>
      </c>
    </row>
    <row r="2201" spans="1:11" x14ac:dyDescent="0.35">
      <c r="A2201" s="1" t="s">
        <v>4997</v>
      </c>
      <c r="B2201" s="1" t="s">
        <v>5100</v>
      </c>
      <c r="C2201" s="1" t="s">
        <v>5103</v>
      </c>
      <c r="D2201" s="1" t="str">
        <f>"1240"</f>
        <v>1240</v>
      </c>
      <c r="E2201" s="1" t="str">
        <f>"015082073"</f>
        <v>015082073</v>
      </c>
      <c r="F2201" s="1" t="s">
        <v>1159</v>
      </c>
      <c r="G2201" s="1" t="s">
        <v>16</v>
      </c>
      <c r="H2201" s="1" t="str">
        <f>"4"</f>
        <v>4</v>
      </c>
      <c r="I2201" s="2" t="str">
        <f>"11500"</f>
        <v>11500</v>
      </c>
      <c r="J2201" s="3">
        <v>46176</v>
      </c>
      <c r="K2201" s="1" t="s">
        <v>5104</v>
      </c>
    </row>
    <row r="2202" spans="1:11" x14ac:dyDescent="0.35">
      <c r="A2202" s="1" t="s">
        <v>4997</v>
      </c>
      <c r="B2202" s="1" t="s">
        <v>5037</v>
      </c>
      <c r="C2202" s="1" t="s">
        <v>5057</v>
      </c>
      <c r="D2202" s="1" t="str">
        <f>"6515"</f>
        <v>6515</v>
      </c>
      <c r="E2202" s="1" t="str">
        <f>"016059429"</f>
        <v>016059429</v>
      </c>
      <c r="F2202" s="1" t="s">
        <v>2690</v>
      </c>
      <c r="G2202" s="1" t="s">
        <v>16</v>
      </c>
      <c r="H2202" s="1" t="str">
        <f>"1"</f>
        <v>1</v>
      </c>
      <c r="I2202" s="2" t="str">
        <f>"31973"</f>
        <v>31973</v>
      </c>
      <c r="J2202" s="3">
        <v>46184</v>
      </c>
      <c r="K2202" s="1" t="s">
        <v>5058</v>
      </c>
    </row>
    <row r="2203" spans="1:11" x14ac:dyDescent="0.35">
      <c r="A2203" s="1" t="s">
        <v>4997</v>
      </c>
      <c r="B2203" s="1" t="s">
        <v>5037</v>
      </c>
      <c r="C2203" s="1" t="s">
        <v>5062</v>
      </c>
      <c r="D2203" s="1" t="str">
        <f>"8460"</f>
        <v>8460</v>
      </c>
      <c r="E2203" s="1" t="str">
        <f>"006068366"</f>
        <v>006068366</v>
      </c>
      <c r="F2203" s="1" t="s">
        <v>2408</v>
      </c>
      <c r="G2203" s="1" t="s">
        <v>16</v>
      </c>
      <c r="H2203" s="1" t="str">
        <f>"5"</f>
        <v>5</v>
      </c>
      <c r="I2203" s="2">
        <v>41.55</v>
      </c>
      <c r="J2203" s="3">
        <v>46184</v>
      </c>
      <c r="K2203" s="1" t="s">
        <v>5063</v>
      </c>
    </row>
    <row r="2204" spans="1:11" x14ac:dyDescent="0.35">
      <c r="A2204" s="1" t="s">
        <v>4997</v>
      </c>
      <c r="B2204" s="1" t="s">
        <v>4998</v>
      </c>
      <c r="C2204" s="1" t="s">
        <v>5001</v>
      </c>
      <c r="D2204" s="1" t="str">
        <f>"2340"</f>
        <v>2340</v>
      </c>
      <c r="E2204" s="1" t="s">
        <v>61</v>
      </c>
      <c r="F2204" s="1" t="s">
        <v>62</v>
      </c>
      <c r="G2204" s="1" t="s">
        <v>16</v>
      </c>
      <c r="H2204" s="1" t="str">
        <f>"1"</f>
        <v>1</v>
      </c>
      <c r="I2204" s="2" t="str">
        <f>"500"</f>
        <v>500</v>
      </c>
      <c r="J2204" s="3">
        <v>46189</v>
      </c>
      <c r="K2204" s="1" t="s">
        <v>5002</v>
      </c>
    </row>
    <row r="2205" spans="1:11" x14ac:dyDescent="0.35">
      <c r="A2205" s="1" t="s">
        <v>4997</v>
      </c>
      <c r="B2205" s="1" t="s">
        <v>4998</v>
      </c>
      <c r="C2205" s="1" t="s">
        <v>5012</v>
      </c>
      <c r="D2205" s="1" t="str">
        <f>"6530"</f>
        <v>6530</v>
      </c>
      <c r="E2205" s="1" t="s">
        <v>5013</v>
      </c>
      <c r="F2205" s="1" t="s">
        <v>5014</v>
      </c>
      <c r="G2205" s="1" t="s">
        <v>16</v>
      </c>
      <c r="H2205" s="1" t="str">
        <f>"1"</f>
        <v>1</v>
      </c>
      <c r="I2205" s="2" t="str">
        <f>"3000"</f>
        <v>3000</v>
      </c>
      <c r="J2205" s="3">
        <v>46189</v>
      </c>
      <c r="K2205" s="1" t="s">
        <v>5015</v>
      </c>
    </row>
    <row r="2206" spans="1:11" x14ac:dyDescent="0.35">
      <c r="A2206" s="1" t="s">
        <v>4997</v>
      </c>
      <c r="B2206" s="1" t="s">
        <v>4998</v>
      </c>
      <c r="C2206" s="1" t="s">
        <v>5024</v>
      </c>
      <c r="D2206" s="1" t="str">
        <f>"8340"</f>
        <v>8340</v>
      </c>
      <c r="E2206" s="1" t="str">
        <f>"015331692"</f>
        <v>015331692</v>
      </c>
      <c r="F2206" s="1" t="s">
        <v>5025</v>
      </c>
      <c r="G2206" s="1" t="s">
        <v>16</v>
      </c>
      <c r="H2206" s="1" t="str">
        <f>"17"</f>
        <v>17</v>
      </c>
      <c r="I2206" s="2">
        <v>983.65</v>
      </c>
      <c r="J2206" s="3">
        <v>46189</v>
      </c>
      <c r="K2206" s="1" t="s">
        <v>5026</v>
      </c>
    </row>
    <row r="2207" spans="1:11" x14ac:dyDescent="0.35">
      <c r="A2207" s="1" t="s">
        <v>4997</v>
      </c>
      <c r="B2207" s="1" t="s">
        <v>5077</v>
      </c>
      <c r="C2207" s="1" t="s">
        <v>5078</v>
      </c>
      <c r="D2207" s="1" t="str">
        <f>"5120"</f>
        <v>5120</v>
      </c>
      <c r="E2207" s="1" t="str">
        <f>"010131676"</f>
        <v>010131676</v>
      </c>
      <c r="F2207" s="1" t="s">
        <v>5079</v>
      </c>
      <c r="G2207" s="1" t="s">
        <v>16</v>
      </c>
      <c r="H2207" s="1" t="str">
        <f>"2"</f>
        <v>2</v>
      </c>
      <c r="I2207" s="2">
        <v>89.63</v>
      </c>
      <c r="J2207" s="3">
        <v>46189</v>
      </c>
      <c r="K2207" s="1" t="s">
        <v>5080</v>
      </c>
    </row>
    <row r="2208" spans="1:11" x14ac:dyDescent="0.35">
      <c r="A2208" s="1" t="s">
        <v>4997</v>
      </c>
      <c r="B2208" s="1" t="s">
        <v>5077</v>
      </c>
      <c r="C2208" s="1" t="s">
        <v>5081</v>
      </c>
      <c r="D2208" s="1" t="str">
        <f>"5180"</f>
        <v>5180</v>
      </c>
      <c r="E2208" s="1" t="str">
        <f>"016592702"</f>
        <v>016592702</v>
      </c>
      <c r="F2208" s="1" t="s">
        <v>5082</v>
      </c>
      <c r="G2208" s="1" t="s">
        <v>16</v>
      </c>
      <c r="H2208" s="1" t="str">
        <f>"10"</f>
        <v>10</v>
      </c>
      <c r="I2208" s="2" t="str">
        <f>"166"</f>
        <v>166</v>
      </c>
      <c r="J2208" s="3">
        <v>46189</v>
      </c>
      <c r="K2208" s="1" t="s">
        <v>5083</v>
      </c>
    </row>
    <row r="2209" spans="1:11" x14ac:dyDescent="0.35">
      <c r="A2209" s="1" t="s">
        <v>4997</v>
      </c>
      <c r="B2209" s="1" t="s">
        <v>5077</v>
      </c>
      <c r="C2209" s="1" t="s">
        <v>5086</v>
      </c>
      <c r="D2209" s="1" t="str">
        <f>"5975"</f>
        <v>5975</v>
      </c>
      <c r="E2209" s="1" t="str">
        <f>"008783791"</f>
        <v>008783791</v>
      </c>
      <c r="F2209" s="1" t="s">
        <v>5087</v>
      </c>
      <c r="G2209" s="1" t="s">
        <v>16</v>
      </c>
      <c r="H2209" s="1" t="str">
        <f>"8"</f>
        <v>8</v>
      </c>
      <c r="I2209" s="2">
        <v>72.67</v>
      </c>
      <c r="J2209" s="3">
        <v>46189</v>
      </c>
      <c r="K2209" s="1" t="s">
        <v>5088</v>
      </c>
    </row>
    <row r="2210" spans="1:11" x14ac:dyDescent="0.35">
      <c r="A2210" s="1" t="s">
        <v>4997</v>
      </c>
      <c r="B2210" s="1" t="s">
        <v>5077</v>
      </c>
      <c r="C2210" s="1" t="s">
        <v>5091</v>
      </c>
      <c r="D2210" s="1" t="str">
        <f>"8345"</f>
        <v>8345</v>
      </c>
      <c r="E2210" s="1" t="str">
        <f>"013346825"</f>
        <v>013346825</v>
      </c>
      <c r="F2210" s="1" t="s">
        <v>5092</v>
      </c>
      <c r="G2210" s="1" t="s">
        <v>16</v>
      </c>
      <c r="H2210" s="1" t="str">
        <f>"1"</f>
        <v>1</v>
      </c>
      <c r="I2210" s="2">
        <v>49.05</v>
      </c>
      <c r="J2210" s="3">
        <v>46189</v>
      </c>
      <c r="K2210" s="1" t="s">
        <v>5093</v>
      </c>
    </row>
    <row r="2211" spans="1:11" x14ac:dyDescent="0.35">
      <c r="A2211" s="1" t="s">
        <v>4997</v>
      </c>
      <c r="B2211" s="1" t="s">
        <v>5077</v>
      </c>
      <c r="C2211" s="1" t="s">
        <v>5096</v>
      </c>
      <c r="D2211" s="1" t="str">
        <f>"8465"</f>
        <v>8465</v>
      </c>
      <c r="E2211" s="1" t="str">
        <f>"016982346"</f>
        <v>016982346</v>
      </c>
      <c r="F2211" s="1" t="s">
        <v>5097</v>
      </c>
      <c r="G2211" s="1" t="s">
        <v>215</v>
      </c>
      <c r="H2211" s="1" t="str">
        <f>"10"</f>
        <v>10</v>
      </c>
      <c r="I2211" s="2">
        <v>199.39</v>
      </c>
      <c r="J2211" s="3">
        <v>46189</v>
      </c>
      <c r="K2211" s="1" t="s">
        <v>5098</v>
      </c>
    </row>
    <row r="2212" spans="1:11" x14ac:dyDescent="0.35">
      <c r="A2212" s="1" t="s">
        <v>4997</v>
      </c>
      <c r="B2212" s="1" t="s">
        <v>5077</v>
      </c>
      <c r="C2212" s="1" t="s">
        <v>5099</v>
      </c>
      <c r="D2212" s="1" t="str">
        <f>"8465"</f>
        <v>8465</v>
      </c>
      <c r="E2212" s="1" t="str">
        <f>"016982343"</f>
        <v>016982343</v>
      </c>
      <c r="F2212" s="1" t="s">
        <v>5097</v>
      </c>
      <c r="G2212" s="1" t="s">
        <v>215</v>
      </c>
      <c r="H2212" s="1" t="str">
        <f>"10"</f>
        <v>10</v>
      </c>
      <c r="I2212" s="2">
        <v>199.39</v>
      </c>
      <c r="J2212" s="3">
        <v>46189</v>
      </c>
      <c r="K2212" s="1" t="s">
        <v>5098</v>
      </c>
    </row>
    <row r="2213" spans="1:11" x14ac:dyDescent="0.35">
      <c r="A2213" s="1" t="s">
        <v>4997</v>
      </c>
      <c r="B2213" s="1" t="s">
        <v>5037</v>
      </c>
      <c r="C2213" s="1" t="s">
        <v>5038</v>
      </c>
      <c r="D2213" s="1" t="str">
        <f>"3695"</f>
        <v>3695</v>
      </c>
      <c r="E2213" s="1" t="s">
        <v>5039</v>
      </c>
      <c r="F2213" s="1" t="s">
        <v>5040</v>
      </c>
      <c r="G2213" s="1" t="s">
        <v>16</v>
      </c>
      <c r="H2213" s="1" t="str">
        <f>"1"</f>
        <v>1</v>
      </c>
      <c r="I2213" s="2">
        <v>463.72</v>
      </c>
      <c r="J2213" s="3">
        <v>46196</v>
      </c>
      <c r="K2213" s="1" t="s">
        <v>5041</v>
      </c>
    </row>
    <row r="2214" spans="1:11" x14ac:dyDescent="0.35">
      <c r="A2214" s="1" t="s">
        <v>4997</v>
      </c>
      <c r="B2214" s="1" t="s">
        <v>5037</v>
      </c>
      <c r="C2214" s="1" t="s">
        <v>5059</v>
      </c>
      <c r="D2214" s="1" t="str">
        <f>"6515"</f>
        <v>6515</v>
      </c>
      <c r="E2214" s="1" t="str">
        <f>"016594040"</f>
        <v>016594040</v>
      </c>
      <c r="F2214" s="1" t="s">
        <v>5060</v>
      </c>
      <c r="G2214" s="1" t="s">
        <v>16</v>
      </c>
      <c r="H2214" s="1" t="str">
        <f>"1"</f>
        <v>1</v>
      </c>
      <c r="I2214" s="2" t="str">
        <f>"47553"</f>
        <v>47553</v>
      </c>
      <c r="J2214" s="3">
        <v>46196</v>
      </c>
      <c r="K2214" s="1" t="s">
        <v>5061</v>
      </c>
    </row>
    <row r="2215" spans="1:11" x14ac:dyDescent="0.35">
      <c r="A2215" s="1" t="s">
        <v>4997</v>
      </c>
      <c r="B2215" s="1" t="s">
        <v>4998</v>
      </c>
      <c r="C2215" s="1" t="s">
        <v>5007</v>
      </c>
      <c r="D2215" s="1" t="str">
        <f>"5440"</f>
        <v>5440</v>
      </c>
      <c r="E2215" s="1" t="str">
        <f>"016969999"</f>
        <v>016969999</v>
      </c>
      <c r="F2215" s="1" t="s">
        <v>5008</v>
      </c>
      <c r="G2215" s="1" t="s">
        <v>16</v>
      </c>
      <c r="H2215" s="1" t="str">
        <f>"1"</f>
        <v>1</v>
      </c>
      <c r="I2215" s="2">
        <v>897.62</v>
      </c>
      <c r="J2215" s="3">
        <v>46197</v>
      </c>
      <c r="K2215" s="1" t="s">
        <v>5009</v>
      </c>
    </row>
    <row r="2216" spans="1:11" x14ac:dyDescent="0.35">
      <c r="A2216" s="1" t="s">
        <v>4997</v>
      </c>
      <c r="B2216" s="1" t="s">
        <v>4998</v>
      </c>
      <c r="C2216" s="1" t="s">
        <v>5010</v>
      </c>
      <c r="D2216" s="1" t="str">
        <f>"6530"</f>
        <v>6530</v>
      </c>
      <c r="E2216" s="1" t="str">
        <f>"015049051"</f>
        <v>015049051</v>
      </c>
      <c r="F2216" s="1" t="s">
        <v>1121</v>
      </c>
      <c r="G2216" s="1" t="s">
        <v>16</v>
      </c>
      <c r="H2216" s="1" t="str">
        <f>"13"</f>
        <v>13</v>
      </c>
      <c r="I2216" s="2">
        <v>937.15</v>
      </c>
      <c r="J2216" s="3">
        <v>46197</v>
      </c>
      <c r="K2216" s="1" t="s">
        <v>5011</v>
      </c>
    </row>
    <row r="2217" spans="1:11" x14ac:dyDescent="0.35">
      <c r="A2217" s="1" t="s">
        <v>4997</v>
      </c>
      <c r="B2217" s="1" t="s">
        <v>4998</v>
      </c>
      <c r="C2217" s="1" t="s">
        <v>5018</v>
      </c>
      <c r="D2217" s="1" t="str">
        <f>"7830"</f>
        <v>7830</v>
      </c>
      <c r="E2217" s="1" t="str">
        <f>"016751851"</f>
        <v>016751851</v>
      </c>
      <c r="F2217" s="1" t="s">
        <v>2066</v>
      </c>
      <c r="G2217" s="1" t="s">
        <v>16</v>
      </c>
      <c r="H2217" s="1" t="str">
        <f>"2"</f>
        <v>2</v>
      </c>
      <c r="I2217" s="2" t="str">
        <f>"2585"</f>
        <v>2585</v>
      </c>
      <c r="J2217" s="3">
        <v>46197</v>
      </c>
      <c r="K2217" s="1" t="s">
        <v>5019</v>
      </c>
    </row>
    <row r="2218" spans="1:11" x14ac:dyDescent="0.35">
      <c r="A2218" s="1" t="s">
        <v>4997</v>
      </c>
      <c r="B2218" s="1" t="s">
        <v>4998</v>
      </c>
      <c r="C2218" s="1" t="s">
        <v>5020</v>
      </c>
      <c r="D2218" s="1" t="str">
        <f>"8145"</f>
        <v>8145</v>
      </c>
      <c r="E2218" s="1" t="str">
        <f>"015404459"</f>
        <v>015404459</v>
      </c>
      <c r="F2218" s="1" t="s">
        <v>3195</v>
      </c>
      <c r="G2218" s="1" t="s">
        <v>16</v>
      </c>
      <c r="H2218" s="1" t="str">
        <f>"3"</f>
        <v>3</v>
      </c>
      <c r="I2218" s="2">
        <v>207.64</v>
      </c>
      <c r="J2218" s="3">
        <v>46197</v>
      </c>
      <c r="K2218" s="1" t="s">
        <v>5021</v>
      </c>
    </row>
    <row r="2219" spans="1:11" x14ac:dyDescent="0.35">
      <c r="A2219" s="1" t="s">
        <v>4997</v>
      </c>
      <c r="B2219" s="1" t="s">
        <v>5037</v>
      </c>
      <c r="C2219" s="1" t="s">
        <v>5049</v>
      </c>
      <c r="D2219" s="1" t="str">
        <f>"5120"</f>
        <v>5120</v>
      </c>
      <c r="E2219" s="1" t="str">
        <f>"001174832"</f>
        <v>001174832</v>
      </c>
      <c r="F2219" s="1" t="s">
        <v>431</v>
      </c>
      <c r="G2219" s="1" t="s">
        <v>16</v>
      </c>
      <c r="H2219" s="1" t="str">
        <f>"3"</f>
        <v>3</v>
      </c>
      <c r="I2219" s="2">
        <v>169.98</v>
      </c>
      <c r="J2219" s="3">
        <v>46203</v>
      </c>
      <c r="K2219" s="1" t="s">
        <v>5050</v>
      </c>
    </row>
    <row r="2220" spans="1:11" x14ac:dyDescent="0.35">
      <c r="A2220" s="1" t="s">
        <v>5105</v>
      </c>
      <c r="B2220" s="1" t="s">
        <v>5106</v>
      </c>
      <c r="C2220" s="1" t="s">
        <v>5109</v>
      </c>
      <c r="D2220" s="1" t="str">
        <f>"2320"</f>
        <v>2320</v>
      </c>
      <c r="E2220" s="1" t="str">
        <f>"015092204"</f>
        <v>015092204</v>
      </c>
      <c r="F2220" s="1" t="s">
        <v>5110</v>
      </c>
      <c r="G2220" s="1" t="s">
        <v>16</v>
      </c>
      <c r="H2220" s="1" t="str">
        <f>"1"</f>
        <v>1</v>
      </c>
      <c r="I2220" s="2" t="str">
        <f>"18299"</f>
        <v>18299</v>
      </c>
      <c r="J2220" s="3">
        <v>46118</v>
      </c>
      <c r="K2220" s="1" t="s">
        <v>5111</v>
      </c>
    </row>
    <row r="2221" spans="1:11" x14ac:dyDescent="0.35">
      <c r="A2221" s="1" t="s">
        <v>5105</v>
      </c>
      <c r="B2221" s="1" t="s">
        <v>5152</v>
      </c>
      <c r="C2221" s="1" t="s">
        <v>5157</v>
      </c>
      <c r="D2221" s="1" t="str">
        <f>"5855"</f>
        <v>5855</v>
      </c>
      <c r="E2221" s="1" t="str">
        <f>"014485464"</f>
        <v>014485464</v>
      </c>
      <c r="F2221" s="1" t="s">
        <v>1366</v>
      </c>
      <c r="G2221" s="1" t="s">
        <v>16</v>
      </c>
      <c r="H2221" s="1" t="str">
        <f>"6"</f>
        <v>6</v>
      </c>
      <c r="I2221" s="2" t="str">
        <f>"359"</f>
        <v>359</v>
      </c>
      <c r="J2221" s="3">
        <v>46120</v>
      </c>
      <c r="K2221" s="1" t="s">
        <v>5158</v>
      </c>
    </row>
    <row r="2222" spans="1:11" x14ac:dyDescent="0.35">
      <c r="A2222" s="1" t="s">
        <v>5105</v>
      </c>
      <c r="B2222" s="1" t="s">
        <v>5147</v>
      </c>
      <c r="C2222" s="1" t="s">
        <v>5148</v>
      </c>
      <c r="D2222" s="1" t="str">
        <f>"1240"</f>
        <v>1240</v>
      </c>
      <c r="E2222" s="1" t="str">
        <f>"014111265"</f>
        <v>014111265</v>
      </c>
      <c r="F2222" s="1" t="s">
        <v>1103</v>
      </c>
      <c r="G2222" s="1" t="s">
        <v>16</v>
      </c>
      <c r="H2222" s="1" t="str">
        <f>"1"</f>
        <v>1</v>
      </c>
      <c r="I2222" s="2" t="str">
        <f>"339"</f>
        <v>339</v>
      </c>
      <c r="J2222" s="3">
        <v>46129</v>
      </c>
      <c r="K2222" s="1" t="s">
        <v>5149</v>
      </c>
    </row>
    <row r="2223" spans="1:11" x14ac:dyDescent="0.35">
      <c r="A2223" s="1" t="s">
        <v>5105</v>
      </c>
      <c r="B2223" s="1" t="s">
        <v>5147</v>
      </c>
      <c r="C2223" s="1" t="s">
        <v>5150</v>
      </c>
      <c r="D2223" s="1" t="str">
        <f>"1240"</f>
        <v>1240</v>
      </c>
      <c r="E2223" s="1" t="str">
        <f>"014111265"</f>
        <v>014111265</v>
      </c>
      <c r="F2223" s="1" t="s">
        <v>1103</v>
      </c>
      <c r="G2223" s="1" t="s">
        <v>16</v>
      </c>
      <c r="H2223" s="1" t="str">
        <f>"1"</f>
        <v>1</v>
      </c>
      <c r="I2223" s="2" t="str">
        <f>"339"</f>
        <v>339</v>
      </c>
      <c r="J2223" s="3">
        <v>46129</v>
      </c>
      <c r="K2223" s="1" t="s">
        <v>5149</v>
      </c>
    </row>
    <row r="2224" spans="1:11" x14ac:dyDescent="0.35">
      <c r="A2224" s="1" t="s">
        <v>5105</v>
      </c>
      <c r="B2224" s="1" t="s">
        <v>5147</v>
      </c>
      <c r="C2224" s="1" t="s">
        <v>5151</v>
      </c>
      <c r="D2224" s="1" t="str">
        <f>"1240"</f>
        <v>1240</v>
      </c>
      <c r="E2224" s="1" t="str">
        <f>"014111265"</f>
        <v>014111265</v>
      </c>
      <c r="F2224" s="1" t="s">
        <v>1103</v>
      </c>
      <c r="G2224" s="1" t="s">
        <v>16</v>
      </c>
      <c r="H2224" s="1" t="str">
        <f>"1"</f>
        <v>1</v>
      </c>
      <c r="I2224" s="2" t="str">
        <f>"339"</f>
        <v>339</v>
      </c>
      <c r="J2224" s="3">
        <v>46129</v>
      </c>
      <c r="K2224" s="1" t="s">
        <v>5149</v>
      </c>
    </row>
    <row r="2225" spans="1:11" x14ac:dyDescent="0.35">
      <c r="A2225" s="1" t="s">
        <v>5105</v>
      </c>
      <c r="B2225" s="1" t="s">
        <v>5152</v>
      </c>
      <c r="C2225" s="1" t="s">
        <v>5155</v>
      </c>
      <c r="D2225" s="1" t="str">
        <f>"5855"</f>
        <v>5855</v>
      </c>
      <c r="E2225" s="1" t="str">
        <f>"015356166"</f>
        <v>015356166</v>
      </c>
      <c r="F2225" s="1" t="s">
        <v>1379</v>
      </c>
      <c r="G2225" s="1" t="s">
        <v>16</v>
      </c>
      <c r="H2225" s="1" t="str">
        <f>"7"</f>
        <v>7</v>
      </c>
      <c r="I2225" s="2" t="str">
        <f>"898"</f>
        <v>898</v>
      </c>
      <c r="J2225" s="3">
        <v>46133</v>
      </c>
      <c r="K2225" s="1" t="s">
        <v>5156</v>
      </c>
    </row>
    <row r="2226" spans="1:11" x14ac:dyDescent="0.35">
      <c r="A2226" s="1" t="s">
        <v>5105</v>
      </c>
      <c r="B2226" s="1" t="s">
        <v>5129</v>
      </c>
      <c r="C2226" s="1" t="s">
        <v>5130</v>
      </c>
      <c r="D2226" s="1" t="str">
        <f>"2320"</f>
        <v>2320</v>
      </c>
      <c r="E2226" s="1" t="str">
        <f>"012098823"</f>
        <v>012098823</v>
      </c>
      <c r="F2226" s="1" t="s">
        <v>2303</v>
      </c>
      <c r="G2226" s="1" t="s">
        <v>16</v>
      </c>
      <c r="H2226" s="1" t="str">
        <f>"1"</f>
        <v>1</v>
      </c>
      <c r="I2226" s="2" t="str">
        <f>"21802"</f>
        <v>21802</v>
      </c>
      <c r="J2226" s="3">
        <v>46156</v>
      </c>
      <c r="K2226" s="1" t="s">
        <v>5131</v>
      </c>
    </row>
    <row r="2227" spans="1:11" x14ac:dyDescent="0.35">
      <c r="A2227" s="1" t="s">
        <v>5105</v>
      </c>
      <c r="B2227" s="1" t="s">
        <v>5129</v>
      </c>
      <c r="C2227" s="1" t="s">
        <v>5132</v>
      </c>
      <c r="D2227" s="1" t="str">
        <f>"2340"</f>
        <v>2340</v>
      </c>
      <c r="E2227" s="1" t="str">
        <f>"015066222"</f>
        <v>015066222</v>
      </c>
      <c r="F2227" s="1" t="s">
        <v>5133</v>
      </c>
      <c r="G2227" s="1" t="s">
        <v>16</v>
      </c>
      <c r="H2227" s="1" t="str">
        <f>"1"</f>
        <v>1</v>
      </c>
      <c r="I2227" s="2" t="str">
        <f>"16104"</f>
        <v>16104</v>
      </c>
      <c r="J2227" s="3">
        <v>46156</v>
      </c>
      <c r="K2227" s="1" t="s">
        <v>5134</v>
      </c>
    </row>
    <row r="2228" spans="1:11" x14ac:dyDescent="0.35">
      <c r="A2228" s="1" t="s">
        <v>5105</v>
      </c>
      <c r="B2228" s="1" t="s">
        <v>5129</v>
      </c>
      <c r="C2228" s="1" t="s">
        <v>5135</v>
      </c>
      <c r="D2228" s="1" t="str">
        <f>"2340"</f>
        <v>2340</v>
      </c>
      <c r="E2228" s="1" t="str">
        <f>"015066222"</f>
        <v>015066222</v>
      </c>
      <c r="F2228" s="1" t="s">
        <v>5133</v>
      </c>
      <c r="G2228" s="1" t="s">
        <v>16</v>
      </c>
      <c r="H2228" s="1" t="str">
        <f>"1"</f>
        <v>1</v>
      </c>
      <c r="I2228" s="2" t="str">
        <f>"16104"</f>
        <v>16104</v>
      </c>
      <c r="J2228" s="3">
        <v>46156</v>
      </c>
      <c r="K2228" s="1" t="s">
        <v>5134</v>
      </c>
    </row>
    <row r="2229" spans="1:11" x14ac:dyDescent="0.35">
      <c r="A2229" s="1" t="s">
        <v>5105</v>
      </c>
      <c r="B2229" s="1" t="s">
        <v>5106</v>
      </c>
      <c r="C2229" s="1" t="s">
        <v>5107</v>
      </c>
      <c r="D2229" s="1" t="str">
        <f>"2310"</f>
        <v>2310</v>
      </c>
      <c r="E2229" s="1" t="s">
        <v>178</v>
      </c>
      <c r="F2229" s="1" t="s">
        <v>179</v>
      </c>
      <c r="G2229" s="1" t="s">
        <v>16</v>
      </c>
      <c r="H2229" s="1" t="str">
        <f>"1"</f>
        <v>1</v>
      </c>
      <c r="I2229" s="2" t="str">
        <f>"12554"</f>
        <v>12554</v>
      </c>
      <c r="J2229" s="3">
        <v>46157</v>
      </c>
      <c r="K2229" s="1" t="s">
        <v>5108</v>
      </c>
    </row>
    <row r="2230" spans="1:11" x14ac:dyDescent="0.35">
      <c r="A2230" s="1" t="s">
        <v>5105</v>
      </c>
      <c r="B2230" s="1" t="s">
        <v>5112</v>
      </c>
      <c r="C2230" s="1" t="s">
        <v>5116</v>
      </c>
      <c r="D2230" s="1" t="str">
        <f>"5830"</f>
        <v>5830</v>
      </c>
      <c r="E2230" s="1" t="str">
        <f>"016259732"</f>
        <v>016259732</v>
      </c>
      <c r="F2230" s="1" t="s">
        <v>1767</v>
      </c>
      <c r="G2230" s="1" t="s">
        <v>16</v>
      </c>
      <c r="H2230" s="1" t="str">
        <f>"1"</f>
        <v>1</v>
      </c>
      <c r="I2230" s="2" t="str">
        <f>"94423"</f>
        <v>94423</v>
      </c>
      <c r="J2230" s="3">
        <v>46157</v>
      </c>
      <c r="K2230" s="1" t="s">
        <v>5114</v>
      </c>
    </row>
    <row r="2231" spans="1:11" x14ac:dyDescent="0.35">
      <c r="A2231" s="1" t="s">
        <v>5105</v>
      </c>
      <c r="B2231" s="1" t="s">
        <v>5126</v>
      </c>
      <c r="C2231" s="1" t="s">
        <v>5127</v>
      </c>
      <c r="D2231" s="1" t="str">
        <f>"1240"</f>
        <v>1240</v>
      </c>
      <c r="E2231" s="1" t="str">
        <f>"015403690"</f>
        <v>015403690</v>
      </c>
      <c r="F2231" s="1" t="s">
        <v>1103</v>
      </c>
      <c r="G2231" s="1" t="s">
        <v>16</v>
      </c>
      <c r="H2231" s="1" t="str">
        <f>"1"</f>
        <v>1</v>
      </c>
      <c r="I2231" s="2" t="str">
        <f>"340"</f>
        <v>340</v>
      </c>
      <c r="J2231" s="3">
        <v>46157</v>
      </c>
      <c r="K2231" s="1" t="s">
        <v>5128</v>
      </c>
    </row>
    <row r="2232" spans="1:11" x14ac:dyDescent="0.35">
      <c r="A2232" s="1" t="s">
        <v>5105</v>
      </c>
      <c r="B2232" s="1" t="s">
        <v>5152</v>
      </c>
      <c r="C2232" s="1" t="s">
        <v>5153</v>
      </c>
      <c r="D2232" s="1" t="str">
        <f>"5855"</f>
        <v>5855</v>
      </c>
      <c r="E2232" s="1" t="str">
        <f>"015345931"</f>
        <v>015345931</v>
      </c>
      <c r="F2232" s="1" t="s">
        <v>1379</v>
      </c>
      <c r="G2232" s="1" t="s">
        <v>16</v>
      </c>
      <c r="H2232" s="1" t="str">
        <f>"10"</f>
        <v>10</v>
      </c>
      <c r="I2232" s="2" t="str">
        <f>"970"</f>
        <v>970</v>
      </c>
      <c r="J2232" s="3">
        <v>46178</v>
      </c>
      <c r="K2232" s="1" t="s">
        <v>5154</v>
      </c>
    </row>
    <row r="2233" spans="1:11" x14ac:dyDescent="0.35">
      <c r="A2233" s="1" t="s">
        <v>5105</v>
      </c>
      <c r="B2233" s="1" t="s">
        <v>5112</v>
      </c>
      <c r="C2233" s="1" t="s">
        <v>5113</v>
      </c>
      <c r="D2233" s="1" t="str">
        <f>"5830"</f>
        <v>5830</v>
      </c>
      <c r="E2233" s="1" t="str">
        <f>"016708863"</f>
        <v>016708863</v>
      </c>
      <c r="F2233" s="1" t="s">
        <v>1767</v>
      </c>
      <c r="G2233" s="1" t="s">
        <v>16</v>
      </c>
      <c r="H2233" s="1" t="str">
        <f>"1"</f>
        <v>1</v>
      </c>
      <c r="I2233" s="2" t="str">
        <f>"27775"</f>
        <v>27775</v>
      </c>
      <c r="J2233" s="3">
        <v>46182</v>
      </c>
      <c r="K2233" s="1" t="s">
        <v>5114</v>
      </c>
    </row>
    <row r="2234" spans="1:11" x14ac:dyDescent="0.35">
      <c r="A2234" s="1" t="s">
        <v>5105</v>
      </c>
      <c r="B2234" s="1" t="s">
        <v>5112</v>
      </c>
      <c r="C2234" s="1" t="s">
        <v>5115</v>
      </c>
      <c r="D2234" s="1" t="str">
        <f>"5830"</f>
        <v>5830</v>
      </c>
      <c r="E2234" s="1" t="str">
        <f>"016708863"</f>
        <v>016708863</v>
      </c>
      <c r="F2234" s="1" t="s">
        <v>1767</v>
      </c>
      <c r="G2234" s="1" t="s">
        <v>16</v>
      </c>
      <c r="H2234" s="1" t="str">
        <f>"1"</f>
        <v>1</v>
      </c>
      <c r="I2234" s="2" t="str">
        <f>"27775"</f>
        <v>27775</v>
      </c>
      <c r="J2234" s="3">
        <v>46182</v>
      </c>
      <c r="K2234" s="1" t="s">
        <v>5114</v>
      </c>
    </row>
    <row r="2235" spans="1:11" x14ac:dyDescent="0.35">
      <c r="A2235" s="1" t="s">
        <v>5105</v>
      </c>
      <c r="B2235" s="1" t="s">
        <v>5136</v>
      </c>
      <c r="C2235" s="1" t="s">
        <v>5145</v>
      </c>
      <c r="D2235" s="1" t="str">
        <f>"4240"</f>
        <v>4240</v>
      </c>
      <c r="E2235" s="1" t="str">
        <f>"016707121"</f>
        <v>016707121</v>
      </c>
      <c r="F2235" s="1" t="s">
        <v>3503</v>
      </c>
      <c r="G2235" s="1" t="s">
        <v>16</v>
      </c>
      <c r="H2235" s="1" t="str">
        <f>"37"</f>
        <v>37</v>
      </c>
      <c r="I2235" s="2">
        <v>17.32</v>
      </c>
      <c r="J2235" s="3">
        <v>46182</v>
      </c>
      <c r="K2235" s="1" t="s">
        <v>5146</v>
      </c>
    </row>
    <row r="2236" spans="1:11" x14ac:dyDescent="0.35">
      <c r="A2236" s="1" t="s">
        <v>5105</v>
      </c>
      <c r="B2236" s="1" t="s">
        <v>5136</v>
      </c>
      <c r="C2236" s="1" t="s">
        <v>5137</v>
      </c>
      <c r="D2236" s="1" t="str">
        <f>"3930"</f>
        <v>3930</v>
      </c>
      <c r="E2236" s="1" t="str">
        <f>"010764237"</f>
        <v>010764237</v>
      </c>
      <c r="F2236" s="1" t="s">
        <v>1304</v>
      </c>
      <c r="G2236" s="1" t="s">
        <v>16</v>
      </c>
      <c r="H2236" s="1" t="str">
        <f>"1"</f>
        <v>1</v>
      </c>
      <c r="I2236" s="2" t="str">
        <f>"75000"</f>
        <v>75000</v>
      </c>
      <c r="J2236" s="3">
        <v>46184</v>
      </c>
      <c r="K2236" s="1" t="s">
        <v>5138</v>
      </c>
    </row>
    <row r="2237" spans="1:11" x14ac:dyDescent="0.35">
      <c r="A2237" s="1" t="s">
        <v>5105</v>
      </c>
      <c r="B2237" s="1" t="s">
        <v>5112</v>
      </c>
      <c r="C2237" s="1" t="s">
        <v>5117</v>
      </c>
      <c r="D2237" s="1" t="str">
        <f>"5855"</f>
        <v>5855</v>
      </c>
      <c r="E2237" s="1" t="str">
        <f>"015821584"</f>
        <v>015821584</v>
      </c>
      <c r="F2237" s="1" t="s">
        <v>5118</v>
      </c>
      <c r="G2237" s="1" t="s">
        <v>16</v>
      </c>
      <c r="H2237" s="1" t="str">
        <f>"32"</f>
        <v>32</v>
      </c>
      <c r="I2237" s="2">
        <v>1538.23</v>
      </c>
      <c r="J2237" s="3">
        <v>46185</v>
      </c>
      <c r="K2237" s="1" t="s">
        <v>5114</v>
      </c>
    </row>
    <row r="2238" spans="1:11" x14ac:dyDescent="0.35">
      <c r="A2238" s="1" t="s">
        <v>5105</v>
      </c>
      <c r="B2238" s="1" t="s">
        <v>5119</v>
      </c>
      <c r="C2238" s="1" t="s">
        <v>5120</v>
      </c>
      <c r="D2238" s="1" t="str">
        <f>"2320"</f>
        <v>2320</v>
      </c>
      <c r="E2238" s="1" t="str">
        <f>"010907880"</f>
        <v>010907880</v>
      </c>
      <c r="F2238" s="1" t="s">
        <v>271</v>
      </c>
      <c r="G2238" s="1" t="s">
        <v>16</v>
      </c>
      <c r="H2238" s="1" t="str">
        <f>"1"</f>
        <v>1</v>
      </c>
      <c r="I2238" s="2" t="str">
        <f>"11198"</f>
        <v>11198</v>
      </c>
      <c r="J2238" s="3">
        <v>46195</v>
      </c>
      <c r="K2238" s="1" t="s">
        <v>5121</v>
      </c>
    </row>
    <row r="2239" spans="1:11" x14ac:dyDescent="0.35">
      <c r="A2239" s="1" t="s">
        <v>5105</v>
      </c>
      <c r="B2239" s="1" t="s">
        <v>5136</v>
      </c>
      <c r="C2239" s="1" t="s">
        <v>5139</v>
      </c>
      <c r="D2239" s="1" t="str">
        <f>"4220"</f>
        <v>4220</v>
      </c>
      <c r="E2239" s="1" t="str">
        <f>"015803856"</f>
        <v>015803856</v>
      </c>
      <c r="F2239" s="1" t="s">
        <v>5140</v>
      </c>
      <c r="G2239" s="1" t="s">
        <v>16</v>
      </c>
      <c r="H2239" s="1" t="str">
        <f>"12"</f>
        <v>12</v>
      </c>
      <c r="I2239" s="2">
        <v>57.84</v>
      </c>
      <c r="J2239" s="3">
        <v>46195</v>
      </c>
      <c r="K2239" s="1" t="s">
        <v>5141</v>
      </c>
    </row>
    <row r="2240" spans="1:11" x14ac:dyDescent="0.35">
      <c r="A2240" s="1" t="s">
        <v>5105</v>
      </c>
      <c r="B2240" s="1" t="s">
        <v>5136</v>
      </c>
      <c r="C2240" s="1" t="s">
        <v>5142</v>
      </c>
      <c r="D2240" s="1" t="str">
        <f>"4220"</f>
        <v>4220</v>
      </c>
      <c r="E2240" s="1" t="str">
        <f>"014827394"</f>
        <v>014827394</v>
      </c>
      <c r="F2240" s="1" t="s">
        <v>5143</v>
      </c>
      <c r="G2240" s="1" t="s">
        <v>16</v>
      </c>
      <c r="H2240" s="1" t="str">
        <f>"2"</f>
        <v>2</v>
      </c>
      <c r="I2240" s="2">
        <v>283.52999999999997</v>
      </c>
      <c r="J2240" s="3">
        <v>46195</v>
      </c>
      <c r="K2240" s="1" t="s">
        <v>5144</v>
      </c>
    </row>
    <row r="2241" spans="1:11" x14ac:dyDescent="0.35">
      <c r="A2241" s="1" t="s">
        <v>5105</v>
      </c>
      <c r="B2241" s="1" t="s">
        <v>5119</v>
      </c>
      <c r="C2241" s="1" t="s">
        <v>5122</v>
      </c>
      <c r="D2241" s="1" t="str">
        <f>"6115"</f>
        <v>6115</v>
      </c>
      <c r="E2241" s="1" t="str">
        <f>"012747387"</f>
        <v>012747387</v>
      </c>
      <c r="F2241" s="1" t="s">
        <v>1390</v>
      </c>
      <c r="G2241" s="1" t="s">
        <v>16</v>
      </c>
      <c r="H2241" s="1" t="str">
        <f>"1"</f>
        <v>1</v>
      </c>
      <c r="I2241" s="2">
        <v>12797.7</v>
      </c>
      <c r="J2241" s="3">
        <v>46198</v>
      </c>
      <c r="K2241" s="1" t="s">
        <v>5123</v>
      </c>
    </row>
    <row r="2242" spans="1:11" x14ac:dyDescent="0.35">
      <c r="A2242" s="1" t="s">
        <v>5105</v>
      </c>
      <c r="B2242" s="1" t="s">
        <v>5119</v>
      </c>
      <c r="C2242" s="1" t="s">
        <v>5124</v>
      </c>
      <c r="D2242" s="1" t="str">
        <f>"6115"</f>
        <v>6115</v>
      </c>
      <c r="E2242" s="1" t="str">
        <f>"013320741"</f>
        <v>013320741</v>
      </c>
      <c r="F2242" s="1" t="s">
        <v>224</v>
      </c>
      <c r="G2242" s="1" t="s">
        <v>16</v>
      </c>
      <c r="H2242" s="1" t="str">
        <f>"1"</f>
        <v>1</v>
      </c>
      <c r="I2242" s="2" t="str">
        <f>"16256"</f>
        <v>16256</v>
      </c>
      <c r="J2242" s="3">
        <v>46198</v>
      </c>
      <c r="K2242" s="1" t="s">
        <v>5125</v>
      </c>
    </row>
    <row r="2243" spans="1:11" x14ac:dyDescent="0.35">
      <c r="A2243" s="1" t="s">
        <v>5159</v>
      </c>
      <c r="B2243" s="1" t="s">
        <v>5160</v>
      </c>
      <c r="C2243" s="1" t="s">
        <v>5161</v>
      </c>
      <c r="D2243" s="1" t="str">
        <f>"7025"</f>
        <v>7025</v>
      </c>
      <c r="E2243" s="1" t="s">
        <v>5162</v>
      </c>
      <c r="F2243" s="1" t="s">
        <v>5163</v>
      </c>
      <c r="G2243" s="1" t="s">
        <v>16</v>
      </c>
      <c r="H2243" s="1" t="str">
        <f>"1"</f>
        <v>1</v>
      </c>
      <c r="I2243" s="2" t="str">
        <f>"500"</f>
        <v>500</v>
      </c>
      <c r="J2243" s="3">
        <v>46178</v>
      </c>
      <c r="K2243" s="1" t="s">
        <v>5164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7318-2C6C-4173-8319-5020ABD70A47}">
  <dimension ref="A1:N2852"/>
  <sheetViews>
    <sheetView workbookViewId="0">
      <selection sqref="A1:XFD1"/>
    </sheetView>
  </sheetViews>
  <sheetFormatPr defaultRowHeight="10" x14ac:dyDescent="0.35"/>
  <cols>
    <col min="1" max="1" width="13.36328125" style="1" bestFit="1" customWidth="1"/>
    <col min="2" max="2" width="5.81640625" style="1" bestFit="1" customWidth="1"/>
    <col min="3" max="3" width="44.1796875" style="1" bestFit="1" customWidth="1"/>
    <col min="4" max="4" width="16.1796875" style="1" bestFit="1" customWidth="1"/>
    <col min="5" max="5" width="4.81640625" style="1" bestFit="1" customWidth="1"/>
    <col min="6" max="6" width="12.6328125" style="1" bestFit="1" customWidth="1"/>
    <col min="7" max="7" width="44.453125" style="1" bestFit="1" customWidth="1"/>
    <col min="8" max="8" width="3.36328125" style="1" bestFit="1" customWidth="1"/>
    <col min="9" max="9" width="9.36328125" style="4" bestFit="1" customWidth="1"/>
    <col min="10" max="10" width="17.81640625" style="2" bestFit="1" customWidth="1"/>
    <col min="11" max="11" width="15.453125" style="1" bestFit="1" customWidth="1"/>
    <col min="12" max="12" width="17.81640625" style="1" bestFit="1" customWidth="1"/>
    <col min="13" max="14" width="255.6328125" style="1" bestFit="1" customWidth="1"/>
    <col min="15" max="16384" width="8.7265625" style="1"/>
  </cols>
  <sheetData>
    <row r="1" spans="1:14" s="1" customFormat="1" x14ac:dyDescent="0.35">
      <c r="A1" s="1" t="s">
        <v>12535</v>
      </c>
      <c r="B1" s="1" t="s">
        <v>0</v>
      </c>
      <c r="C1" s="1" t="s">
        <v>1</v>
      </c>
      <c r="D1" s="1" t="s">
        <v>2</v>
      </c>
      <c r="E1" s="1" t="s">
        <v>3</v>
      </c>
      <c r="F1" s="1" t="s">
        <v>4</v>
      </c>
      <c r="G1" s="1" t="s">
        <v>5</v>
      </c>
      <c r="H1" s="1" t="s">
        <v>6</v>
      </c>
      <c r="I1" s="4" t="s">
        <v>7</v>
      </c>
      <c r="J1" s="2" t="s">
        <v>8</v>
      </c>
      <c r="K1" s="1" t="s">
        <v>12534</v>
      </c>
      <c r="L1" s="1" t="s">
        <v>12533</v>
      </c>
      <c r="M1" s="1" t="s">
        <v>12532</v>
      </c>
      <c r="N1" s="1" t="s">
        <v>10</v>
      </c>
    </row>
    <row r="2" spans="1:14" s="1" customFormat="1" x14ac:dyDescent="0.35">
      <c r="A2" s="1" t="s">
        <v>5216</v>
      </c>
      <c r="B2" s="1" t="s">
        <v>11</v>
      </c>
      <c r="C2" s="1" t="s">
        <v>12</v>
      </c>
      <c r="D2" s="1" t="s">
        <v>12531</v>
      </c>
      <c r="E2" s="1" t="str">
        <f>"8415"</f>
        <v>8415</v>
      </c>
      <c r="F2" s="1" t="str">
        <f>"016795970"</f>
        <v>016795970</v>
      </c>
      <c r="G2" s="1" t="s">
        <v>11483</v>
      </c>
      <c r="H2" s="1" t="s">
        <v>311</v>
      </c>
      <c r="I2" s="4" t="str">
        <f>"38"</f>
        <v>38</v>
      </c>
      <c r="J2" s="2">
        <v>224.56</v>
      </c>
      <c r="K2" s="3">
        <v>46155</v>
      </c>
      <c r="L2" s="3">
        <v>46170</v>
      </c>
      <c r="M2" s="1" t="s">
        <v>5224</v>
      </c>
      <c r="N2" s="1" t="s">
        <v>12530</v>
      </c>
    </row>
    <row r="3" spans="1:14" s="1" customFormat="1" x14ac:dyDescent="0.35">
      <c r="A3" s="1" t="s">
        <v>5216</v>
      </c>
      <c r="B3" s="1" t="s">
        <v>11</v>
      </c>
      <c r="C3" s="1" t="s">
        <v>12</v>
      </c>
      <c r="D3" s="1" t="s">
        <v>12529</v>
      </c>
      <c r="E3" s="1" t="str">
        <f>"8415"</f>
        <v>8415</v>
      </c>
      <c r="F3" s="1" t="str">
        <f>"014571562"</f>
        <v>014571562</v>
      </c>
      <c r="G3" s="1" t="s">
        <v>3001</v>
      </c>
      <c r="H3" s="1" t="s">
        <v>311</v>
      </c>
      <c r="I3" s="4" t="str">
        <f>"11"</f>
        <v>11</v>
      </c>
      <c r="J3" s="2">
        <v>82.35</v>
      </c>
      <c r="K3" s="3">
        <v>46155</v>
      </c>
      <c r="L3" s="3">
        <v>46170</v>
      </c>
      <c r="M3" s="1" t="s">
        <v>5224</v>
      </c>
      <c r="N3" s="1" t="s">
        <v>12526</v>
      </c>
    </row>
    <row r="4" spans="1:14" s="1" customFormat="1" x14ac:dyDescent="0.35">
      <c r="A4" s="1" t="s">
        <v>5216</v>
      </c>
      <c r="B4" s="1" t="s">
        <v>11</v>
      </c>
      <c r="C4" s="1" t="s">
        <v>12</v>
      </c>
      <c r="D4" s="1" t="s">
        <v>12528</v>
      </c>
      <c r="E4" s="1" t="str">
        <f>"8415"</f>
        <v>8415</v>
      </c>
      <c r="F4" s="1" t="str">
        <f>"014571561"</f>
        <v>014571561</v>
      </c>
      <c r="G4" s="1" t="s">
        <v>3001</v>
      </c>
      <c r="H4" s="1" t="s">
        <v>311</v>
      </c>
      <c r="I4" s="4" t="str">
        <f>"45"</f>
        <v>45</v>
      </c>
      <c r="J4" s="2">
        <v>82.35</v>
      </c>
      <c r="K4" s="3">
        <v>46155</v>
      </c>
      <c r="L4" s="3">
        <v>46170</v>
      </c>
      <c r="M4" s="1" t="s">
        <v>5224</v>
      </c>
      <c r="N4" s="1" t="s">
        <v>12526</v>
      </c>
    </row>
    <row r="5" spans="1:14" s="1" customFormat="1" x14ac:dyDescent="0.35">
      <c r="A5" s="1" t="s">
        <v>5216</v>
      </c>
      <c r="B5" s="1" t="s">
        <v>11</v>
      </c>
      <c r="C5" s="1" t="s">
        <v>12</v>
      </c>
      <c r="D5" s="1" t="s">
        <v>12527</v>
      </c>
      <c r="E5" s="1" t="str">
        <f>"8415"</f>
        <v>8415</v>
      </c>
      <c r="F5" s="1" t="str">
        <f>"014571557"</f>
        <v>014571557</v>
      </c>
      <c r="G5" s="1" t="s">
        <v>3001</v>
      </c>
      <c r="H5" s="1" t="s">
        <v>311</v>
      </c>
      <c r="I5" s="4" t="str">
        <f>"46"</f>
        <v>46</v>
      </c>
      <c r="J5" s="2">
        <v>82.35</v>
      </c>
      <c r="K5" s="3">
        <v>46155</v>
      </c>
      <c r="L5" s="3">
        <v>46170</v>
      </c>
      <c r="M5" s="1" t="s">
        <v>5224</v>
      </c>
      <c r="N5" s="1" t="s">
        <v>12526</v>
      </c>
    </row>
    <row r="6" spans="1:14" s="1" customFormat="1" x14ac:dyDescent="0.35">
      <c r="A6" s="1" t="s">
        <v>5171</v>
      </c>
      <c r="B6" s="1" t="s">
        <v>11</v>
      </c>
      <c r="C6" s="1" t="s">
        <v>12</v>
      </c>
      <c r="D6" s="1" t="s">
        <v>12525</v>
      </c>
      <c r="E6" s="1" t="str">
        <f>"8145"</f>
        <v>8145</v>
      </c>
      <c r="F6" s="1" t="s">
        <v>1879</v>
      </c>
      <c r="G6" s="1" t="s">
        <v>1880</v>
      </c>
      <c r="H6" s="1" t="s">
        <v>16</v>
      </c>
      <c r="I6" s="4" t="str">
        <f>"1"</f>
        <v>1</v>
      </c>
      <c r="J6" s="2" t="str">
        <f>"500"</f>
        <v>500</v>
      </c>
      <c r="K6" s="3">
        <v>46182</v>
      </c>
      <c r="L6" s="3">
        <v>46196</v>
      </c>
      <c r="M6" s="1" t="s">
        <v>12524</v>
      </c>
      <c r="N6" s="1" t="s">
        <v>12523</v>
      </c>
    </row>
    <row r="7" spans="1:14" s="1" customFormat="1" x14ac:dyDescent="0.35">
      <c r="A7" s="1" t="s">
        <v>5171</v>
      </c>
      <c r="B7" s="1" t="s">
        <v>18</v>
      </c>
      <c r="C7" s="1" t="s">
        <v>12118</v>
      </c>
      <c r="D7" s="1" t="s">
        <v>12522</v>
      </c>
      <c r="E7" s="1" t="str">
        <f>"2310"</f>
        <v>2310</v>
      </c>
      <c r="F7" s="1" t="str">
        <f>"016544105"</f>
        <v>016544105</v>
      </c>
      <c r="G7" s="1" t="s">
        <v>4907</v>
      </c>
      <c r="H7" s="1" t="s">
        <v>16</v>
      </c>
      <c r="I7" s="4" t="str">
        <f>"2"</f>
        <v>2</v>
      </c>
      <c r="J7" s="2">
        <v>31905.14</v>
      </c>
      <c r="K7" s="3">
        <v>46111</v>
      </c>
      <c r="L7" s="3">
        <v>46113</v>
      </c>
      <c r="M7" s="1" t="s">
        <v>12521</v>
      </c>
      <c r="N7" s="1" t="s">
        <v>12520</v>
      </c>
    </row>
    <row r="8" spans="1:14" s="1" customFormat="1" x14ac:dyDescent="0.35">
      <c r="A8" s="1" t="s">
        <v>5171</v>
      </c>
      <c r="B8" s="1" t="s">
        <v>18</v>
      </c>
      <c r="C8" s="1" t="s">
        <v>59</v>
      </c>
      <c r="D8" s="1" t="s">
        <v>12519</v>
      </c>
      <c r="E8" s="1" t="str">
        <f>"2310"</f>
        <v>2310</v>
      </c>
      <c r="F8" s="1" t="str">
        <f>"016544105"</f>
        <v>016544105</v>
      </c>
      <c r="G8" s="1" t="s">
        <v>4907</v>
      </c>
      <c r="H8" s="1" t="s">
        <v>16</v>
      </c>
      <c r="I8" s="4" t="str">
        <f>"1"</f>
        <v>1</v>
      </c>
      <c r="J8" s="2">
        <v>31905.14</v>
      </c>
      <c r="K8" s="3">
        <v>46110</v>
      </c>
      <c r="L8" s="3">
        <v>46113</v>
      </c>
      <c r="M8" s="1" t="s">
        <v>12518</v>
      </c>
      <c r="N8" s="1" t="s">
        <v>12517</v>
      </c>
    </row>
    <row r="9" spans="1:14" s="1" customFormat="1" x14ac:dyDescent="0.35">
      <c r="A9" s="1" t="s">
        <v>5171</v>
      </c>
      <c r="B9" s="1" t="s">
        <v>18</v>
      </c>
      <c r="C9" s="1" t="s">
        <v>120</v>
      </c>
      <c r="D9" s="1" t="s">
        <v>12516</v>
      </c>
      <c r="E9" s="1" t="str">
        <f>"2310"</f>
        <v>2310</v>
      </c>
      <c r="F9" s="1" t="str">
        <f>"016544105"</f>
        <v>016544105</v>
      </c>
      <c r="G9" s="1" t="s">
        <v>4907</v>
      </c>
      <c r="H9" s="1" t="s">
        <v>16</v>
      </c>
      <c r="I9" s="4" t="str">
        <f>"2"</f>
        <v>2</v>
      </c>
      <c r="J9" s="2">
        <v>31905.14</v>
      </c>
      <c r="K9" s="3">
        <v>46112</v>
      </c>
      <c r="L9" s="3">
        <v>46113</v>
      </c>
      <c r="M9" s="1" t="s">
        <v>12515</v>
      </c>
      <c r="N9" s="1" t="s">
        <v>12514</v>
      </c>
    </row>
    <row r="10" spans="1:14" s="1" customFormat="1" x14ac:dyDescent="0.35">
      <c r="A10" s="1" t="s">
        <v>5171</v>
      </c>
      <c r="B10" s="1" t="s">
        <v>18</v>
      </c>
      <c r="C10" s="1" t="s">
        <v>152</v>
      </c>
      <c r="D10" s="1" t="s">
        <v>12513</v>
      </c>
      <c r="E10" s="1" t="str">
        <f>"2310"</f>
        <v>2310</v>
      </c>
      <c r="F10" s="1" t="str">
        <f>"016544105"</f>
        <v>016544105</v>
      </c>
      <c r="G10" s="1" t="s">
        <v>4907</v>
      </c>
      <c r="H10" s="1" t="s">
        <v>16</v>
      </c>
      <c r="I10" s="4" t="str">
        <f>"1"</f>
        <v>1</v>
      </c>
      <c r="J10" s="2">
        <v>31905.14</v>
      </c>
      <c r="K10" s="3">
        <v>46103</v>
      </c>
      <c r="L10" s="3">
        <v>46113</v>
      </c>
      <c r="M10" s="1" t="s">
        <v>12512</v>
      </c>
      <c r="N10" s="1" t="s">
        <v>12511</v>
      </c>
    </row>
    <row r="11" spans="1:14" s="1" customFormat="1" x14ac:dyDescent="0.35">
      <c r="A11" s="1" t="s">
        <v>5171</v>
      </c>
      <c r="B11" s="1" t="s">
        <v>18</v>
      </c>
      <c r="C11" s="1" t="s">
        <v>269</v>
      </c>
      <c r="D11" s="1" t="s">
        <v>12510</v>
      </c>
      <c r="E11" s="1" t="str">
        <f>"2310"</f>
        <v>2310</v>
      </c>
      <c r="F11" s="1" t="str">
        <f>"016544105"</f>
        <v>016544105</v>
      </c>
      <c r="G11" s="1" t="s">
        <v>4907</v>
      </c>
      <c r="H11" s="1" t="s">
        <v>16</v>
      </c>
      <c r="I11" s="4" t="str">
        <f>"2"</f>
        <v>2</v>
      </c>
      <c r="J11" s="2">
        <v>31905.14</v>
      </c>
      <c r="K11" s="3">
        <v>46103</v>
      </c>
      <c r="L11" s="3">
        <v>46113</v>
      </c>
      <c r="M11" s="1" t="s">
        <v>12509</v>
      </c>
      <c r="N11" s="1" t="s">
        <v>12508</v>
      </c>
    </row>
    <row r="12" spans="1:14" s="1" customFormat="1" x14ac:dyDescent="0.35">
      <c r="A12" s="1" t="s">
        <v>5171</v>
      </c>
      <c r="B12" s="1" t="s">
        <v>18</v>
      </c>
      <c r="C12" s="1" t="s">
        <v>362</v>
      </c>
      <c r="D12" s="1" t="s">
        <v>12507</v>
      </c>
      <c r="E12" s="1" t="str">
        <f>"2310"</f>
        <v>2310</v>
      </c>
      <c r="F12" s="1" t="str">
        <f>"016544105"</f>
        <v>016544105</v>
      </c>
      <c r="G12" s="1" t="s">
        <v>4907</v>
      </c>
      <c r="H12" s="1" t="s">
        <v>16</v>
      </c>
      <c r="I12" s="4" t="str">
        <f>"2"</f>
        <v>2</v>
      </c>
      <c r="J12" s="2">
        <v>31905.14</v>
      </c>
      <c r="K12" s="3">
        <v>46112</v>
      </c>
      <c r="L12" s="3">
        <v>46113</v>
      </c>
      <c r="M12" s="1" t="s">
        <v>5167</v>
      </c>
      <c r="N12" s="1" t="s">
        <v>12506</v>
      </c>
    </row>
    <row r="13" spans="1:14" s="1" customFormat="1" x14ac:dyDescent="0.35">
      <c r="A13" s="1" t="s">
        <v>5171</v>
      </c>
      <c r="B13" s="1" t="s">
        <v>18</v>
      </c>
      <c r="C13" s="1" t="s">
        <v>80</v>
      </c>
      <c r="D13" s="1" t="s">
        <v>12505</v>
      </c>
      <c r="E13" s="1" t="str">
        <f>"7810"</f>
        <v>7810</v>
      </c>
      <c r="F13" s="1" t="s">
        <v>2712</v>
      </c>
      <c r="G13" s="1" t="s">
        <v>2713</v>
      </c>
      <c r="H13" s="1" t="s">
        <v>16</v>
      </c>
      <c r="I13" s="4" t="str">
        <f>"1"</f>
        <v>1</v>
      </c>
      <c r="J13" s="2">
        <v>3941.47</v>
      </c>
      <c r="K13" s="3">
        <v>46112</v>
      </c>
      <c r="L13" s="3">
        <v>46114</v>
      </c>
      <c r="M13" s="1" t="s">
        <v>5167</v>
      </c>
      <c r="N13" s="1" t="s">
        <v>12502</v>
      </c>
    </row>
    <row r="14" spans="1:14" s="1" customFormat="1" x14ac:dyDescent="0.35">
      <c r="A14" s="1" t="s">
        <v>5171</v>
      </c>
      <c r="B14" s="1" t="s">
        <v>18</v>
      </c>
      <c r="C14" s="1" t="s">
        <v>80</v>
      </c>
      <c r="D14" s="1" t="s">
        <v>12504</v>
      </c>
      <c r="E14" s="1" t="str">
        <f>"7810"</f>
        <v>7810</v>
      </c>
      <c r="F14" s="1" t="s">
        <v>2712</v>
      </c>
      <c r="G14" s="1" t="s">
        <v>2713</v>
      </c>
      <c r="H14" s="1" t="s">
        <v>16</v>
      </c>
      <c r="I14" s="4" t="str">
        <f>"1"</f>
        <v>1</v>
      </c>
      <c r="J14" s="2">
        <v>1055.3399999999999</v>
      </c>
      <c r="K14" s="3">
        <v>46112</v>
      </c>
      <c r="L14" s="3">
        <v>46114</v>
      </c>
      <c r="M14" s="1" t="s">
        <v>5167</v>
      </c>
      <c r="N14" s="1" t="s">
        <v>12502</v>
      </c>
    </row>
    <row r="15" spans="1:14" s="1" customFormat="1" x14ac:dyDescent="0.35">
      <c r="A15" s="1" t="s">
        <v>5171</v>
      </c>
      <c r="B15" s="1" t="s">
        <v>18</v>
      </c>
      <c r="C15" s="1" t="s">
        <v>80</v>
      </c>
      <c r="D15" s="1" t="s">
        <v>12503</v>
      </c>
      <c r="E15" s="1" t="str">
        <f>"7810"</f>
        <v>7810</v>
      </c>
      <c r="F15" s="1" t="s">
        <v>2712</v>
      </c>
      <c r="G15" s="1" t="s">
        <v>2713</v>
      </c>
      <c r="H15" s="1" t="s">
        <v>16</v>
      </c>
      <c r="I15" s="4" t="str">
        <f>"1"</f>
        <v>1</v>
      </c>
      <c r="J15" s="2">
        <v>1055.3399999999999</v>
      </c>
      <c r="K15" s="3">
        <v>46112</v>
      </c>
      <c r="L15" s="3">
        <v>46114</v>
      </c>
      <c r="M15" s="1" t="s">
        <v>5167</v>
      </c>
      <c r="N15" s="1" t="s">
        <v>12502</v>
      </c>
    </row>
    <row r="16" spans="1:14" s="1" customFormat="1" x14ac:dyDescent="0.35">
      <c r="A16" s="1" t="s">
        <v>5171</v>
      </c>
      <c r="B16" s="1" t="s">
        <v>18</v>
      </c>
      <c r="C16" s="1" t="s">
        <v>269</v>
      </c>
      <c r="D16" s="1" t="s">
        <v>12501</v>
      </c>
      <c r="E16" s="1" t="str">
        <f>"2320"</f>
        <v>2320</v>
      </c>
      <c r="F16" s="1" t="str">
        <f>"010948229"</f>
        <v>010948229</v>
      </c>
      <c r="G16" s="1" t="s">
        <v>271</v>
      </c>
      <c r="H16" s="1" t="s">
        <v>16</v>
      </c>
      <c r="I16" s="4" t="str">
        <f>"1"</f>
        <v>1</v>
      </c>
      <c r="J16" s="2">
        <v>9989.75</v>
      </c>
      <c r="K16" s="3">
        <v>46084</v>
      </c>
      <c r="L16" s="3">
        <v>46114</v>
      </c>
      <c r="M16" s="1" t="s">
        <v>12500</v>
      </c>
      <c r="N16" s="1" t="s">
        <v>274</v>
      </c>
    </row>
    <row r="17" spans="1:14" s="1" customFormat="1" x14ac:dyDescent="0.35">
      <c r="A17" s="1" t="s">
        <v>5171</v>
      </c>
      <c r="B17" s="1" t="s">
        <v>18</v>
      </c>
      <c r="C17" s="1" t="s">
        <v>269</v>
      </c>
      <c r="D17" s="1" t="s">
        <v>12499</v>
      </c>
      <c r="E17" s="1" t="str">
        <f>"2320"</f>
        <v>2320</v>
      </c>
      <c r="F17" s="1" t="str">
        <f>"007529812"</f>
        <v>007529812</v>
      </c>
      <c r="G17" s="1" t="s">
        <v>370</v>
      </c>
      <c r="H17" s="1" t="s">
        <v>16</v>
      </c>
      <c r="I17" s="4" t="str">
        <f>"1"</f>
        <v>1</v>
      </c>
      <c r="J17" s="2" t="str">
        <f>"21046"</f>
        <v>21046</v>
      </c>
      <c r="K17" s="3">
        <v>46089</v>
      </c>
      <c r="L17" s="3">
        <v>46114</v>
      </c>
      <c r="M17" s="1" t="s">
        <v>12498</v>
      </c>
      <c r="N17" s="1" t="s">
        <v>274</v>
      </c>
    </row>
    <row r="18" spans="1:14" s="1" customFormat="1" x14ac:dyDescent="0.35">
      <c r="A18" s="1" t="s">
        <v>5171</v>
      </c>
      <c r="B18" s="1" t="s">
        <v>18</v>
      </c>
      <c r="C18" s="1" t="s">
        <v>269</v>
      </c>
      <c r="D18" s="1" t="s">
        <v>12497</v>
      </c>
      <c r="E18" s="1" t="str">
        <f>"1740"</f>
        <v>1740</v>
      </c>
      <c r="F18" s="1" t="str">
        <f>"010688945"</f>
        <v>010688945</v>
      </c>
      <c r="G18" s="1" t="s">
        <v>3758</v>
      </c>
      <c r="H18" s="1" t="s">
        <v>16</v>
      </c>
      <c r="I18" s="4" t="str">
        <f>"1"</f>
        <v>1</v>
      </c>
      <c r="J18" s="2">
        <v>68143.8</v>
      </c>
      <c r="K18" s="3">
        <v>46095</v>
      </c>
      <c r="L18" s="3">
        <v>46114</v>
      </c>
      <c r="M18" s="1" t="s">
        <v>12496</v>
      </c>
      <c r="N18" s="1" t="s">
        <v>274</v>
      </c>
    </row>
    <row r="19" spans="1:14" s="1" customFormat="1" x14ac:dyDescent="0.35">
      <c r="A19" s="1" t="s">
        <v>5171</v>
      </c>
      <c r="B19" s="1" t="s">
        <v>18</v>
      </c>
      <c r="C19" s="1" t="s">
        <v>269</v>
      </c>
      <c r="D19" s="1" t="s">
        <v>12495</v>
      </c>
      <c r="E19" s="1" t="str">
        <f>"1740"</f>
        <v>1740</v>
      </c>
      <c r="F19" s="1" t="str">
        <f>"014685158"</f>
        <v>014685158</v>
      </c>
      <c r="G19" s="1" t="s">
        <v>11553</v>
      </c>
      <c r="H19" s="1" t="s">
        <v>16</v>
      </c>
      <c r="I19" s="4" t="str">
        <f>"1"</f>
        <v>1</v>
      </c>
      <c r="J19" s="2" t="str">
        <f>"32982"</f>
        <v>32982</v>
      </c>
      <c r="K19" s="3">
        <v>46095</v>
      </c>
      <c r="L19" s="3">
        <v>46114</v>
      </c>
      <c r="M19" s="1" t="s">
        <v>12494</v>
      </c>
      <c r="N19" s="1" t="s">
        <v>274</v>
      </c>
    </row>
    <row r="20" spans="1:14" s="1" customFormat="1" x14ac:dyDescent="0.35">
      <c r="A20" s="1" t="s">
        <v>5171</v>
      </c>
      <c r="B20" s="1" t="s">
        <v>18</v>
      </c>
      <c r="C20" s="1" t="s">
        <v>362</v>
      </c>
      <c r="D20" s="1" t="s">
        <v>12493</v>
      </c>
      <c r="E20" s="1" t="str">
        <f>"1940"</f>
        <v>1940</v>
      </c>
      <c r="F20" s="1" t="str">
        <f>"010883530"</f>
        <v>010883530</v>
      </c>
      <c r="G20" s="1" t="s">
        <v>12488</v>
      </c>
      <c r="H20" s="1" t="s">
        <v>16</v>
      </c>
      <c r="I20" s="4" t="str">
        <f>"1"</f>
        <v>1</v>
      </c>
      <c r="J20" s="2" t="str">
        <f>"2807"</f>
        <v>2807</v>
      </c>
      <c r="K20" s="3">
        <v>46097</v>
      </c>
      <c r="L20" s="3">
        <v>46114</v>
      </c>
      <c r="M20" s="1" t="s">
        <v>12492</v>
      </c>
      <c r="N20" s="1" t="s">
        <v>12486</v>
      </c>
    </row>
    <row r="21" spans="1:14" s="1" customFormat="1" x14ac:dyDescent="0.35">
      <c r="A21" s="1" t="s">
        <v>5171</v>
      </c>
      <c r="B21" s="1" t="s">
        <v>18</v>
      </c>
      <c r="C21" s="1" t="s">
        <v>362</v>
      </c>
      <c r="D21" s="1" t="s">
        <v>12491</v>
      </c>
      <c r="E21" s="1" t="str">
        <f>"1940"</f>
        <v>1940</v>
      </c>
      <c r="F21" s="1" t="str">
        <f>"010883530"</f>
        <v>010883530</v>
      </c>
      <c r="G21" s="1" t="s">
        <v>12488</v>
      </c>
      <c r="H21" s="1" t="s">
        <v>16</v>
      </c>
      <c r="I21" s="4" t="str">
        <f>"1"</f>
        <v>1</v>
      </c>
      <c r="J21" s="2" t="str">
        <f>"2807"</f>
        <v>2807</v>
      </c>
      <c r="K21" s="3">
        <v>46097</v>
      </c>
      <c r="L21" s="3">
        <v>46114</v>
      </c>
      <c r="M21" s="1" t="s">
        <v>12490</v>
      </c>
      <c r="N21" s="1" t="s">
        <v>12486</v>
      </c>
    </row>
    <row r="22" spans="1:14" s="1" customFormat="1" x14ac:dyDescent="0.35">
      <c r="A22" s="1" t="s">
        <v>5171</v>
      </c>
      <c r="B22" s="1" t="s">
        <v>18</v>
      </c>
      <c r="C22" s="1" t="s">
        <v>362</v>
      </c>
      <c r="D22" s="1" t="s">
        <v>12489</v>
      </c>
      <c r="E22" s="1" t="str">
        <f>"1940"</f>
        <v>1940</v>
      </c>
      <c r="F22" s="1" t="str">
        <f>"010883530"</f>
        <v>010883530</v>
      </c>
      <c r="G22" s="1" t="s">
        <v>12488</v>
      </c>
      <c r="H22" s="1" t="s">
        <v>16</v>
      </c>
      <c r="I22" s="4" t="str">
        <f>"1"</f>
        <v>1</v>
      </c>
      <c r="J22" s="2" t="str">
        <f>"2807"</f>
        <v>2807</v>
      </c>
      <c r="K22" s="3">
        <v>46097</v>
      </c>
      <c r="L22" s="3">
        <v>46114</v>
      </c>
      <c r="M22" s="1" t="s">
        <v>12487</v>
      </c>
      <c r="N22" s="1" t="s">
        <v>12486</v>
      </c>
    </row>
    <row r="23" spans="1:14" s="1" customFormat="1" x14ac:dyDescent="0.35">
      <c r="A23" s="1" t="s">
        <v>5171</v>
      </c>
      <c r="B23" s="1" t="s">
        <v>18</v>
      </c>
      <c r="C23" s="1" t="s">
        <v>59</v>
      </c>
      <c r="D23" s="1" t="s">
        <v>12485</v>
      </c>
      <c r="E23" s="1" t="str">
        <f>"2340"</f>
        <v>2340</v>
      </c>
      <c r="F23" s="1" t="s">
        <v>61</v>
      </c>
      <c r="G23" s="1" t="s">
        <v>62</v>
      </c>
      <c r="H23" s="1" t="s">
        <v>16</v>
      </c>
      <c r="I23" s="4" t="str">
        <f>"1"</f>
        <v>1</v>
      </c>
      <c r="J23" s="2" t="str">
        <f>"31426"</f>
        <v>31426</v>
      </c>
      <c r="K23" s="3">
        <v>46103</v>
      </c>
      <c r="L23" s="3">
        <v>46116</v>
      </c>
      <c r="M23" s="1" t="s">
        <v>12484</v>
      </c>
      <c r="N23" s="1" t="s">
        <v>63</v>
      </c>
    </row>
    <row r="24" spans="1:14" s="1" customFormat="1" x14ac:dyDescent="0.35">
      <c r="A24" s="1" t="s">
        <v>5171</v>
      </c>
      <c r="B24" s="1" t="s">
        <v>18</v>
      </c>
      <c r="C24" s="1" t="s">
        <v>362</v>
      </c>
      <c r="D24" s="1" t="s">
        <v>12483</v>
      </c>
      <c r="E24" s="1" t="str">
        <f>"3810"</f>
        <v>3810</v>
      </c>
      <c r="F24" s="1" t="str">
        <f>"015981850"</f>
        <v>015981850</v>
      </c>
      <c r="G24" s="1" t="s">
        <v>550</v>
      </c>
      <c r="H24" s="1" t="s">
        <v>16</v>
      </c>
      <c r="I24" s="4" t="str">
        <f>"1"</f>
        <v>1</v>
      </c>
      <c r="J24" s="2">
        <v>99502.8</v>
      </c>
      <c r="K24" s="3">
        <v>46109</v>
      </c>
      <c r="L24" s="3">
        <v>46116</v>
      </c>
      <c r="M24" s="1" t="s">
        <v>12482</v>
      </c>
      <c r="N24" s="1" t="s">
        <v>12481</v>
      </c>
    </row>
    <row r="25" spans="1:14" s="1" customFormat="1" x14ac:dyDescent="0.35">
      <c r="A25" s="1" t="s">
        <v>5171</v>
      </c>
      <c r="B25" s="1" t="s">
        <v>18</v>
      </c>
      <c r="C25" s="1" t="s">
        <v>120</v>
      </c>
      <c r="D25" s="1" t="s">
        <v>12480</v>
      </c>
      <c r="E25" s="1" t="str">
        <f>"6150"</f>
        <v>6150</v>
      </c>
      <c r="F25" s="1" t="str">
        <f>"016546999"</f>
        <v>016546999</v>
      </c>
      <c r="G25" s="1" t="s">
        <v>12479</v>
      </c>
      <c r="H25" s="1" t="s">
        <v>16</v>
      </c>
      <c r="I25" s="4" t="str">
        <f>"4"</f>
        <v>4</v>
      </c>
      <c r="J25" s="2" t="str">
        <f>"28077"</f>
        <v>28077</v>
      </c>
      <c r="K25" s="3">
        <v>46105</v>
      </c>
      <c r="L25" s="3">
        <v>46118</v>
      </c>
      <c r="M25" s="1" t="s">
        <v>12478</v>
      </c>
      <c r="N25" s="1" t="s">
        <v>12477</v>
      </c>
    </row>
    <row r="26" spans="1:14" s="1" customFormat="1" x14ac:dyDescent="0.35">
      <c r="A26" s="1" t="s">
        <v>5171</v>
      </c>
      <c r="B26" s="1" t="s">
        <v>18</v>
      </c>
      <c r="C26" s="1" t="s">
        <v>152</v>
      </c>
      <c r="D26" s="1" t="s">
        <v>12476</v>
      </c>
      <c r="E26" s="1" t="str">
        <f>"5110"</f>
        <v>5110</v>
      </c>
      <c r="F26" s="1" t="str">
        <f>"005969156"</f>
        <v>005969156</v>
      </c>
      <c r="G26" s="1" t="s">
        <v>567</v>
      </c>
      <c r="H26" s="1" t="s">
        <v>16</v>
      </c>
      <c r="I26" s="4" t="str">
        <f>"1"</f>
        <v>1</v>
      </c>
      <c r="J26" s="2">
        <v>48.85</v>
      </c>
      <c r="K26" s="3">
        <v>46098</v>
      </c>
      <c r="L26" s="3">
        <v>46120</v>
      </c>
      <c r="M26" s="1" t="s">
        <v>12475</v>
      </c>
      <c r="N26" s="1" t="s">
        <v>12474</v>
      </c>
    </row>
    <row r="27" spans="1:14" s="1" customFormat="1" x14ac:dyDescent="0.35">
      <c r="A27" s="1" t="s">
        <v>5171</v>
      </c>
      <c r="B27" s="1" t="s">
        <v>18</v>
      </c>
      <c r="C27" s="1" t="s">
        <v>80</v>
      </c>
      <c r="D27" s="1" t="s">
        <v>12473</v>
      </c>
      <c r="E27" s="1" t="str">
        <f>"2320"</f>
        <v>2320</v>
      </c>
      <c r="F27" s="1" t="str">
        <f>"014559593"</f>
        <v>014559593</v>
      </c>
      <c r="G27" s="1" t="s">
        <v>414</v>
      </c>
      <c r="H27" s="1" t="s">
        <v>16</v>
      </c>
      <c r="I27" s="4" t="str">
        <f>"1"</f>
        <v>1</v>
      </c>
      <c r="J27" s="2" t="str">
        <f>"60409"</f>
        <v>60409</v>
      </c>
      <c r="K27" s="3">
        <v>46119</v>
      </c>
      <c r="L27" s="3">
        <v>46121</v>
      </c>
      <c r="M27" s="1" t="s">
        <v>5167</v>
      </c>
      <c r="N27" s="1" t="s">
        <v>12472</v>
      </c>
    </row>
    <row r="28" spans="1:14" s="1" customFormat="1" x14ac:dyDescent="0.35">
      <c r="A28" s="1" t="s">
        <v>5171</v>
      </c>
      <c r="B28" s="1" t="s">
        <v>18</v>
      </c>
      <c r="C28" s="1" t="s">
        <v>12471</v>
      </c>
      <c r="D28" s="1" t="s">
        <v>12470</v>
      </c>
      <c r="E28" s="1" t="str">
        <f>"8430"</f>
        <v>8430</v>
      </c>
      <c r="F28" s="1" t="str">
        <f>"015681490"</f>
        <v>015681490</v>
      </c>
      <c r="G28" s="1" t="s">
        <v>3154</v>
      </c>
      <c r="H28" s="1" t="s">
        <v>311</v>
      </c>
      <c r="I28" s="4" t="str">
        <f>"4"</f>
        <v>4</v>
      </c>
      <c r="J28" s="2">
        <v>98.34</v>
      </c>
      <c r="K28" s="3">
        <v>46089</v>
      </c>
      <c r="L28" s="3">
        <v>46122</v>
      </c>
      <c r="M28" s="1" t="s">
        <v>12469</v>
      </c>
      <c r="N28" s="1" t="s">
        <v>12468</v>
      </c>
    </row>
    <row r="29" spans="1:14" s="1" customFormat="1" x14ac:dyDescent="0.35">
      <c r="A29" s="1" t="s">
        <v>5171</v>
      </c>
      <c r="B29" s="1" t="s">
        <v>18</v>
      </c>
      <c r="C29" s="1" t="s">
        <v>269</v>
      </c>
      <c r="D29" s="1" t="s">
        <v>12467</v>
      </c>
      <c r="E29" s="1" t="str">
        <f>"2330"</f>
        <v>2330</v>
      </c>
      <c r="F29" s="1" t="s">
        <v>70</v>
      </c>
      <c r="G29" s="1" t="s">
        <v>71</v>
      </c>
      <c r="H29" s="1" t="s">
        <v>16</v>
      </c>
      <c r="I29" s="4" t="str">
        <f>"1"</f>
        <v>1</v>
      </c>
      <c r="J29" s="2" t="str">
        <f>"10000"</f>
        <v>10000</v>
      </c>
      <c r="K29" s="3">
        <v>46095</v>
      </c>
      <c r="L29" s="3">
        <v>46122</v>
      </c>
      <c r="M29" s="1" t="s">
        <v>12466</v>
      </c>
      <c r="N29" s="1" t="s">
        <v>12465</v>
      </c>
    </row>
    <row r="30" spans="1:14" s="1" customFormat="1" x14ac:dyDescent="0.35">
      <c r="A30" s="1" t="s">
        <v>5171</v>
      </c>
      <c r="B30" s="1" t="s">
        <v>18</v>
      </c>
      <c r="C30" s="1" t="s">
        <v>80</v>
      </c>
      <c r="D30" s="1" t="s">
        <v>12464</v>
      </c>
      <c r="E30" s="1" t="str">
        <f>"2340"</f>
        <v>2340</v>
      </c>
      <c r="F30" s="1" t="str">
        <f>"016572586"</f>
        <v>016572586</v>
      </c>
      <c r="G30" s="1" t="s">
        <v>1435</v>
      </c>
      <c r="H30" s="1" t="s">
        <v>16</v>
      </c>
      <c r="I30" s="4" t="str">
        <f>"1"</f>
        <v>1</v>
      </c>
      <c r="J30" s="2" t="str">
        <f>"11500"</f>
        <v>11500</v>
      </c>
      <c r="K30" s="3">
        <v>46112</v>
      </c>
      <c r="L30" s="3">
        <v>46123</v>
      </c>
      <c r="M30" s="1" t="s">
        <v>12463</v>
      </c>
      <c r="N30" s="1" t="s">
        <v>86</v>
      </c>
    </row>
    <row r="31" spans="1:14" s="1" customFormat="1" x14ac:dyDescent="0.35">
      <c r="A31" s="1" t="s">
        <v>5171</v>
      </c>
      <c r="B31" s="1" t="s">
        <v>18</v>
      </c>
      <c r="C31" s="1" t="s">
        <v>120</v>
      </c>
      <c r="D31" s="1" t="s">
        <v>12462</v>
      </c>
      <c r="E31" s="1" t="str">
        <f>"6625"</f>
        <v>6625</v>
      </c>
      <c r="F31" s="1" t="str">
        <f>"010486427"</f>
        <v>010486427</v>
      </c>
      <c r="G31" s="1" t="s">
        <v>12461</v>
      </c>
      <c r="H31" s="1" t="s">
        <v>16</v>
      </c>
      <c r="I31" s="4" t="str">
        <f>"1"</f>
        <v>1</v>
      </c>
      <c r="J31" s="2">
        <v>196737.76</v>
      </c>
      <c r="K31" s="3">
        <v>46090</v>
      </c>
      <c r="L31" s="3">
        <v>46123</v>
      </c>
      <c r="M31" s="1" t="s">
        <v>5167</v>
      </c>
      <c r="N31" s="1" t="s">
        <v>12460</v>
      </c>
    </row>
    <row r="32" spans="1:14" s="1" customFormat="1" x14ac:dyDescent="0.35">
      <c r="A32" s="1" t="s">
        <v>5171</v>
      </c>
      <c r="B32" s="1" t="s">
        <v>18</v>
      </c>
      <c r="C32" s="1" t="s">
        <v>152</v>
      </c>
      <c r="D32" s="1" t="s">
        <v>12459</v>
      </c>
      <c r="E32" s="1" t="str">
        <f>"2310"</f>
        <v>2310</v>
      </c>
      <c r="F32" s="1" t="str">
        <f>"014970609"</f>
        <v>014970609</v>
      </c>
      <c r="G32" s="1" t="s">
        <v>12010</v>
      </c>
      <c r="H32" s="1" t="s">
        <v>16</v>
      </c>
      <c r="I32" s="4" t="str">
        <f>"1"</f>
        <v>1</v>
      </c>
      <c r="J32" s="2" t="str">
        <f>"114000"</f>
        <v>114000</v>
      </c>
      <c r="K32" s="3">
        <v>46087</v>
      </c>
      <c r="L32" s="3">
        <v>46123</v>
      </c>
      <c r="M32" s="1" t="s">
        <v>5167</v>
      </c>
      <c r="N32" s="1" t="s">
        <v>12458</v>
      </c>
    </row>
    <row r="33" spans="1:14" s="1" customFormat="1" x14ac:dyDescent="0.35">
      <c r="A33" s="1" t="s">
        <v>5171</v>
      </c>
      <c r="B33" s="1" t="s">
        <v>18</v>
      </c>
      <c r="C33" s="1" t="s">
        <v>152</v>
      </c>
      <c r="D33" s="1" t="s">
        <v>12457</v>
      </c>
      <c r="E33" s="1" t="str">
        <f>"2310"</f>
        <v>2310</v>
      </c>
      <c r="F33" s="1" t="str">
        <f>"014970609"</f>
        <v>014970609</v>
      </c>
      <c r="G33" s="1" t="s">
        <v>12010</v>
      </c>
      <c r="H33" s="1" t="s">
        <v>16</v>
      </c>
      <c r="I33" s="4" t="str">
        <f>"1"</f>
        <v>1</v>
      </c>
      <c r="J33" s="2" t="str">
        <f>"114000"</f>
        <v>114000</v>
      </c>
      <c r="K33" s="3">
        <v>46090</v>
      </c>
      <c r="L33" s="3">
        <v>46123</v>
      </c>
      <c r="M33" s="1" t="s">
        <v>5167</v>
      </c>
      <c r="N33" s="1" t="s">
        <v>12456</v>
      </c>
    </row>
    <row r="34" spans="1:14" s="1" customFormat="1" x14ac:dyDescent="0.35">
      <c r="A34" s="1" t="s">
        <v>5171</v>
      </c>
      <c r="B34" s="1" t="s">
        <v>18</v>
      </c>
      <c r="C34" s="1" t="s">
        <v>362</v>
      </c>
      <c r="D34" s="1" t="s">
        <v>12455</v>
      </c>
      <c r="E34" s="1" t="str">
        <f>"2320"</f>
        <v>2320</v>
      </c>
      <c r="F34" s="1" t="s">
        <v>975</v>
      </c>
      <c r="G34" s="1" t="s">
        <v>976</v>
      </c>
      <c r="H34" s="1" t="s">
        <v>16</v>
      </c>
      <c r="I34" s="4" t="str">
        <f>"1"</f>
        <v>1</v>
      </c>
      <c r="J34" s="2" t="str">
        <f>"2000"</f>
        <v>2000</v>
      </c>
      <c r="K34" s="3">
        <v>46109</v>
      </c>
      <c r="L34" s="3">
        <v>46123</v>
      </c>
      <c r="M34" s="1" t="s">
        <v>12454</v>
      </c>
      <c r="N34" s="1" t="s">
        <v>12453</v>
      </c>
    </row>
    <row r="35" spans="1:14" s="1" customFormat="1" x14ac:dyDescent="0.35">
      <c r="A35" s="1" t="s">
        <v>5171</v>
      </c>
      <c r="B35" s="1" t="s">
        <v>18</v>
      </c>
      <c r="C35" s="1" t="s">
        <v>362</v>
      </c>
      <c r="D35" s="1" t="s">
        <v>12452</v>
      </c>
      <c r="E35" s="1" t="str">
        <f>"8145"</f>
        <v>8145</v>
      </c>
      <c r="F35" s="1" t="s">
        <v>408</v>
      </c>
      <c r="G35" s="1" t="s">
        <v>409</v>
      </c>
      <c r="H35" s="1" t="s">
        <v>16</v>
      </c>
      <c r="I35" s="4" t="str">
        <f>"10"</f>
        <v>10</v>
      </c>
      <c r="J35" s="2" t="str">
        <f>"100"</f>
        <v>100</v>
      </c>
      <c r="K35" s="3">
        <v>46109</v>
      </c>
      <c r="L35" s="3">
        <v>46123</v>
      </c>
      <c r="M35" s="1" t="s">
        <v>12451</v>
      </c>
      <c r="N35" s="1" t="s">
        <v>12450</v>
      </c>
    </row>
    <row r="36" spans="1:14" s="1" customFormat="1" x14ac:dyDescent="0.35">
      <c r="A36" s="1" t="s">
        <v>5171</v>
      </c>
      <c r="B36" s="1" t="s">
        <v>18</v>
      </c>
      <c r="C36" s="1" t="s">
        <v>362</v>
      </c>
      <c r="D36" s="1" t="s">
        <v>12449</v>
      </c>
      <c r="E36" s="1" t="str">
        <f>"2320"</f>
        <v>2320</v>
      </c>
      <c r="F36" s="1" t="s">
        <v>971</v>
      </c>
      <c r="G36" s="1" t="s">
        <v>972</v>
      </c>
      <c r="H36" s="1" t="s">
        <v>16</v>
      </c>
      <c r="I36" s="4" t="str">
        <f>"1"</f>
        <v>1</v>
      </c>
      <c r="J36" s="2" t="str">
        <f>"55000"</f>
        <v>55000</v>
      </c>
      <c r="K36" s="3">
        <v>46109</v>
      </c>
      <c r="L36" s="3">
        <v>46123</v>
      </c>
      <c r="M36" s="1" t="s">
        <v>12448</v>
      </c>
      <c r="N36" s="1" t="s">
        <v>12447</v>
      </c>
    </row>
    <row r="37" spans="1:14" s="1" customFormat="1" x14ac:dyDescent="0.35">
      <c r="A37" s="1" t="s">
        <v>5171</v>
      </c>
      <c r="B37" s="1" t="s">
        <v>18</v>
      </c>
      <c r="C37" s="1" t="s">
        <v>362</v>
      </c>
      <c r="D37" s="1" t="s">
        <v>12446</v>
      </c>
      <c r="E37" s="1" t="str">
        <f>"2420"</f>
        <v>2420</v>
      </c>
      <c r="F37" s="1" t="str">
        <f>"010630254"</f>
        <v>010630254</v>
      </c>
      <c r="G37" s="1" t="s">
        <v>98</v>
      </c>
      <c r="H37" s="1" t="s">
        <v>16</v>
      </c>
      <c r="I37" s="4" t="str">
        <f>"1"</f>
        <v>1</v>
      </c>
      <c r="J37" s="2" t="str">
        <f>"140000"</f>
        <v>140000</v>
      </c>
      <c r="K37" s="3">
        <v>46109</v>
      </c>
      <c r="L37" s="3">
        <v>46123</v>
      </c>
      <c r="M37" s="1" t="s">
        <v>12445</v>
      </c>
      <c r="N37" s="1" t="s">
        <v>12444</v>
      </c>
    </row>
    <row r="38" spans="1:14" s="1" customFormat="1" x14ac:dyDescent="0.35">
      <c r="A38" s="1" t="s">
        <v>5171</v>
      </c>
      <c r="B38" s="1" t="s">
        <v>18</v>
      </c>
      <c r="C38" s="1" t="s">
        <v>362</v>
      </c>
      <c r="D38" s="1" t="s">
        <v>12443</v>
      </c>
      <c r="E38" s="1" t="str">
        <f>"2420"</f>
        <v>2420</v>
      </c>
      <c r="F38" s="1" t="str">
        <f>"013916071"</f>
        <v>013916071</v>
      </c>
      <c r="G38" s="1" t="s">
        <v>98</v>
      </c>
      <c r="H38" s="1" t="s">
        <v>16</v>
      </c>
      <c r="I38" s="4" t="str">
        <f>"1"</f>
        <v>1</v>
      </c>
      <c r="J38" s="2" t="str">
        <f>"23945"</f>
        <v>23945</v>
      </c>
      <c r="K38" s="3">
        <v>46109</v>
      </c>
      <c r="L38" s="3">
        <v>46123</v>
      </c>
      <c r="M38" s="1" t="s">
        <v>12442</v>
      </c>
      <c r="N38" s="1" t="s">
        <v>375</v>
      </c>
    </row>
    <row r="39" spans="1:14" s="1" customFormat="1" x14ac:dyDescent="0.35">
      <c r="A39" s="1" t="s">
        <v>5171</v>
      </c>
      <c r="B39" s="1" t="s">
        <v>18</v>
      </c>
      <c r="C39" s="1" t="s">
        <v>362</v>
      </c>
      <c r="D39" s="1" t="s">
        <v>12441</v>
      </c>
      <c r="E39" s="1" t="str">
        <f>"2320"</f>
        <v>2320</v>
      </c>
      <c r="F39" s="1" t="str">
        <f>"012157631"</f>
        <v>012157631</v>
      </c>
      <c r="G39" s="1" t="s">
        <v>360</v>
      </c>
      <c r="H39" s="1" t="s">
        <v>16</v>
      </c>
      <c r="I39" s="4" t="str">
        <f>"1"</f>
        <v>1</v>
      </c>
      <c r="J39" s="2" t="str">
        <f>"33082"</f>
        <v>33082</v>
      </c>
      <c r="K39" s="3">
        <v>46109</v>
      </c>
      <c r="L39" s="3">
        <v>46123</v>
      </c>
      <c r="M39" s="1" t="s">
        <v>12440</v>
      </c>
      <c r="N39" s="1" t="s">
        <v>12439</v>
      </c>
    </row>
    <row r="40" spans="1:14" s="1" customFormat="1" x14ac:dyDescent="0.35">
      <c r="A40" s="1" t="s">
        <v>5171</v>
      </c>
      <c r="B40" s="1" t="s">
        <v>18</v>
      </c>
      <c r="C40" s="1" t="s">
        <v>362</v>
      </c>
      <c r="D40" s="1" t="s">
        <v>12438</v>
      </c>
      <c r="E40" s="1" t="str">
        <f>"7025"</f>
        <v>7025</v>
      </c>
      <c r="F40" s="1" t="str">
        <f>"016415458"</f>
        <v>016415458</v>
      </c>
      <c r="G40" s="1" t="s">
        <v>166</v>
      </c>
      <c r="H40" s="1" t="s">
        <v>16</v>
      </c>
      <c r="I40" s="4" t="str">
        <f>"1"</f>
        <v>1</v>
      </c>
      <c r="J40" s="2">
        <v>217980.28</v>
      </c>
      <c r="K40" s="3">
        <v>46118</v>
      </c>
      <c r="L40" s="3">
        <v>46123</v>
      </c>
      <c r="M40" s="1" t="s">
        <v>12437</v>
      </c>
      <c r="N40" s="1" t="s">
        <v>12436</v>
      </c>
    </row>
    <row r="41" spans="1:14" s="1" customFormat="1" x14ac:dyDescent="0.35">
      <c r="A41" s="1" t="s">
        <v>5171</v>
      </c>
      <c r="B41" s="1" t="s">
        <v>18</v>
      </c>
      <c r="C41" s="1" t="s">
        <v>120</v>
      </c>
      <c r="D41" s="1" t="s">
        <v>12435</v>
      </c>
      <c r="E41" s="1" t="str">
        <f>"3805"</f>
        <v>3805</v>
      </c>
      <c r="F41" s="1" t="str">
        <f>"013208783"</f>
        <v>013208783</v>
      </c>
      <c r="G41" s="1" t="s">
        <v>132</v>
      </c>
      <c r="H41" s="1" t="s">
        <v>16</v>
      </c>
      <c r="I41" s="4" t="str">
        <f>"1"</f>
        <v>1</v>
      </c>
      <c r="J41" s="2">
        <v>113747.02</v>
      </c>
      <c r="K41" s="3">
        <v>46089</v>
      </c>
      <c r="L41" s="3">
        <v>46125</v>
      </c>
      <c r="M41" s="1" t="s">
        <v>12434</v>
      </c>
      <c r="N41" s="1" t="s">
        <v>12433</v>
      </c>
    </row>
    <row r="42" spans="1:14" s="1" customFormat="1" x14ac:dyDescent="0.35">
      <c r="A42" s="1" t="s">
        <v>5171</v>
      </c>
      <c r="B42" s="1" t="s">
        <v>18</v>
      </c>
      <c r="C42" s="1" t="s">
        <v>120</v>
      </c>
      <c r="D42" s="1" t="s">
        <v>12432</v>
      </c>
      <c r="E42" s="1" t="str">
        <f>"4110"</f>
        <v>4110</v>
      </c>
      <c r="F42" s="1" t="str">
        <f>"011079078"</f>
        <v>011079078</v>
      </c>
      <c r="G42" s="1" t="s">
        <v>12200</v>
      </c>
      <c r="H42" s="1" t="s">
        <v>16</v>
      </c>
      <c r="I42" s="4" t="str">
        <f>"1"</f>
        <v>1</v>
      </c>
      <c r="J42" s="2" t="str">
        <f>"6387"</f>
        <v>6387</v>
      </c>
      <c r="K42" s="3">
        <v>46089</v>
      </c>
      <c r="L42" s="3">
        <v>46125</v>
      </c>
      <c r="M42" s="1" t="s">
        <v>12431</v>
      </c>
      <c r="N42" s="1" t="s">
        <v>12430</v>
      </c>
    </row>
    <row r="43" spans="1:14" s="1" customFormat="1" x14ac:dyDescent="0.35">
      <c r="A43" s="1" t="s">
        <v>5171</v>
      </c>
      <c r="B43" s="1" t="s">
        <v>18</v>
      </c>
      <c r="C43" s="1" t="s">
        <v>120</v>
      </c>
      <c r="D43" s="1" t="s">
        <v>12429</v>
      </c>
      <c r="E43" s="1" t="str">
        <f>"5430"</f>
        <v>5430</v>
      </c>
      <c r="F43" s="1" t="str">
        <f>"012769756"</f>
        <v>012769756</v>
      </c>
      <c r="G43" s="1" t="s">
        <v>12197</v>
      </c>
      <c r="H43" s="1" t="s">
        <v>16</v>
      </c>
      <c r="I43" s="4" t="str">
        <f>"2"</f>
        <v>2</v>
      </c>
      <c r="J43" s="2" t="str">
        <f>"10732"</f>
        <v>10732</v>
      </c>
      <c r="K43" s="3">
        <v>46089</v>
      </c>
      <c r="L43" s="3">
        <v>46125</v>
      </c>
      <c r="M43" s="1" t="s">
        <v>12428</v>
      </c>
      <c r="N43" s="1" t="s">
        <v>12427</v>
      </c>
    </row>
    <row r="44" spans="1:14" s="1" customFormat="1" x14ac:dyDescent="0.35">
      <c r="A44" s="1" t="s">
        <v>5171</v>
      </c>
      <c r="B44" s="1" t="s">
        <v>18</v>
      </c>
      <c r="C44" s="1" t="s">
        <v>120</v>
      </c>
      <c r="D44" s="1" t="s">
        <v>12426</v>
      </c>
      <c r="E44" s="1" t="str">
        <f>"9905"</f>
        <v>9905</v>
      </c>
      <c r="F44" s="1" t="s">
        <v>150</v>
      </c>
      <c r="G44" s="1" t="s">
        <v>151</v>
      </c>
      <c r="H44" s="1" t="s">
        <v>16</v>
      </c>
      <c r="I44" s="4" t="str">
        <f>"4"</f>
        <v>4</v>
      </c>
      <c r="J44" s="2">
        <v>17428.57</v>
      </c>
      <c r="K44" s="3">
        <v>46089</v>
      </c>
      <c r="L44" s="3">
        <v>46125</v>
      </c>
      <c r="M44" s="1" t="s">
        <v>12425</v>
      </c>
      <c r="N44" s="1" t="s">
        <v>12424</v>
      </c>
    </row>
    <row r="45" spans="1:14" s="1" customFormat="1" x14ac:dyDescent="0.35">
      <c r="A45" s="1" t="s">
        <v>5171</v>
      </c>
      <c r="B45" s="1" t="s">
        <v>18</v>
      </c>
      <c r="C45" s="1" t="s">
        <v>120</v>
      </c>
      <c r="D45" s="1" t="s">
        <v>12423</v>
      </c>
      <c r="E45" s="1" t="str">
        <f>"3805"</f>
        <v>3805</v>
      </c>
      <c r="F45" s="1" t="str">
        <f>"012729749"</f>
        <v>012729749</v>
      </c>
      <c r="G45" s="1" t="s">
        <v>132</v>
      </c>
      <c r="H45" s="1" t="s">
        <v>16</v>
      </c>
      <c r="I45" s="4" t="str">
        <f>"1"</f>
        <v>1</v>
      </c>
      <c r="J45" s="2">
        <v>138265.54999999999</v>
      </c>
      <c r="K45" s="3">
        <v>46095</v>
      </c>
      <c r="L45" s="3">
        <v>46125</v>
      </c>
      <c r="M45" s="1" t="s">
        <v>12422</v>
      </c>
      <c r="N45" s="1" t="s">
        <v>12421</v>
      </c>
    </row>
    <row r="46" spans="1:14" s="1" customFormat="1" x14ac:dyDescent="0.35">
      <c r="A46" s="1" t="s">
        <v>0</v>
      </c>
      <c r="B46" s="1" t="s">
        <v>18</v>
      </c>
      <c r="C46" s="1" t="s">
        <v>30</v>
      </c>
      <c r="D46" s="1" t="s">
        <v>12420</v>
      </c>
      <c r="E46" s="1" t="str">
        <f>"2320"</f>
        <v>2320</v>
      </c>
      <c r="F46" s="1" t="s">
        <v>975</v>
      </c>
      <c r="G46" s="1" t="s">
        <v>976</v>
      </c>
      <c r="H46" s="1" t="s">
        <v>16</v>
      </c>
      <c r="I46" s="4" t="str">
        <f>"1"</f>
        <v>1</v>
      </c>
      <c r="J46" s="2">
        <v>592904.18000000005</v>
      </c>
      <c r="K46" s="3">
        <v>46125</v>
      </c>
      <c r="L46" s="3">
        <v>46126</v>
      </c>
      <c r="M46" s="1" t="s">
        <v>12419</v>
      </c>
      <c r="N46" s="1" t="s">
        <v>12418</v>
      </c>
    </row>
    <row r="47" spans="1:14" s="1" customFormat="1" x14ac:dyDescent="0.35">
      <c r="A47" s="1" t="s">
        <v>5171</v>
      </c>
      <c r="B47" s="1" t="s">
        <v>18</v>
      </c>
      <c r="C47" s="1" t="s">
        <v>362</v>
      </c>
      <c r="D47" s="1" t="s">
        <v>12417</v>
      </c>
      <c r="E47" s="1" t="str">
        <f>"2320"</f>
        <v>2320</v>
      </c>
      <c r="F47" s="1" t="s">
        <v>975</v>
      </c>
      <c r="G47" s="1" t="s">
        <v>976</v>
      </c>
      <c r="H47" s="1" t="s">
        <v>16</v>
      </c>
      <c r="I47" s="4" t="str">
        <f>"1"</f>
        <v>1</v>
      </c>
      <c r="J47" s="2" t="str">
        <f>"51853"</f>
        <v>51853</v>
      </c>
      <c r="K47" s="3">
        <v>46109</v>
      </c>
      <c r="L47" s="3">
        <v>46126</v>
      </c>
      <c r="M47" s="1" t="s">
        <v>12416</v>
      </c>
      <c r="N47" s="1" t="s">
        <v>12415</v>
      </c>
    </row>
    <row r="48" spans="1:14" s="1" customFormat="1" x14ac:dyDescent="0.35">
      <c r="A48" s="1" t="s">
        <v>5171</v>
      </c>
      <c r="B48" s="1" t="s">
        <v>18</v>
      </c>
      <c r="C48" s="1" t="s">
        <v>120</v>
      </c>
      <c r="D48" s="1" t="s">
        <v>12414</v>
      </c>
      <c r="E48" s="1" t="str">
        <f>"2340"</f>
        <v>2340</v>
      </c>
      <c r="F48" s="1" t="s">
        <v>84</v>
      </c>
      <c r="G48" s="1" t="s">
        <v>85</v>
      </c>
      <c r="H48" s="1" t="s">
        <v>16</v>
      </c>
      <c r="I48" s="4" t="str">
        <f>"1"</f>
        <v>1</v>
      </c>
      <c r="J48" s="2">
        <v>15218.18</v>
      </c>
      <c r="K48" s="3">
        <v>46123</v>
      </c>
      <c r="L48" s="3">
        <v>46128</v>
      </c>
      <c r="M48" s="1" t="s">
        <v>12413</v>
      </c>
      <c r="N48" s="1" t="s">
        <v>12412</v>
      </c>
    </row>
    <row r="49" spans="1:14" s="1" customFormat="1" x14ac:dyDescent="0.35">
      <c r="A49" s="1" t="s">
        <v>5171</v>
      </c>
      <c r="B49" s="1" t="s">
        <v>18</v>
      </c>
      <c r="C49" s="1" t="s">
        <v>152</v>
      </c>
      <c r="D49" s="1" t="s">
        <v>12411</v>
      </c>
      <c r="E49" s="1" t="str">
        <f>"2340"</f>
        <v>2340</v>
      </c>
      <c r="F49" s="1" t="s">
        <v>84</v>
      </c>
      <c r="G49" s="1" t="s">
        <v>85</v>
      </c>
      <c r="H49" s="1" t="s">
        <v>16</v>
      </c>
      <c r="I49" s="4" t="str">
        <f>"1"</f>
        <v>1</v>
      </c>
      <c r="J49" s="2">
        <v>15218.18</v>
      </c>
      <c r="K49" s="3">
        <v>46125</v>
      </c>
      <c r="L49" s="3">
        <v>46128</v>
      </c>
      <c r="M49" s="1" t="s">
        <v>12410</v>
      </c>
      <c r="N49" s="1" t="s">
        <v>12409</v>
      </c>
    </row>
    <row r="50" spans="1:14" s="1" customFormat="1" x14ac:dyDescent="0.35">
      <c r="A50" s="1" t="s">
        <v>5171</v>
      </c>
      <c r="B50" s="1" t="s">
        <v>18</v>
      </c>
      <c r="C50" s="1" t="s">
        <v>269</v>
      </c>
      <c r="D50" s="1" t="s">
        <v>12408</v>
      </c>
      <c r="E50" s="1" t="str">
        <f>"2340"</f>
        <v>2340</v>
      </c>
      <c r="F50" s="1" t="s">
        <v>84</v>
      </c>
      <c r="G50" s="1" t="s">
        <v>85</v>
      </c>
      <c r="H50" s="1" t="s">
        <v>16</v>
      </c>
      <c r="I50" s="4" t="str">
        <f>"1"</f>
        <v>1</v>
      </c>
      <c r="J50" s="2">
        <v>15218.18</v>
      </c>
      <c r="K50" s="3">
        <v>46125</v>
      </c>
      <c r="L50" s="3">
        <v>46128</v>
      </c>
      <c r="M50" s="1" t="s">
        <v>12407</v>
      </c>
      <c r="N50" s="1" t="s">
        <v>12406</v>
      </c>
    </row>
    <row r="51" spans="1:14" s="1" customFormat="1" x14ac:dyDescent="0.35">
      <c r="A51" s="1" t="s">
        <v>5171</v>
      </c>
      <c r="B51" s="1" t="s">
        <v>18</v>
      </c>
      <c r="C51" s="1" t="s">
        <v>12148</v>
      </c>
      <c r="D51" s="1" t="s">
        <v>12405</v>
      </c>
      <c r="E51" s="1" t="str">
        <f>"5855"</f>
        <v>5855</v>
      </c>
      <c r="F51" s="1" t="str">
        <f>"016277123"</f>
        <v>016277123</v>
      </c>
      <c r="G51" s="1" t="s">
        <v>6515</v>
      </c>
      <c r="H51" s="1" t="s">
        <v>16</v>
      </c>
      <c r="I51" s="4" t="str">
        <f>"8"</f>
        <v>8</v>
      </c>
      <c r="J51" s="2">
        <v>477.52</v>
      </c>
      <c r="K51" s="3">
        <v>46128</v>
      </c>
      <c r="L51" s="3">
        <v>46129</v>
      </c>
      <c r="M51" s="1" t="s">
        <v>5167</v>
      </c>
      <c r="N51" s="1" t="s">
        <v>12404</v>
      </c>
    </row>
    <row r="52" spans="1:14" s="1" customFormat="1" x14ac:dyDescent="0.35">
      <c r="A52" s="1" t="s">
        <v>5171</v>
      </c>
      <c r="B52" s="1" t="s">
        <v>18</v>
      </c>
      <c r="C52" s="1" t="s">
        <v>30</v>
      </c>
      <c r="D52" s="1" t="s">
        <v>12403</v>
      </c>
      <c r="E52" s="1" t="str">
        <f>"4240"</f>
        <v>4240</v>
      </c>
      <c r="F52" s="1" t="str">
        <f>"015156935"</f>
        <v>015156935</v>
      </c>
      <c r="G52" s="1" t="s">
        <v>6925</v>
      </c>
      <c r="H52" s="1" t="s">
        <v>16</v>
      </c>
      <c r="I52" s="4" t="str">
        <f>"2"</f>
        <v>2</v>
      </c>
      <c r="J52" s="2">
        <v>3012.5</v>
      </c>
      <c r="K52" s="3">
        <v>46125</v>
      </c>
      <c r="L52" s="3">
        <v>46129</v>
      </c>
      <c r="M52" s="1" t="s">
        <v>12402</v>
      </c>
      <c r="N52" s="1" t="s">
        <v>12401</v>
      </c>
    </row>
    <row r="53" spans="1:14" s="1" customFormat="1" x14ac:dyDescent="0.35">
      <c r="A53" s="1" t="s">
        <v>5171</v>
      </c>
      <c r="B53" s="1" t="s">
        <v>18</v>
      </c>
      <c r="C53" s="1" t="s">
        <v>362</v>
      </c>
      <c r="D53" s="1" t="s">
        <v>12400</v>
      </c>
      <c r="E53" s="1" t="str">
        <f>"2330"</f>
        <v>2330</v>
      </c>
      <c r="F53" s="1" t="s">
        <v>70</v>
      </c>
      <c r="G53" s="1" t="s">
        <v>71</v>
      </c>
      <c r="H53" s="1" t="s">
        <v>16</v>
      </c>
      <c r="I53" s="4" t="str">
        <f>"1"</f>
        <v>1</v>
      </c>
      <c r="J53" s="2" t="str">
        <f>"45080"</f>
        <v>45080</v>
      </c>
      <c r="K53" s="3">
        <v>46109</v>
      </c>
      <c r="L53" s="3">
        <v>46129</v>
      </c>
      <c r="M53" s="1" t="s">
        <v>12399</v>
      </c>
      <c r="N53" s="1" t="s">
        <v>12398</v>
      </c>
    </row>
    <row r="54" spans="1:14" s="1" customFormat="1" x14ac:dyDescent="0.35">
      <c r="A54" s="1" t="s">
        <v>5171</v>
      </c>
      <c r="B54" s="1" t="s">
        <v>18</v>
      </c>
      <c r="C54" s="1" t="s">
        <v>152</v>
      </c>
      <c r="D54" s="1" t="s">
        <v>12397</v>
      </c>
      <c r="E54" s="1" t="str">
        <f>"2320"</f>
        <v>2320</v>
      </c>
      <c r="F54" s="1" t="str">
        <f>"007529812"</f>
        <v>007529812</v>
      </c>
      <c r="G54" s="1" t="s">
        <v>370</v>
      </c>
      <c r="H54" s="1" t="s">
        <v>16</v>
      </c>
      <c r="I54" s="4" t="str">
        <f>"1"</f>
        <v>1</v>
      </c>
      <c r="J54" s="2" t="str">
        <f>"21046"</f>
        <v>21046</v>
      </c>
      <c r="K54" s="3">
        <v>46118</v>
      </c>
      <c r="L54" s="3">
        <v>46130</v>
      </c>
      <c r="M54" s="1" t="s">
        <v>12396</v>
      </c>
      <c r="N54" s="1" t="s">
        <v>12395</v>
      </c>
    </row>
    <row r="55" spans="1:14" s="1" customFormat="1" x14ac:dyDescent="0.35">
      <c r="A55" s="1" t="s">
        <v>5171</v>
      </c>
      <c r="B55" s="1" t="s">
        <v>18</v>
      </c>
      <c r="C55" s="1" t="s">
        <v>181</v>
      </c>
      <c r="D55" s="1" t="s">
        <v>12394</v>
      </c>
      <c r="E55" s="1" t="str">
        <f>"2320"</f>
        <v>2320</v>
      </c>
      <c r="F55" s="1" t="str">
        <f>"014133739"</f>
        <v>014133739</v>
      </c>
      <c r="G55" s="1" t="s">
        <v>414</v>
      </c>
      <c r="H55" s="1" t="s">
        <v>16</v>
      </c>
      <c r="I55" s="4" t="str">
        <f>"1"</f>
        <v>1</v>
      </c>
      <c r="J55" s="2" t="str">
        <f>"192513"</f>
        <v>192513</v>
      </c>
      <c r="K55" s="3">
        <v>46126</v>
      </c>
      <c r="L55" s="3">
        <v>46130</v>
      </c>
      <c r="M55" s="1" t="s">
        <v>5167</v>
      </c>
      <c r="N55" s="1" t="s">
        <v>12393</v>
      </c>
    </row>
    <row r="56" spans="1:14" s="1" customFormat="1" x14ac:dyDescent="0.35">
      <c r="A56" s="1" t="s">
        <v>0</v>
      </c>
      <c r="B56" s="1" t="s">
        <v>18</v>
      </c>
      <c r="C56" s="1" t="s">
        <v>181</v>
      </c>
      <c r="D56" s="1" t="s">
        <v>12392</v>
      </c>
      <c r="E56" s="1" t="str">
        <f>"5855"</f>
        <v>5855</v>
      </c>
      <c r="F56" s="1" t="str">
        <f>"014748904"</f>
        <v>014748904</v>
      </c>
      <c r="G56" s="1" t="s">
        <v>175</v>
      </c>
      <c r="H56" s="1" t="s">
        <v>16</v>
      </c>
      <c r="I56" s="4" t="str">
        <f>"2"</f>
        <v>2</v>
      </c>
      <c r="J56" s="2" t="str">
        <f>"5314"</f>
        <v>5314</v>
      </c>
      <c r="K56" s="3">
        <v>46127</v>
      </c>
      <c r="L56" s="3">
        <v>46132</v>
      </c>
      <c r="M56" s="1" t="s">
        <v>12391</v>
      </c>
      <c r="N56" s="1" t="s">
        <v>12390</v>
      </c>
    </row>
    <row r="57" spans="1:14" s="1" customFormat="1" x14ac:dyDescent="0.35">
      <c r="A57" s="1" t="s">
        <v>5171</v>
      </c>
      <c r="B57" s="1" t="s">
        <v>18</v>
      </c>
      <c r="C57" s="1" t="s">
        <v>120</v>
      </c>
      <c r="D57" s="1" t="s">
        <v>12389</v>
      </c>
      <c r="E57" s="1" t="str">
        <f>"5410"</f>
        <v>5410</v>
      </c>
      <c r="F57" s="1" t="str">
        <f>"014358951"</f>
        <v>014358951</v>
      </c>
      <c r="G57" s="1" t="s">
        <v>1659</v>
      </c>
      <c r="H57" s="1" t="s">
        <v>16</v>
      </c>
      <c r="I57" s="4" t="str">
        <f>"1"</f>
        <v>1</v>
      </c>
      <c r="J57" s="2">
        <v>15653.4</v>
      </c>
      <c r="K57" s="3">
        <v>46112</v>
      </c>
      <c r="L57" s="3">
        <v>46132</v>
      </c>
      <c r="M57" s="1" t="s">
        <v>12388</v>
      </c>
      <c r="N57" s="1" t="s">
        <v>12387</v>
      </c>
    </row>
    <row r="58" spans="1:14" s="1" customFormat="1" x14ac:dyDescent="0.35">
      <c r="A58" s="1" t="s">
        <v>5216</v>
      </c>
      <c r="B58" s="1" t="s">
        <v>18</v>
      </c>
      <c r="C58" s="1" t="s">
        <v>92</v>
      </c>
      <c r="D58" s="1" t="s">
        <v>12386</v>
      </c>
      <c r="E58" s="1" t="str">
        <f>"2320"</f>
        <v>2320</v>
      </c>
      <c r="F58" s="1" t="s">
        <v>975</v>
      </c>
      <c r="G58" s="1" t="s">
        <v>976</v>
      </c>
      <c r="H58" s="1" t="s">
        <v>16</v>
      </c>
      <c r="I58" s="4" t="str">
        <f>"1"</f>
        <v>1</v>
      </c>
      <c r="J58" s="2" t="str">
        <f>"202199"</f>
        <v>202199</v>
      </c>
      <c r="K58" s="3">
        <v>46133</v>
      </c>
      <c r="L58" s="3">
        <v>46133</v>
      </c>
      <c r="M58" s="1" t="s">
        <v>7371</v>
      </c>
      <c r="N58" s="1" t="s">
        <v>12385</v>
      </c>
    </row>
    <row r="59" spans="1:14" s="1" customFormat="1" x14ac:dyDescent="0.35">
      <c r="A59" s="1" t="s">
        <v>0</v>
      </c>
      <c r="B59" s="1" t="s">
        <v>18</v>
      </c>
      <c r="C59" s="1" t="s">
        <v>269</v>
      </c>
      <c r="D59" s="1" t="s">
        <v>12384</v>
      </c>
      <c r="E59" s="1" t="str">
        <f>"2805"</f>
        <v>2805</v>
      </c>
      <c r="F59" s="1" t="str">
        <f>"016594859"</f>
        <v>016594859</v>
      </c>
      <c r="G59" s="1" t="s">
        <v>10660</v>
      </c>
      <c r="H59" s="1" t="s">
        <v>16</v>
      </c>
      <c r="I59" s="4" t="str">
        <f>"1"</f>
        <v>1</v>
      </c>
      <c r="J59" s="2" t="str">
        <f>"13906"</f>
        <v>13906</v>
      </c>
      <c r="K59" s="3">
        <v>46132</v>
      </c>
      <c r="L59" s="3">
        <v>46133</v>
      </c>
      <c r="M59" s="1" t="s">
        <v>12383</v>
      </c>
      <c r="N59" s="1" t="s">
        <v>12382</v>
      </c>
    </row>
    <row r="60" spans="1:14" s="1" customFormat="1" x14ac:dyDescent="0.35">
      <c r="A60" s="1" t="s">
        <v>5171</v>
      </c>
      <c r="B60" s="1" t="s">
        <v>18</v>
      </c>
      <c r="C60" s="1" t="s">
        <v>120</v>
      </c>
      <c r="D60" s="1" t="s">
        <v>12381</v>
      </c>
      <c r="E60" s="1" t="str">
        <f>"2320"</f>
        <v>2320</v>
      </c>
      <c r="F60" s="1" t="str">
        <f>"010907774"</f>
        <v>010907774</v>
      </c>
      <c r="G60" s="1" t="s">
        <v>360</v>
      </c>
      <c r="H60" s="1" t="s">
        <v>16</v>
      </c>
      <c r="I60" s="4" t="str">
        <f>"1"</f>
        <v>1</v>
      </c>
      <c r="J60" s="2" t="str">
        <f>"26436"</f>
        <v>26436</v>
      </c>
      <c r="K60" s="3">
        <v>46095</v>
      </c>
      <c r="L60" s="3">
        <v>46133</v>
      </c>
      <c r="M60" s="1" t="s">
        <v>12380</v>
      </c>
      <c r="N60" s="1" t="s">
        <v>12379</v>
      </c>
    </row>
    <row r="61" spans="1:14" s="1" customFormat="1" x14ac:dyDescent="0.35">
      <c r="A61" s="1" t="s">
        <v>5171</v>
      </c>
      <c r="B61" s="1" t="s">
        <v>18</v>
      </c>
      <c r="C61" s="1" t="s">
        <v>92</v>
      </c>
      <c r="D61" s="1" t="s">
        <v>12378</v>
      </c>
      <c r="E61" s="1" t="str">
        <f>"4910"</f>
        <v>4910</v>
      </c>
      <c r="F61" s="1" t="str">
        <f>"016203116"</f>
        <v>016203116</v>
      </c>
      <c r="G61" s="1" t="s">
        <v>4479</v>
      </c>
      <c r="H61" s="1" t="s">
        <v>215</v>
      </c>
      <c r="I61" s="4" t="str">
        <f>"4"</f>
        <v>4</v>
      </c>
      <c r="J61" s="2">
        <v>5039.3599999999997</v>
      </c>
      <c r="K61" s="3">
        <v>46095</v>
      </c>
      <c r="L61" s="3">
        <v>46134</v>
      </c>
      <c r="M61" s="1" t="s">
        <v>12377</v>
      </c>
      <c r="N61" s="1" t="s">
        <v>12376</v>
      </c>
    </row>
    <row r="62" spans="1:14" s="1" customFormat="1" x14ac:dyDescent="0.35">
      <c r="A62" s="1" t="s">
        <v>5171</v>
      </c>
      <c r="B62" s="1" t="s">
        <v>18</v>
      </c>
      <c r="C62" s="1" t="s">
        <v>120</v>
      </c>
      <c r="D62" s="1" t="s">
        <v>12375</v>
      </c>
      <c r="E62" s="1" t="str">
        <f>"3750"</f>
        <v>3750</v>
      </c>
      <c r="F62" s="1" t="s">
        <v>12191</v>
      </c>
      <c r="G62" s="1" t="s">
        <v>12190</v>
      </c>
      <c r="H62" s="1" t="s">
        <v>16</v>
      </c>
      <c r="I62" s="4" t="str">
        <f>"1"</f>
        <v>1</v>
      </c>
      <c r="J62" s="2" t="str">
        <f>"100"</f>
        <v>100</v>
      </c>
      <c r="K62" s="3">
        <v>46134</v>
      </c>
      <c r="L62" s="3">
        <v>46134</v>
      </c>
      <c r="M62" s="1" t="s">
        <v>12374</v>
      </c>
    </row>
    <row r="63" spans="1:14" s="1" customFormat="1" x14ac:dyDescent="0.35">
      <c r="A63" s="1" t="s">
        <v>5171</v>
      </c>
      <c r="B63" s="1" t="s">
        <v>18</v>
      </c>
      <c r="C63" s="1" t="s">
        <v>92</v>
      </c>
      <c r="D63" s="1" t="s">
        <v>12373</v>
      </c>
      <c r="E63" s="1" t="str">
        <f>"3805"</f>
        <v>3805</v>
      </c>
      <c r="F63" s="1" t="s">
        <v>384</v>
      </c>
      <c r="G63" s="1" t="s">
        <v>385</v>
      </c>
      <c r="H63" s="1" t="s">
        <v>16</v>
      </c>
      <c r="I63" s="4" t="str">
        <f>"1"</f>
        <v>1</v>
      </c>
      <c r="J63" s="2" t="str">
        <f>"96000"</f>
        <v>96000</v>
      </c>
      <c r="K63" s="3">
        <v>46131</v>
      </c>
      <c r="L63" s="3">
        <v>46135</v>
      </c>
      <c r="M63" s="1" t="s">
        <v>12372</v>
      </c>
      <c r="N63" s="1" t="s">
        <v>12268</v>
      </c>
    </row>
    <row r="64" spans="1:14" s="1" customFormat="1" x14ac:dyDescent="0.35">
      <c r="A64" s="1" t="s">
        <v>5171</v>
      </c>
      <c r="B64" s="1" t="s">
        <v>18</v>
      </c>
      <c r="C64" s="1" t="s">
        <v>362</v>
      </c>
      <c r="D64" s="1" t="s">
        <v>12371</v>
      </c>
      <c r="E64" s="1" t="str">
        <f>"3825"</f>
        <v>3825</v>
      </c>
      <c r="F64" s="1" t="str">
        <f>"015065371"</f>
        <v>015065371</v>
      </c>
      <c r="G64" s="1" t="s">
        <v>4206</v>
      </c>
      <c r="H64" s="1" t="s">
        <v>16</v>
      </c>
      <c r="I64" s="4" t="str">
        <f>"1"</f>
        <v>1</v>
      </c>
      <c r="J64" s="2">
        <v>98857.15</v>
      </c>
      <c r="K64" s="3">
        <v>46109</v>
      </c>
      <c r="L64" s="3">
        <v>46135</v>
      </c>
      <c r="M64" s="1" t="s">
        <v>12370</v>
      </c>
      <c r="N64" s="1" t="s">
        <v>12369</v>
      </c>
    </row>
    <row r="65" spans="1:14" s="1" customFormat="1" x14ac:dyDescent="0.35">
      <c r="A65" s="1" t="s">
        <v>5171</v>
      </c>
      <c r="B65" s="1" t="s">
        <v>18</v>
      </c>
      <c r="C65" s="1" t="s">
        <v>12368</v>
      </c>
      <c r="D65" s="1" t="s">
        <v>12367</v>
      </c>
      <c r="E65" s="1" t="str">
        <f>"2320"</f>
        <v>2320</v>
      </c>
      <c r="F65" s="1" t="str">
        <f>"015959568"</f>
        <v>015959568</v>
      </c>
      <c r="G65" s="1" t="s">
        <v>5404</v>
      </c>
      <c r="H65" s="1" t="s">
        <v>16</v>
      </c>
      <c r="I65" s="4" t="str">
        <f>"1"</f>
        <v>1</v>
      </c>
      <c r="J65" s="2" t="str">
        <f>"31613"</f>
        <v>31613</v>
      </c>
      <c r="K65" s="3">
        <v>46130</v>
      </c>
      <c r="L65" s="3">
        <v>46140</v>
      </c>
      <c r="M65" s="1" t="s">
        <v>12366</v>
      </c>
      <c r="N65" s="1" t="s">
        <v>12365</v>
      </c>
    </row>
    <row r="66" spans="1:14" s="1" customFormat="1" x14ac:dyDescent="0.35">
      <c r="A66" s="1" t="s">
        <v>5171</v>
      </c>
      <c r="B66" s="1" t="s">
        <v>18</v>
      </c>
      <c r="C66" s="1" t="s">
        <v>92</v>
      </c>
      <c r="D66" s="1" t="s">
        <v>12364</v>
      </c>
      <c r="E66" s="1" t="str">
        <f>"3805"</f>
        <v>3805</v>
      </c>
      <c r="F66" s="1" t="str">
        <f>"012575636"</f>
        <v>012575636</v>
      </c>
      <c r="G66" s="1" t="s">
        <v>132</v>
      </c>
      <c r="H66" s="1" t="s">
        <v>16</v>
      </c>
      <c r="I66" s="4" t="str">
        <f>"1"</f>
        <v>1</v>
      </c>
      <c r="J66" s="2" t="str">
        <f>"37532"</f>
        <v>37532</v>
      </c>
      <c r="K66" s="3">
        <v>46137</v>
      </c>
      <c r="L66" s="3">
        <v>46140</v>
      </c>
      <c r="M66" s="1" t="s">
        <v>5167</v>
      </c>
      <c r="N66" s="1" t="s">
        <v>102</v>
      </c>
    </row>
    <row r="67" spans="1:14" s="1" customFormat="1" x14ac:dyDescent="0.35">
      <c r="A67" s="1" t="s">
        <v>5171</v>
      </c>
      <c r="B67" s="1" t="s">
        <v>18</v>
      </c>
      <c r="C67" s="1" t="s">
        <v>181</v>
      </c>
      <c r="D67" s="1" t="s">
        <v>12363</v>
      </c>
      <c r="E67" s="1" t="str">
        <f>"2320"</f>
        <v>2320</v>
      </c>
      <c r="F67" s="1" t="str">
        <f>"015959568"</f>
        <v>015959568</v>
      </c>
      <c r="G67" s="1" t="s">
        <v>5404</v>
      </c>
      <c r="H67" s="1" t="s">
        <v>16</v>
      </c>
      <c r="I67" s="4" t="str">
        <f>"1"</f>
        <v>1</v>
      </c>
      <c r="J67" s="2" t="str">
        <f>"31613"</f>
        <v>31613</v>
      </c>
      <c r="K67" s="3">
        <v>46130</v>
      </c>
      <c r="L67" s="3">
        <v>46140</v>
      </c>
      <c r="M67" s="1" t="s">
        <v>12362</v>
      </c>
      <c r="N67" s="1" t="s">
        <v>12361</v>
      </c>
    </row>
    <row r="68" spans="1:14" s="1" customFormat="1" x14ac:dyDescent="0.35">
      <c r="A68" s="1" t="s">
        <v>5171</v>
      </c>
      <c r="B68" s="1" t="s">
        <v>18</v>
      </c>
      <c r="C68" s="1" t="s">
        <v>181</v>
      </c>
      <c r="D68" s="1" t="s">
        <v>12360</v>
      </c>
      <c r="E68" s="1" t="str">
        <f>"5180"</f>
        <v>5180</v>
      </c>
      <c r="F68" s="1" t="str">
        <f>"015636719"</f>
        <v>015636719</v>
      </c>
      <c r="G68" s="1" t="s">
        <v>4502</v>
      </c>
      <c r="H68" s="1" t="s">
        <v>215</v>
      </c>
      <c r="I68" s="4" t="str">
        <f>"2"</f>
        <v>2</v>
      </c>
      <c r="J68" s="2" t="str">
        <f>"60295"</f>
        <v>60295</v>
      </c>
      <c r="K68" s="3">
        <v>46139</v>
      </c>
      <c r="L68" s="3">
        <v>46140</v>
      </c>
      <c r="M68" s="1" t="s">
        <v>5167</v>
      </c>
      <c r="N68" s="1" t="s">
        <v>12359</v>
      </c>
    </row>
    <row r="69" spans="1:14" s="1" customFormat="1" x14ac:dyDescent="0.35">
      <c r="A69" s="1" t="s">
        <v>5171</v>
      </c>
      <c r="B69" s="1" t="s">
        <v>18</v>
      </c>
      <c r="C69" s="1" t="s">
        <v>269</v>
      </c>
      <c r="D69" s="1" t="s">
        <v>12358</v>
      </c>
      <c r="E69" s="1" t="str">
        <f>"2320"</f>
        <v>2320</v>
      </c>
      <c r="F69" s="1" t="str">
        <f>"015959568"</f>
        <v>015959568</v>
      </c>
      <c r="G69" s="1" t="s">
        <v>5404</v>
      </c>
      <c r="H69" s="1" t="s">
        <v>16</v>
      </c>
      <c r="I69" s="4" t="str">
        <f>"1"</f>
        <v>1</v>
      </c>
      <c r="J69" s="2" t="str">
        <f>"31613"</f>
        <v>31613</v>
      </c>
      <c r="K69" s="3">
        <v>46130</v>
      </c>
      <c r="L69" s="3">
        <v>46140</v>
      </c>
      <c r="M69" s="1" t="s">
        <v>12357</v>
      </c>
      <c r="N69" s="1" t="s">
        <v>12356</v>
      </c>
    </row>
    <row r="70" spans="1:14" s="1" customFormat="1" x14ac:dyDescent="0.35">
      <c r="A70" s="1" t="s">
        <v>5171</v>
      </c>
      <c r="B70" s="1" t="s">
        <v>18</v>
      </c>
      <c r="C70" s="1" t="s">
        <v>12118</v>
      </c>
      <c r="D70" s="1" t="s">
        <v>12355</v>
      </c>
      <c r="E70" s="1" t="str">
        <f>"2410"</f>
        <v>2410</v>
      </c>
      <c r="F70" s="1" t="str">
        <f>"001664176"</f>
        <v>001664176</v>
      </c>
      <c r="G70" s="1" t="s">
        <v>989</v>
      </c>
      <c r="H70" s="1" t="s">
        <v>16</v>
      </c>
      <c r="I70" s="4" t="str">
        <f>"1"</f>
        <v>1</v>
      </c>
      <c r="J70" s="2" t="str">
        <f>"39380"</f>
        <v>39380</v>
      </c>
      <c r="K70" s="3">
        <v>46139</v>
      </c>
      <c r="L70" s="3">
        <v>46141</v>
      </c>
      <c r="M70" s="1" t="s">
        <v>12354</v>
      </c>
      <c r="N70" s="1" t="s">
        <v>12353</v>
      </c>
    </row>
    <row r="71" spans="1:14" s="1" customFormat="1" x14ac:dyDescent="0.35">
      <c r="A71" s="1" t="s">
        <v>5171</v>
      </c>
      <c r="B71" s="1" t="s">
        <v>18</v>
      </c>
      <c r="C71" s="1" t="s">
        <v>362</v>
      </c>
      <c r="D71" s="1" t="s">
        <v>12352</v>
      </c>
      <c r="E71" s="1" t="str">
        <f>"3990"</f>
        <v>3990</v>
      </c>
      <c r="F71" s="1" t="str">
        <f>"011217758"</f>
        <v>011217758</v>
      </c>
      <c r="G71" s="1" t="s">
        <v>12351</v>
      </c>
      <c r="H71" s="1" t="s">
        <v>16</v>
      </c>
      <c r="I71" s="4" t="str">
        <f>"1"</f>
        <v>1</v>
      </c>
      <c r="J71" s="2" t="str">
        <f>"7229"</f>
        <v>7229</v>
      </c>
      <c r="K71" s="3">
        <v>46109</v>
      </c>
      <c r="L71" s="3">
        <v>46141</v>
      </c>
      <c r="M71" s="1" t="s">
        <v>12350</v>
      </c>
      <c r="N71" s="1" t="s">
        <v>12349</v>
      </c>
    </row>
    <row r="72" spans="1:14" s="1" customFormat="1" x14ac:dyDescent="0.35">
      <c r="A72" s="1" t="s">
        <v>5171</v>
      </c>
      <c r="B72" s="1" t="s">
        <v>18</v>
      </c>
      <c r="C72" s="1" t="s">
        <v>59</v>
      </c>
      <c r="D72" s="1" t="s">
        <v>12348</v>
      </c>
      <c r="E72" s="1" t="str">
        <f>"2340"</f>
        <v>2340</v>
      </c>
      <c r="F72" s="1" t="s">
        <v>84</v>
      </c>
      <c r="G72" s="1" t="s">
        <v>85</v>
      </c>
      <c r="H72" s="1" t="s">
        <v>16</v>
      </c>
      <c r="I72" s="4" t="str">
        <f>"1"</f>
        <v>1</v>
      </c>
      <c r="J72" s="2">
        <v>31905.14</v>
      </c>
      <c r="K72" s="3">
        <v>46137</v>
      </c>
      <c r="L72" s="3">
        <v>46143</v>
      </c>
      <c r="M72" s="1" t="s">
        <v>12347</v>
      </c>
      <c r="N72" s="1" t="s">
        <v>12346</v>
      </c>
    </row>
    <row r="73" spans="1:14" s="1" customFormat="1" x14ac:dyDescent="0.35">
      <c r="A73" s="1" t="s">
        <v>5171</v>
      </c>
      <c r="B73" s="1" t="s">
        <v>18</v>
      </c>
      <c r="C73" s="1" t="s">
        <v>92</v>
      </c>
      <c r="D73" s="1" t="s">
        <v>12345</v>
      </c>
      <c r="E73" s="1" t="str">
        <f>"3805"</f>
        <v>3805</v>
      </c>
      <c r="F73" s="1" t="s">
        <v>384</v>
      </c>
      <c r="G73" s="1" t="s">
        <v>385</v>
      </c>
      <c r="H73" s="1" t="s">
        <v>16</v>
      </c>
      <c r="I73" s="4" t="str">
        <f>"1"</f>
        <v>1</v>
      </c>
      <c r="J73" s="2" t="str">
        <f>"52222"</f>
        <v>52222</v>
      </c>
      <c r="K73" s="3">
        <v>46137</v>
      </c>
      <c r="L73" s="3">
        <v>46143</v>
      </c>
      <c r="M73" s="1" t="s">
        <v>12344</v>
      </c>
      <c r="N73" s="1" t="s">
        <v>12300</v>
      </c>
    </row>
    <row r="74" spans="1:14" s="1" customFormat="1" x14ac:dyDescent="0.35">
      <c r="A74" s="1" t="s">
        <v>5171</v>
      </c>
      <c r="B74" s="1" t="s">
        <v>18</v>
      </c>
      <c r="C74" s="1" t="s">
        <v>12287</v>
      </c>
      <c r="D74" s="1" t="s">
        <v>12343</v>
      </c>
      <c r="E74" s="1" t="str">
        <f>"2320"</f>
        <v>2320</v>
      </c>
      <c r="F74" s="1" t="str">
        <f>"015756182"</f>
        <v>015756182</v>
      </c>
      <c r="G74" s="1" t="s">
        <v>370</v>
      </c>
      <c r="H74" s="1" t="s">
        <v>16</v>
      </c>
      <c r="I74" s="4" t="str">
        <f>"1"</f>
        <v>1</v>
      </c>
      <c r="J74" s="2" t="str">
        <f>"28200"</f>
        <v>28200</v>
      </c>
      <c r="K74" s="3">
        <v>46132</v>
      </c>
      <c r="L74" s="3">
        <v>46144</v>
      </c>
      <c r="M74" s="1" t="s">
        <v>12342</v>
      </c>
      <c r="N74" s="1" t="s">
        <v>12341</v>
      </c>
    </row>
    <row r="75" spans="1:14" s="1" customFormat="1" x14ac:dyDescent="0.35">
      <c r="A75" s="1" t="s">
        <v>5171</v>
      </c>
      <c r="B75" s="1" t="s">
        <v>18</v>
      </c>
      <c r="C75" s="1" t="s">
        <v>152</v>
      </c>
      <c r="D75" s="1" t="s">
        <v>12340</v>
      </c>
      <c r="E75" s="1" t="str">
        <f>"2320"</f>
        <v>2320</v>
      </c>
      <c r="F75" s="1" t="str">
        <f>"009651039"</f>
        <v>009651039</v>
      </c>
      <c r="G75" s="1" t="s">
        <v>271</v>
      </c>
      <c r="H75" s="1" t="s">
        <v>16</v>
      </c>
      <c r="I75" s="4" t="str">
        <f>"1"</f>
        <v>1</v>
      </c>
      <c r="J75" s="2" t="str">
        <f>"3123"</f>
        <v>3123</v>
      </c>
      <c r="K75" s="3">
        <v>46130</v>
      </c>
      <c r="L75" s="3">
        <v>46144</v>
      </c>
      <c r="M75" s="1" t="s">
        <v>5167</v>
      </c>
      <c r="N75" s="1" t="s">
        <v>12339</v>
      </c>
    </row>
    <row r="76" spans="1:14" s="1" customFormat="1" x14ac:dyDescent="0.35">
      <c r="A76" s="1" t="s">
        <v>5171</v>
      </c>
      <c r="B76" s="1" t="s">
        <v>18</v>
      </c>
      <c r="C76" s="1" t="s">
        <v>152</v>
      </c>
      <c r="D76" s="1" t="s">
        <v>12338</v>
      </c>
      <c r="E76" s="1" t="str">
        <f>"2320"</f>
        <v>2320</v>
      </c>
      <c r="F76" s="1" t="s">
        <v>975</v>
      </c>
      <c r="G76" s="1" t="s">
        <v>976</v>
      </c>
      <c r="H76" s="1" t="s">
        <v>16</v>
      </c>
      <c r="I76" s="4" t="str">
        <f>"1"</f>
        <v>1</v>
      </c>
      <c r="J76" s="2" t="str">
        <f>"202199"</f>
        <v>202199</v>
      </c>
      <c r="K76" s="3">
        <v>46130</v>
      </c>
      <c r="L76" s="3">
        <v>46144</v>
      </c>
      <c r="M76" s="1" t="s">
        <v>5167</v>
      </c>
      <c r="N76" s="1" t="s">
        <v>12337</v>
      </c>
    </row>
    <row r="77" spans="1:14" s="1" customFormat="1" x14ac:dyDescent="0.35">
      <c r="A77" s="1" t="s">
        <v>5171</v>
      </c>
      <c r="B77" s="1" t="s">
        <v>18</v>
      </c>
      <c r="C77" s="1" t="s">
        <v>152</v>
      </c>
      <c r="D77" s="1" t="s">
        <v>12336</v>
      </c>
      <c r="E77" s="1" t="str">
        <f>"2320"</f>
        <v>2320</v>
      </c>
      <c r="F77" s="1" t="str">
        <f>"015756182"</f>
        <v>015756182</v>
      </c>
      <c r="G77" s="1" t="s">
        <v>370</v>
      </c>
      <c r="H77" s="1" t="s">
        <v>16</v>
      </c>
      <c r="I77" s="4" t="str">
        <f>"1"</f>
        <v>1</v>
      </c>
      <c r="J77" s="2" t="str">
        <f>"28200"</f>
        <v>28200</v>
      </c>
      <c r="K77" s="3">
        <v>46132</v>
      </c>
      <c r="L77" s="3">
        <v>46144</v>
      </c>
      <c r="M77" s="1" t="s">
        <v>5167</v>
      </c>
      <c r="N77" s="1" t="s">
        <v>12335</v>
      </c>
    </row>
    <row r="78" spans="1:14" s="1" customFormat="1" x14ac:dyDescent="0.35">
      <c r="A78" s="1" t="s">
        <v>5171</v>
      </c>
      <c r="B78" s="1" t="s">
        <v>18</v>
      </c>
      <c r="C78" s="1" t="s">
        <v>269</v>
      </c>
      <c r="D78" s="1" t="s">
        <v>12334</v>
      </c>
      <c r="E78" s="1" t="str">
        <f>"2320"</f>
        <v>2320</v>
      </c>
      <c r="F78" s="1" t="str">
        <f>"015756182"</f>
        <v>015756182</v>
      </c>
      <c r="G78" s="1" t="s">
        <v>370</v>
      </c>
      <c r="H78" s="1" t="s">
        <v>16</v>
      </c>
      <c r="I78" s="4" t="str">
        <f>"1"</f>
        <v>1</v>
      </c>
      <c r="J78" s="2" t="str">
        <f>"28200"</f>
        <v>28200</v>
      </c>
      <c r="K78" s="3">
        <v>46132</v>
      </c>
      <c r="L78" s="3">
        <v>46144</v>
      </c>
      <c r="M78" s="1" t="s">
        <v>12333</v>
      </c>
      <c r="N78" s="1" t="s">
        <v>12332</v>
      </c>
    </row>
    <row r="79" spans="1:14" s="1" customFormat="1" x14ac:dyDescent="0.35">
      <c r="A79" s="1" t="s">
        <v>5171</v>
      </c>
      <c r="B79" s="1" t="s">
        <v>18</v>
      </c>
      <c r="C79" s="1" t="s">
        <v>269</v>
      </c>
      <c r="D79" s="1" t="s">
        <v>12331</v>
      </c>
      <c r="E79" s="1" t="str">
        <f>"9515"</f>
        <v>9515</v>
      </c>
      <c r="F79" s="1" t="str">
        <f>"013624564"</f>
        <v>013624564</v>
      </c>
      <c r="G79" s="1" t="s">
        <v>344</v>
      </c>
      <c r="H79" s="1" t="s">
        <v>345</v>
      </c>
      <c r="I79" s="4" t="str">
        <f>"2"</f>
        <v>2</v>
      </c>
      <c r="J79" s="2">
        <v>558.99</v>
      </c>
      <c r="K79" s="3">
        <v>46133</v>
      </c>
      <c r="L79" s="3">
        <v>46144</v>
      </c>
      <c r="M79" s="1" t="s">
        <v>12330</v>
      </c>
      <c r="N79" s="1" t="s">
        <v>346</v>
      </c>
    </row>
    <row r="80" spans="1:14" s="1" customFormat="1" x14ac:dyDescent="0.35">
      <c r="A80" s="1" t="s">
        <v>5171</v>
      </c>
      <c r="B80" s="1" t="s">
        <v>18</v>
      </c>
      <c r="C80" s="1" t="s">
        <v>120</v>
      </c>
      <c r="D80" s="1" t="s">
        <v>12329</v>
      </c>
      <c r="E80" s="1" t="str">
        <f>"5411"</f>
        <v>5411</v>
      </c>
      <c r="F80" s="1" t="s">
        <v>3211</v>
      </c>
      <c r="G80" s="1" t="s">
        <v>3212</v>
      </c>
      <c r="H80" s="1" t="s">
        <v>16</v>
      </c>
      <c r="I80" s="4" t="str">
        <f>"1"</f>
        <v>1</v>
      </c>
      <c r="J80" s="2">
        <v>250162.84</v>
      </c>
      <c r="K80" s="3">
        <v>46112</v>
      </c>
      <c r="L80" s="3">
        <v>46146</v>
      </c>
      <c r="M80" s="1" t="s">
        <v>12328</v>
      </c>
      <c r="N80" s="1" t="s">
        <v>12327</v>
      </c>
    </row>
    <row r="81" spans="1:14" s="1" customFormat="1" x14ac:dyDescent="0.35">
      <c r="A81" s="1" t="s">
        <v>5171</v>
      </c>
      <c r="B81" s="1" t="s">
        <v>18</v>
      </c>
      <c r="C81" s="1" t="s">
        <v>181</v>
      </c>
      <c r="D81" s="1" t="s">
        <v>12326</v>
      </c>
      <c r="E81" s="1" t="str">
        <f>"2330"</f>
        <v>2330</v>
      </c>
      <c r="F81" s="1" t="str">
        <f>"014491775"</f>
        <v>014491775</v>
      </c>
      <c r="G81" s="1" t="s">
        <v>6365</v>
      </c>
      <c r="H81" s="1" t="s">
        <v>16</v>
      </c>
      <c r="I81" s="4" t="str">
        <f>"1"</f>
        <v>1</v>
      </c>
      <c r="J81" s="2" t="str">
        <f>"35000"</f>
        <v>35000</v>
      </c>
      <c r="K81" s="3">
        <v>46091</v>
      </c>
      <c r="L81" s="3">
        <v>46146</v>
      </c>
      <c r="M81" s="1" t="s">
        <v>12325</v>
      </c>
      <c r="N81" s="1" t="s">
        <v>12324</v>
      </c>
    </row>
    <row r="82" spans="1:14" s="1" customFormat="1" x14ac:dyDescent="0.35">
      <c r="A82" s="1" t="s">
        <v>5171</v>
      </c>
      <c r="B82" s="1" t="s">
        <v>18</v>
      </c>
      <c r="C82" s="1" t="s">
        <v>12148</v>
      </c>
      <c r="D82" s="1" t="s">
        <v>12323</v>
      </c>
      <c r="E82" s="1" t="str">
        <f>"1550"</f>
        <v>1550</v>
      </c>
      <c r="F82" s="1" t="s">
        <v>199</v>
      </c>
      <c r="G82" s="1" t="s">
        <v>200</v>
      </c>
      <c r="H82" s="1" t="s">
        <v>16</v>
      </c>
      <c r="I82" s="4" t="str">
        <f>"1"</f>
        <v>1</v>
      </c>
      <c r="J82" s="2" t="str">
        <f>"1000"</f>
        <v>1000</v>
      </c>
      <c r="K82" s="3">
        <v>46148</v>
      </c>
      <c r="L82" s="3">
        <v>46148</v>
      </c>
      <c r="M82" s="1" t="s">
        <v>5167</v>
      </c>
      <c r="N82" s="1" t="s">
        <v>12321</v>
      </c>
    </row>
    <row r="83" spans="1:14" s="1" customFormat="1" x14ac:dyDescent="0.35">
      <c r="A83" s="1" t="s">
        <v>5171</v>
      </c>
      <c r="B83" s="1" t="s">
        <v>18</v>
      </c>
      <c r="C83" s="1" t="s">
        <v>12148</v>
      </c>
      <c r="D83" s="1" t="s">
        <v>12322</v>
      </c>
      <c r="E83" s="1" t="str">
        <f>"1550"</f>
        <v>1550</v>
      </c>
      <c r="F83" s="1" t="s">
        <v>199</v>
      </c>
      <c r="G83" s="1" t="s">
        <v>200</v>
      </c>
      <c r="H83" s="1" t="s">
        <v>16</v>
      </c>
      <c r="I83" s="4" t="str">
        <f>"1"</f>
        <v>1</v>
      </c>
      <c r="J83" s="2" t="str">
        <f>"300"</f>
        <v>300</v>
      </c>
      <c r="K83" s="3">
        <v>46148</v>
      </c>
      <c r="L83" s="3">
        <v>46148</v>
      </c>
      <c r="M83" s="1" t="s">
        <v>5167</v>
      </c>
      <c r="N83" s="1" t="s">
        <v>12321</v>
      </c>
    </row>
    <row r="84" spans="1:14" s="1" customFormat="1" x14ac:dyDescent="0.35">
      <c r="A84" s="1" t="s">
        <v>5171</v>
      </c>
      <c r="B84" s="1" t="s">
        <v>18</v>
      </c>
      <c r="C84" s="1" t="s">
        <v>80</v>
      </c>
      <c r="D84" s="1" t="s">
        <v>12320</v>
      </c>
      <c r="E84" s="1" t="str">
        <f>"2420"</f>
        <v>2420</v>
      </c>
      <c r="F84" s="1" t="str">
        <f>"001776868"</f>
        <v>001776868</v>
      </c>
      <c r="G84" s="1" t="s">
        <v>98</v>
      </c>
      <c r="H84" s="1" t="s">
        <v>16</v>
      </c>
      <c r="I84" s="4" t="str">
        <f>"1"</f>
        <v>1</v>
      </c>
      <c r="J84" s="2" t="str">
        <f>"67700"</f>
        <v>67700</v>
      </c>
      <c r="K84" s="3">
        <v>46147</v>
      </c>
      <c r="L84" s="3">
        <v>46149</v>
      </c>
      <c r="M84" s="1" t="s">
        <v>5167</v>
      </c>
      <c r="N84" s="1" t="s">
        <v>12319</v>
      </c>
    </row>
    <row r="85" spans="1:14" s="1" customFormat="1" x14ac:dyDescent="0.35">
      <c r="A85" s="1" t="s">
        <v>5171</v>
      </c>
      <c r="B85" s="1" t="s">
        <v>18</v>
      </c>
      <c r="C85" s="1" t="s">
        <v>269</v>
      </c>
      <c r="D85" s="1" t="s">
        <v>12318</v>
      </c>
      <c r="E85" s="1" t="str">
        <f>"1550"</f>
        <v>1550</v>
      </c>
      <c r="F85" s="1" t="s">
        <v>199</v>
      </c>
      <c r="G85" s="1" t="s">
        <v>200</v>
      </c>
      <c r="H85" s="1" t="s">
        <v>16</v>
      </c>
      <c r="I85" s="4" t="str">
        <f>"1"</f>
        <v>1</v>
      </c>
      <c r="J85" s="2" t="str">
        <f>"300"</f>
        <v>300</v>
      </c>
      <c r="K85" s="3">
        <v>46146</v>
      </c>
      <c r="L85" s="3">
        <v>46149</v>
      </c>
      <c r="M85" s="1" t="s">
        <v>12317</v>
      </c>
      <c r="N85" s="1" t="s">
        <v>12316</v>
      </c>
    </row>
    <row r="86" spans="1:14" s="1" customFormat="1" x14ac:dyDescent="0.35">
      <c r="A86" s="1" t="s">
        <v>5171</v>
      </c>
      <c r="B86" s="1" t="s">
        <v>18</v>
      </c>
      <c r="C86" s="1" t="s">
        <v>269</v>
      </c>
      <c r="D86" s="1" t="s">
        <v>12315</v>
      </c>
      <c r="E86" s="1" t="str">
        <f>"1550"</f>
        <v>1550</v>
      </c>
      <c r="F86" s="1" t="s">
        <v>199</v>
      </c>
      <c r="G86" s="1" t="s">
        <v>200</v>
      </c>
      <c r="H86" s="1" t="s">
        <v>16</v>
      </c>
      <c r="I86" s="4" t="str">
        <f>"1"</f>
        <v>1</v>
      </c>
      <c r="J86" s="2" t="str">
        <f>"300"</f>
        <v>300</v>
      </c>
      <c r="K86" s="3">
        <v>46146</v>
      </c>
      <c r="L86" s="3">
        <v>46149</v>
      </c>
      <c r="M86" s="1" t="s">
        <v>12314</v>
      </c>
      <c r="N86" s="1" t="s">
        <v>12309</v>
      </c>
    </row>
    <row r="87" spans="1:14" s="1" customFormat="1" x14ac:dyDescent="0.35">
      <c r="A87" s="1" t="s">
        <v>5171</v>
      </c>
      <c r="B87" s="1" t="s">
        <v>18</v>
      </c>
      <c r="C87" s="1" t="s">
        <v>269</v>
      </c>
      <c r="D87" s="1" t="s">
        <v>12313</v>
      </c>
      <c r="E87" s="1" t="str">
        <f>"1550"</f>
        <v>1550</v>
      </c>
      <c r="F87" s="1" t="s">
        <v>199</v>
      </c>
      <c r="G87" s="1" t="s">
        <v>200</v>
      </c>
      <c r="H87" s="1" t="s">
        <v>16</v>
      </c>
      <c r="I87" s="4" t="str">
        <f>"1"</f>
        <v>1</v>
      </c>
      <c r="J87" s="2" t="str">
        <f>"1000"</f>
        <v>1000</v>
      </c>
      <c r="K87" s="3">
        <v>46146</v>
      </c>
      <c r="L87" s="3">
        <v>46149</v>
      </c>
      <c r="M87" s="1" t="s">
        <v>12312</v>
      </c>
      <c r="N87" s="1" t="s">
        <v>12309</v>
      </c>
    </row>
    <row r="88" spans="1:14" s="1" customFormat="1" x14ac:dyDescent="0.35">
      <c r="A88" s="1" t="s">
        <v>5171</v>
      </c>
      <c r="B88" s="1" t="s">
        <v>18</v>
      </c>
      <c r="C88" s="1" t="s">
        <v>269</v>
      </c>
      <c r="D88" s="1" t="s">
        <v>12311</v>
      </c>
      <c r="E88" s="1" t="str">
        <f>"1550"</f>
        <v>1550</v>
      </c>
      <c r="F88" s="1" t="s">
        <v>199</v>
      </c>
      <c r="G88" s="1" t="s">
        <v>200</v>
      </c>
      <c r="H88" s="1" t="s">
        <v>16</v>
      </c>
      <c r="I88" s="4" t="str">
        <f>"1"</f>
        <v>1</v>
      </c>
      <c r="J88" s="2" t="str">
        <f>"300"</f>
        <v>300</v>
      </c>
      <c r="K88" s="3">
        <v>46146</v>
      </c>
      <c r="L88" s="3">
        <v>46149</v>
      </c>
      <c r="M88" s="1" t="s">
        <v>12310</v>
      </c>
      <c r="N88" s="1" t="s">
        <v>12309</v>
      </c>
    </row>
    <row r="89" spans="1:14" s="1" customFormat="1" x14ac:dyDescent="0.35">
      <c r="A89" s="1" t="s">
        <v>5171</v>
      </c>
      <c r="B89" s="1" t="s">
        <v>18</v>
      </c>
      <c r="C89" s="1" t="s">
        <v>59</v>
      </c>
      <c r="D89" s="1" t="s">
        <v>12308</v>
      </c>
      <c r="E89" s="1" t="str">
        <f>"2330"</f>
        <v>2330</v>
      </c>
      <c r="F89" s="1" t="str">
        <f>"016131206"</f>
        <v>016131206</v>
      </c>
      <c r="G89" s="1" t="s">
        <v>979</v>
      </c>
      <c r="H89" s="1" t="s">
        <v>16</v>
      </c>
      <c r="I89" s="4" t="str">
        <f>"1"</f>
        <v>1</v>
      </c>
      <c r="J89" s="2" t="str">
        <f>"35000"</f>
        <v>35000</v>
      </c>
      <c r="K89" s="3">
        <v>46137</v>
      </c>
      <c r="L89" s="3">
        <v>46151</v>
      </c>
      <c r="M89" s="1" t="s">
        <v>12307</v>
      </c>
      <c r="N89" s="1" t="s">
        <v>12306</v>
      </c>
    </row>
    <row r="90" spans="1:14" s="1" customFormat="1" x14ac:dyDescent="0.35">
      <c r="A90" s="1" t="s">
        <v>5171</v>
      </c>
      <c r="B90" s="1" t="s">
        <v>18</v>
      </c>
      <c r="C90" s="1" t="s">
        <v>59</v>
      </c>
      <c r="D90" s="1" t="s">
        <v>12305</v>
      </c>
      <c r="E90" s="1" t="str">
        <f>"2320"</f>
        <v>2320</v>
      </c>
      <c r="F90" s="1" t="s">
        <v>2218</v>
      </c>
      <c r="G90" s="1" t="s">
        <v>2219</v>
      </c>
      <c r="H90" s="1" t="s">
        <v>16</v>
      </c>
      <c r="I90" s="4" t="str">
        <f>"1"</f>
        <v>1</v>
      </c>
      <c r="J90" s="2" t="str">
        <f>"10000"</f>
        <v>10000</v>
      </c>
      <c r="K90" s="3">
        <v>46137</v>
      </c>
      <c r="L90" s="3">
        <v>46151</v>
      </c>
      <c r="M90" s="1" t="s">
        <v>12304</v>
      </c>
      <c r="N90" s="1" t="s">
        <v>12303</v>
      </c>
    </row>
    <row r="91" spans="1:14" s="1" customFormat="1" x14ac:dyDescent="0.35">
      <c r="A91" s="1" t="s">
        <v>5171</v>
      </c>
      <c r="B91" s="1" t="s">
        <v>18</v>
      </c>
      <c r="C91" s="1" t="s">
        <v>92</v>
      </c>
      <c r="D91" s="1" t="s">
        <v>12302</v>
      </c>
      <c r="E91" s="1" t="str">
        <f>"3805"</f>
        <v>3805</v>
      </c>
      <c r="F91" s="1" t="str">
        <f>"012575636"</f>
        <v>012575636</v>
      </c>
      <c r="G91" s="1" t="s">
        <v>132</v>
      </c>
      <c r="H91" s="1" t="s">
        <v>16</v>
      </c>
      <c r="I91" s="4" t="str">
        <f>"1"</f>
        <v>1</v>
      </c>
      <c r="J91" s="2" t="str">
        <f>"37532"</f>
        <v>37532</v>
      </c>
      <c r="K91" s="3">
        <v>46137</v>
      </c>
      <c r="L91" s="3">
        <v>46151</v>
      </c>
      <c r="M91" s="1" t="s">
        <v>12301</v>
      </c>
      <c r="N91" s="1" t="s">
        <v>12300</v>
      </c>
    </row>
    <row r="92" spans="1:14" s="1" customFormat="1" x14ac:dyDescent="0.35">
      <c r="A92" s="1" t="s">
        <v>5171</v>
      </c>
      <c r="B92" s="1" t="s">
        <v>18</v>
      </c>
      <c r="C92" s="1" t="s">
        <v>269</v>
      </c>
      <c r="D92" s="1" t="s">
        <v>12299</v>
      </c>
      <c r="E92" s="1" t="str">
        <f>"2320"</f>
        <v>2320</v>
      </c>
      <c r="F92" s="1" t="str">
        <f>"007529289"</f>
        <v>007529289</v>
      </c>
      <c r="G92" s="1" t="s">
        <v>271</v>
      </c>
      <c r="H92" s="1" t="s">
        <v>16</v>
      </c>
      <c r="I92" s="4" t="str">
        <f>"1"</f>
        <v>1</v>
      </c>
      <c r="J92" s="2" t="str">
        <f>"4202"</f>
        <v>4202</v>
      </c>
      <c r="K92" s="3">
        <v>46139</v>
      </c>
      <c r="L92" s="3">
        <v>46151</v>
      </c>
      <c r="M92" s="1" t="s">
        <v>12298</v>
      </c>
      <c r="N92" s="1" t="s">
        <v>274</v>
      </c>
    </row>
    <row r="93" spans="1:14" s="1" customFormat="1" x14ac:dyDescent="0.35">
      <c r="A93" s="1" t="s">
        <v>5171</v>
      </c>
      <c r="B93" s="1" t="s">
        <v>18</v>
      </c>
      <c r="C93" s="1" t="s">
        <v>269</v>
      </c>
      <c r="D93" s="1" t="s">
        <v>12297</v>
      </c>
      <c r="E93" s="1" t="str">
        <f>"2310"</f>
        <v>2310</v>
      </c>
      <c r="F93" s="1" t="str">
        <f>"011350996"</f>
        <v>011350996</v>
      </c>
      <c r="G93" s="1" t="s">
        <v>1489</v>
      </c>
      <c r="H93" s="1" t="s">
        <v>16</v>
      </c>
      <c r="I93" s="4" t="str">
        <f>"1"</f>
        <v>1</v>
      </c>
      <c r="J93" s="2" t="str">
        <f>"80000"</f>
        <v>80000</v>
      </c>
      <c r="K93" s="3">
        <v>46139</v>
      </c>
      <c r="L93" s="3">
        <v>46151</v>
      </c>
      <c r="M93" s="1" t="s">
        <v>12296</v>
      </c>
      <c r="N93" s="1" t="s">
        <v>274</v>
      </c>
    </row>
    <row r="94" spans="1:14" s="1" customFormat="1" x14ac:dyDescent="0.35">
      <c r="A94" s="1" t="s">
        <v>5171</v>
      </c>
      <c r="B94" s="1" t="s">
        <v>18</v>
      </c>
      <c r="C94" s="1" t="s">
        <v>354</v>
      </c>
      <c r="D94" s="1" t="s">
        <v>12295</v>
      </c>
      <c r="E94" s="1" t="str">
        <f>"9905"</f>
        <v>9905</v>
      </c>
      <c r="F94" s="1" t="s">
        <v>150</v>
      </c>
      <c r="G94" s="1" t="s">
        <v>151</v>
      </c>
      <c r="H94" s="1" t="s">
        <v>16</v>
      </c>
      <c r="I94" s="4" t="str">
        <f>"2"</f>
        <v>2</v>
      </c>
      <c r="J94" s="2">
        <v>11623.5</v>
      </c>
      <c r="K94" s="3">
        <v>46141</v>
      </c>
      <c r="L94" s="3">
        <v>46151</v>
      </c>
      <c r="M94" s="1" t="s">
        <v>12294</v>
      </c>
      <c r="N94" s="1" t="s">
        <v>12293</v>
      </c>
    </row>
    <row r="95" spans="1:14" s="1" customFormat="1" x14ac:dyDescent="0.35">
      <c r="A95" s="1" t="s">
        <v>5171</v>
      </c>
      <c r="B95" s="1" t="s">
        <v>18</v>
      </c>
      <c r="C95" s="1" t="s">
        <v>59</v>
      </c>
      <c r="D95" s="1" t="s">
        <v>12292</v>
      </c>
      <c r="E95" s="1" t="str">
        <f>"5410"</f>
        <v>5410</v>
      </c>
      <c r="F95" s="1" t="str">
        <f>"013343158"</f>
        <v>013343158</v>
      </c>
      <c r="G95" s="1" t="s">
        <v>11373</v>
      </c>
      <c r="H95" s="1" t="s">
        <v>16</v>
      </c>
      <c r="I95" s="4" t="str">
        <f>"1"</f>
        <v>1</v>
      </c>
      <c r="J95" s="2" t="str">
        <f>"174043"</f>
        <v>174043</v>
      </c>
      <c r="K95" s="3">
        <v>46153</v>
      </c>
      <c r="L95" s="3">
        <v>46154</v>
      </c>
      <c r="M95" s="1" t="s">
        <v>5167</v>
      </c>
      <c r="N95" s="1" t="s">
        <v>12291</v>
      </c>
    </row>
    <row r="96" spans="1:14" s="1" customFormat="1" x14ac:dyDescent="0.35">
      <c r="A96" s="1" t="s">
        <v>5171</v>
      </c>
      <c r="B96" s="1" t="s">
        <v>18</v>
      </c>
      <c r="C96" s="1" t="s">
        <v>173</v>
      </c>
      <c r="D96" s="1" t="s">
        <v>12290</v>
      </c>
      <c r="E96" s="1" t="str">
        <f>"2320"</f>
        <v>2320</v>
      </c>
      <c r="F96" s="1" t="str">
        <f>"015895221"</f>
        <v>015895221</v>
      </c>
      <c r="G96" s="1" t="s">
        <v>4227</v>
      </c>
      <c r="H96" s="1" t="s">
        <v>16</v>
      </c>
      <c r="I96" s="4" t="str">
        <f>"1"</f>
        <v>1</v>
      </c>
      <c r="J96" s="2" t="str">
        <f>"121000"</f>
        <v>121000</v>
      </c>
      <c r="K96" s="3">
        <v>46145</v>
      </c>
      <c r="L96" s="3">
        <v>46154</v>
      </c>
      <c r="M96" s="1" t="s">
        <v>12289</v>
      </c>
      <c r="N96" s="1" t="s">
        <v>12288</v>
      </c>
    </row>
    <row r="97" spans="1:14" s="1" customFormat="1" x14ac:dyDescent="0.35">
      <c r="A97" s="1" t="s">
        <v>0</v>
      </c>
      <c r="B97" s="1" t="s">
        <v>18</v>
      </c>
      <c r="C97" s="1" t="s">
        <v>12287</v>
      </c>
      <c r="D97" s="1" t="s">
        <v>12286</v>
      </c>
      <c r="E97" s="1" t="str">
        <f>"6115"</f>
        <v>6115</v>
      </c>
      <c r="F97" s="1" t="s">
        <v>1106</v>
      </c>
      <c r="G97" s="1" t="s">
        <v>1107</v>
      </c>
      <c r="H97" s="1" t="s">
        <v>16</v>
      </c>
      <c r="I97" s="4" t="str">
        <f>"1"</f>
        <v>1</v>
      </c>
      <c r="J97" s="2" t="str">
        <f>"3500"</f>
        <v>3500</v>
      </c>
      <c r="K97" s="3">
        <v>46154</v>
      </c>
      <c r="L97" s="3">
        <v>46155</v>
      </c>
      <c r="M97" s="1" t="s">
        <v>12285</v>
      </c>
      <c r="N97" s="1" t="s">
        <v>12284</v>
      </c>
    </row>
    <row r="98" spans="1:14" s="1" customFormat="1" x14ac:dyDescent="0.35">
      <c r="A98" s="1" t="s">
        <v>0</v>
      </c>
      <c r="B98" s="1" t="s">
        <v>18</v>
      </c>
      <c r="C98" s="1" t="s">
        <v>59</v>
      </c>
      <c r="D98" s="1" t="s">
        <v>12283</v>
      </c>
      <c r="E98" s="1" t="str">
        <f>"5855"</f>
        <v>5855</v>
      </c>
      <c r="F98" s="1" t="str">
        <f>"015345931"</f>
        <v>015345931</v>
      </c>
      <c r="G98" s="1" t="s">
        <v>1379</v>
      </c>
      <c r="H98" s="1" t="s">
        <v>16</v>
      </c>
      <c r="I98" s="4" t="str">
        <f>"16"</f>
        <v>16</v>
      </c>
      <c r="J98" s="2" t="str">
        <f>"970"</f>
        <v>970</v>
      </c>
      <c r="K98" s="3">
        <v>46154</v>
      </c>
      <c r="L98" s="3">
        <v>46155</v>
      </c>
      <c r="M98" s="1" t="s">
        <v>12282</v>
      </c>
      <c r="N98" s="1" t="s">
        <v>12281</v>
      </c>
    </row>
    <row r="99" spans="1:14" s="1" customFormat="1" x14ac:dyDescent="0.35">
      <c r="A99" s="1" t="s">
        <v>5171</v>
      </c>
      <c r="B99" s="1" t="s">
        <v>18</v>
      </c>
      <c r="C99" s="1" t="s">
        <v>59</v>
      </c>
      <c r="D99" s="1" t="s">
        <v>12280</v>
      </c>
      <c r="E99" s="1" t="str">
        <f>"8145"</f>
        <v>8145</v>
      </c>
      <c r="F99" s="1" t="s">
        <v>408</v>
      </c>
      <c r="G99" s="1" t="s">
        <v>409</v>
      </c>
      <c r="H99" s="1" t="s">
        <v>16</v>
      </c>
      <c r="I99" s="4" t="str">
        <f>"18"</f>
        <v>18</v>
      </c>
      <c r="J99" s="2" t="str">
        <f>"100"</f>
        <v>100</v>
      </c>
      <c r="K99" s="3">
        <v>46110</v>
      </c>
      <c r="L99" s="3">
        <v>46155</v>
      </c>
      <c r="M99" s="1" t="s">
        <v>12279</v>
      </c>
      <c r="N99" s="1" t="s">
        <v>12278</v>
      </c>
    </row>
    <row r="100" spans="1:14" s="1" customFormat="1" x14ac:dyDescent="0.35">
      <c r="A100" s="1" t="s">
        <v>5171</v>
      </c>
      <c r="B100" s="1" t="s">
        <v>18</v>
      </c>
      <c r="C100" s="1" t="s">
        <v>59</v>
      </c>
      <c r="D100" s="1" t="s">
        <v>12277</v>
      </c>
      <c r="E100" s="1" t="str">
        <f>"6230"</f>
        <v>6230</v>
      </c>
      <c r="F100" s="1" t="str">
        <f>"016245491"</f>
        <v>016245491</v>
      </c>
      <c r="G100" s="1" t="s">
        <v>230</v>
      </c>
      <c r="H100" s="1" t="s">
        <v>16</v>
      </c>
      <c r="I100" s="4" t="str">
        <f>"16"</f>
        <v>16</v>
      </c>
      <c r="J100" s="2" t="str">
        <f>"300"</f>
        <v>300</v>
      </c>
      <c r="K100" s="3">
        <v>46154</v>
      </c>
      <c r="L100" s="3">
        <v>46155</v>
      </c>
      <c r="M100" s="1" t="s">
        <v>5167</v>
      </c>
      <c r="N100" s="1" t="s">
        <v>12276</v>
      </c>
    </row>
    <row r="101" spans="1:14" s="1" customFormat="1" x14ac:dyDescent="0.35">
      <c r="A101" s="1" t="s">
        <v>5171</v>
      </c>
      <c r="B101" s="1" t="s">
        <v>18</v>
      </c>
      <c r="C101" s="1" t="s">
        <v>354</v>
      </c>
      <c r="D101" s="1" t="s">
        <v>12275</v>
      </c>
      <c r="E101" s="1" t="str">
        <f>"2320"</f>
        <v>2320</v>
      </c>
      <c r="F101" s="1" t="s">
        <v>975</v>
      </c>
      <c r="G101" s="1" t="s">
        <v>976</v>
      </c>
      <c r="H101" s="1" t="s">
        <v>16</v>
      </c>
      <c r="I101" s="4" t="str">
        <f>"1"</f>
        <v>1</v>
      </c>
      <c r="J101" s="2" t="str">
        <f>"80000"</f>
        <v>80000</v>
      </c>
      <c r="K101" s="3">
        <v>46119</v>
      </c>
      <c r="L101" s="3">
        <v>46155</v>
      </c>
      <c r="M101" s="1" t="s">
        <v>12274</v>
      </c>
      <c r="N101" s="1" t="s">
        <v>12273</v>
      </c>
    </row>
    <row r="102" spans="1:14" s="1" customFormat="1" x14ac:dyDescent="0.35">
      <c r="A102" s="1" t="s">
        <v>5171</v>
      </c>
      <c r="B102" s="1" t="s">
        <v>18</v>
      </c>
      <c r="C102" s="1" t="s">
        <v>362</v>
      </c>
      <c r="D102" s="1" t="s">
        <v>12272</v>
      </c>
      <c r="E102" s="1" t="str">
        <f>"1550"</f>
        <v>1550</v>
      </c>
      <c r="F102" s="1" t="s">
        <v>199</v>
      </c>
      <c r="G102" s="1" t="s">
        <v>200</v>
      </c>
      <c r="H102" s="1" t="s">
        <v>16</v>
      </c>
      <c r="I102" s="4" t="str">
        <f>"2"</f>
        <v>2</v>
      </c>
      <c r="J102" s="2">
        <v>12602.94</v>
      </c>
      <c r="K102" s="3">
        <v>46151</v>
      </c>
      <c r="L102" s="3">
        <v>46155</v>
      </c>
      <c r="M102" s="1" t="s">
        <v>5167</v>
      </c>
      <c r="N102" s="1" t="s">
        <v>12271</v>
      </c>
    </row>
    <row r="103" spans="1:14" s="1" customFormat="1" x14ac:dyDescent="0.35">
      <c r="A103" s="1" t="s">
        <v>5171</v>
      </c>
      <c r="B103" s="1" t="s">
        <v>18</v>
      </c>
      <c r="C103" s="1" t="s">
        <v>92</v>
      </c>
      <c r="D103" s="1" t="s">
        <v>12270</v>
      </c>
      <c r="E103" s="1" t="str">
        <f>"3805"</f>
        <v>3805</v>
      </c>
      <c r="F103" s="1" t="s">
        <v>384</v>
      </c>
      <c r="G103" s="1" t="s">
        <v>385</v>
      </c>
      <c r="H103" s="1" t="s">
        <v>16</v>
      </c>
      <c r="I103" s="4" t="str">
        <f>"1"</f>
        <v>1</v>
      </c>
      <c r="J103" s="2">
        <v>259283.8</v>
      </c>
      <c r="K103" s="3">
        <v>46131</v>
      </c>
      <c r="L103" s="3">
        <v>46157</v>
      </c>
      <c r="M103" s="1" t="s">
        <v>12269</v>
      </c>
      <c r="N103" s="1" t="s">
        <v>12268</v>
      </c>
    </row>
    <row r="104" spans="1:14" s="1" customFormat="1" x14ac:dyDescent="0.35">
      <c r="A104" s="1" t="s">
        <v>5171</v>
      </c>
      <c r="B104" s="1" t="s">
        <v>18</v>
      </c>
      <c r="C104" s="1" t="s">
        <v>181</v>
      </c>
      <c r="D104" s="1" t="s">
        <v>12267</v>
      </c>
      <c r="E104" s="1" t="str">
        <f>"1005"</f>
        <v>1005</v>
      </c>
      <c r="F104" s="1" t="str">
        <f>"015629457"</f>
        <v>015629457</v>
      </c>
      <c r="G104" s="1" t="s">
        <v>3040</v>
      </c>
      <c r="H104" s="1" t="s">
        <v>3041</v>
      </c>
      <c r="I104" s="4" t="str">
        <f>"10"</f>
        <v>10</v>
      </c>
      <c r="J104" s="2">
        <v>382.53</v>
      </c>
      <c r="K104" s="3">
        <v>46127</v>
      </c>
      <c r="L104" s="3">
        <v>46157</v>
      </c>
      <c r="M104" s="1" t="s">
        <v>12266</v>
      </c>
      <c r="N104" s="1" t="s">
        <v>12265</v>
      </c>
    </row>
    <row r="105" spans="1:14" s="1" customFormat="1" x14ac:dyDescent="0.35">
      <c r="A105" s="1" t="s">
        <v>5171</v>
      </c>
      <c r="B105" s="1" t="s">
        <v>18</v>
      </c>
      <c r="C105" s="1" t="s">
        <v>181</v>
      </c>
      <c r="D105" s="1" t="s">
        <v>12264</v>
      </c>
      <c r="E105" s="1" t="str">
        <f>"2320"</f>
        <v>2320</v>
      </c>
      <c r="F105" s="1" t="str">
        <f>"015402017"</f>
        <v>015402017</v>
      </c>
      <c r="G105" s="1" t="s">
        <v>414</v>
      </c>
      <c r="H105" s="1" t="s">
        <v>16</v>
      </c>
      <c r="I105" s="4" t="str">
        <f>"1"</f>
        <v>1</v>
      </c>
      <c r="J105" s="2" t="str">
        <f>"204469"</f>
        <v>204469</v>
      </c>
      <c r="K105" s="3">
        <v>46132</v>
      </c>
      <c r="L105" s="3">
        <v>46157</v>
      </c>
      <c r="M105" s="1" t="s">
        <v>12263</v>
      </c>
      <c r="N105" s="1" t="s">
        <v>12262</v>
      </c>
    </row>
    <row r="106" spans="1:14" s="1" customFormat="1" x14ac:dyDescent="0.35">
      <c r="A106" s="1" t="s">
        <v>5171</v>
      </c>
      <c r="B106" s="1" t="s">
        <v>18</v>
      </c>
      <c r="C106" s="1" t="s">
        <v>168</v>
      </c>
      <c r="D106" s="1" t="s">
        <v>12261</v>
      </c>
      <c r="E106" s="1" t="str">
        <f>"4240"</f>
        <v>4240</v>
      </c>
      <c r="F106" s="1" t="s">
        <v>2930</v>
      </c>
      <c r="G106" s="1" t="s">
        <v>2931</v>
      </c>
      <c r="H106" s="1" t="s">
        <v>16</v>
      </c>
      <c r="I106" s="4" t="str">
        <f>"1"</f>
        <v>1</v>
      </c>
      <c r="J106" s="2" t="str">
        <f>"49800"</f>
        <v>49800</v>
      </c>
      <c r="K106" s="3">
        <v>46144</v>
      </c>
      <c r="L106" s="3">
        <v>46158</v>
      </c>
      <c r="M106" s="1" t="s">
        <v>12260</v>
      </c>
      <c r="N106" s="1" t="s">
        <v>12259</v>
      </c>
    </row>
    <row r="107" spans="1:14" s="1" customFormat="1" x14ac:dyDescent="0.35">
      <c r="A107" s="1" t="s">
        <v>5171</v>
      </c>
      <c r="B107" s="1" t="s">
        <v>18</v>
      </c>
      <c r="C107" s="1" t="s">
        <v>173</v>
      </c>
      <c r="D107" s="1" t="s">
        <v>12258</v>
      </c>
      <c r="E107" s="1" t="str">
        <f>"4240"</f>
        <v>4240</v>
      </c>
      <c r="F107" s="1" t="s">
        <v>2930</v>
      </c>
      <c r="G107" s="1" t="s">
        <v>2931</v>
      </c>
      <c r="H107" s="1" t="s">
        <v>16</v>
      </c>
      <c r="I107" s="4" t="str">
        <f>"1"</f>
        <v>1</v>
      </c>
      <c r="J107" s="2" t="str">
        <f>"49800"</f>
        <v>49800</v>
      </c>
      <c r="K107" s="3">
        <v>46145</v>
      </c>
      <c r="L107" s="3">
        <v>46158</v>
      </c>
      <c r="M107" s="1" t="s">
        <v>12257</v>
      </c>
      <c r="N107" s="1" t="s">
        <v>12256</v>
      </c>
    </row>
    <row r="108" spans="1:14" s="1" customFormat="1" x14ac:dyDescent="0.35">
      <c r="A108" s="1" t="s">
        <v>5171</v>
      </c>
      <c r="B108" s="1" t="s">
        <v>18</v>
      </c>
      <c r="C108" s="1" t="s">
        <v>181</v>
      </c>
      <c r="D108" s="1" t="s">
        <v>12255</v>
      </c>
      <c r="E108" s="1" t="str">
        <f>"4240"</f>
        <v>4240</v>
      </c>
      <c r="F108" s="1" t="s">
        <v>2930</v>
      </c>
      <c r="G108" s="1" t="s">
        <v>2931</v>
      </c>
      <c r="H108" s="1" t="s">
        <v>16</v>
      </c>
      <c r="I108" s="4" t="str">
        <f>"1"</f>
        <v>1</v>
      </c>
      <c r="J108" s="2" t="str">
        <f>"49800"</f>
        <v>49800</v>
      </c>
      <c r="K108" s="3">
        <v>46146</v>
      </c>
      <c r="L108" s="3">
        <v>46158</v>
      </c>
      <c r="M108" s="1" t="s">
        <v>12254</v>
      </c>
      <c r="N108" s="1" t="s">
        <v>12253</v>
      </c>
    </row>
    <row r="109" spans="1:14" s="1" customFormat="1" x14ac:dyDescent="0.35">
      <c r="A109" s="1" t="s">
        <v>5171</v>
      </c>
      <c r="B109" s="1" t="s">
        <v>18</v>
      </c>
      <c r="C109" s="1" t="s">
        <v>354</v>
      </c>
      <c r="D109" s="1" t="s">
        <v>12252</v>
      </c>
      <c r="E109" s="1" t="str">
        <f>"2330"</f>
        <v>2330</v>
      </c>
      <c r="F109" s="1" t="s">
        <v>70</v>
      </c>
      <c r="G109" s="1" t="s">
        <v>71</v>
      </c>
      <c r="H109" s="1" t="s">
        <v>16</v>
      </c>
      <c r="I109" s="4" t="str">
        <f>"2"</f>
        <v>2</v>
      </c>
      <c r="J109" s="2" t="str">
        <f>"9295"</f>
        <v>9295</v>
      </c>
      <c r="K109" s="3">
        <v>46146</v>
      </c>
      <c r="L109" s="3">
        <v>46158</v>
      </c>
      <c r="M109" s="1" t="s">
        <v>12251</v>
      </c>
      <c r="N109" s="1" t="s">
        <v>12250</v>
      </c>
    </row>
    <row r="110" spans="1:14" s="1" customFormat="1" x14ac:dyDescent="0.35">
      <c r="A110" s="1" t="s">
        <v>5171</v>
      </c>
      <c r="B110" s="1" t="s">
        <v>18</v>
      </c>
      <c r="C110" s="1" t="s">
        <v>152</v>
      </c>
      <c r="D110" s="1" t="s">
        <v>12249</v>
      </c>
      <c r="E110" s="1" t="str">
        <f>"7010"</f>
        <v>7010</v>
      </c>
      <c r="F110" s="1" t="str">
        <f>"016447863"</f>
        <v>016447863</v>
      </c>
      <c r="G110" s="1" t="s">
        <v>1422</v>
      </c>
      <c r="H110" s="1" t="s">
        <v>16</v>
      </c>
      <c r="I110" s="4" t="str">
        <f>"13"</f>
        <v>13</v>
      </c>
      <c r="J110" s="2" t="str">
        <f>"2105"</f>
        <v>2105</v>
      </c>
      <c r="K110" s="3">
        <v>46156</v>
      </c>
      <c r="L110" s="3">
        <v>46159</v>
      </c>
      <c r="M110" s="1" t="s">
        <v>5167</v>
      </c>
      <c r="N110" s="1" t="s">
        <v>12248</v>
      </c>
    </row>
    <row r="111" spans="1:14" s="1" customFormat="1" x14ac:dyDescent="0.35">
      <c r="A111" s="1" t="s">
        <v>5171</v>
      </c>
      <c r="B111" s="1" t="s">
        <v>18</v>
      </c>
      <c r="C111" s="1" t="s">
        <v>73</v>
      </c>
      <c r="D111" s="1" t="s">
        <v>12247</v>
      </c>
      <c r="E111" s="1" t="str">
        <f>"8145"</f>
        <v>8145</v>
      </c>
      <c r="F111" s="1" t="str">
        <f>"015090245"</f>
        <v>015090245</v>
      </c>
      <c r="G111" s="1" t="s">
        <v>12246</v>
      </c>
      <c r="H111" s="1" t="s">
        <v>16</v>
      </c>
      <c r="I111" s="4" t="str">
        <f>"1"</f>
        <v>1</v>
      </c>
      <c r="J111" s="2">
        <v>107422.14</v>
      </c>
      <c r="K111" s="3">
        <v>46144</v>
      </c>
      <c r="L111" s="3">
        <v>46160</v>
      </c>
      <c r="M111" s="1" t="s">
        <v>12245</v>
      </c>
      <c r="N111" s="1" t="s">
        <v>12244</v>
      </c>
    </row>
    <row r="112" spans="1:14" s="1" customFormat="1" x14ac:dyDescent="0.35">
      <c r="A112" s="1" t="s">
        <v>5171</v>
      </c>
      <c r="B112" s="1" t="s">
        <v>18</v>
      </c>
      <c r="C112" s="1" t="s">
        <v>92</v>
      </c>
      <c r="D112" s="1" t="s">
        <v>12243</v>
      </c>
      <c r="E112" s="1" t="str">
        <f>"3805"</f>
        <v>3805</v>
      </c>
      <c r="F112" s="1" t="str">
        <f>"015524487"</f>
        <v>015524487</v>
      </c>
      <c r="G112" s="1" t="s">
        <v>6632</v>
      </c>
      <c r="H112" s="1" t="s">
        <v>16</v>
      </c>
      <c r="I112" s="4" t="str">
        <f>"1"</f>
        <v>1</v>
      </c>
      <c r="J112" s="2" t="str">
        <f>"42630"</f>
        <v>42630</v>
      </c>
      <c r="K112" s="3">
        <v>46158</v>
      </c>
      <c r="L112" s="3">
        <v>46161</v>
      </c>
      <c r="M112" s="1" t="s">
        <v>5167</v>
      </c>
      <c r="N112" s="1" t="s">
        <v>12240</v>
      </c>
    </row>
    <row r="113" spans="1:14" s="1" customFormat="1" x14ac:dyDescent="0.35">
      <c r="A113" s="1" t="s">
        <v>5171</v>
      </c>
      <c r="B113" s="1" t="s">
        <v>18</v>
      </c>
      <c r="C113" s="1" t="s">
        <v>92</v>
      </c>
      <c r="D113" s="1" t="s">
        <v>12242</v>
      </c>
      <c r="E113" s="1" t="str">
        <f>"3805"</f>
        <v>3805</v>
      </c>
      <c r="F113" s="1" t="str">
        <f>"015524487"</f>
        <v>015524487</v>
      </c>
      <c r="G113" s="1" t="s">
        <v>6632</v>
      </c>
      <c r="H113" s="1" t="s">
        <v>16</v>
      </c>
      <c r="I113" s="4" t="str">
        <f>"1"</f>
        <v>1</v>
      </c>
      <c r="J113" s="2" t="str">
        <f>"42630"</f>
        <v>42630</v>
      </c>
      <c r="K113" s="3">
        <v>46158</v>
      </c>
      <c r="L113" s="3">
        <v>46161</v>
      </c>
      <c r="M113" s="1" t="s">
        <v>5167</v>
      </c>
      <c r="N113" s="1" t="s">
        <v>12240</v>
      </c>
    </row>
    <row r="114" spans="1:14" s="1" customFormat="1" x14ac:dyDescent="0.35">
      <c r="A114" s="1" t="s">
        <v>5171</v>
      </c>
      <c r="B114" s="1" t="s">
        <v>18</v>
      </c>
      <c r="C114" s="1" t="s">
        <v>92</v>
      </c>
      <c r="D114" s="1" t="s">
        <v>12241</v>
      </c>
      <c r="E114" s="1" t="str">
        <f>"3805"</f>
        <v>3805</v>
      </c>
      <c r="F114" s="1" t="str">
        <f>"012171083"</f>
        <v>012171083</v>
      </c>
      <c r="G114" s="1" t="s">
        <v>5489</v>
      </c>
      <c r="H114" s="1" t="s">
        <v>16</v>
      </c>
      <c r="I114" s="4" t="str">
        <f>"1"</f>
        <v>1</v>
      </c>
      <c r="J114" s="2" t="str">
        <f>"230053"</f>
        <v>230053</v>
      </c>
      <c r="K114" s="3">
        <v>46158</v>
      </c>
      <c r="L114" s="3">
        <v>46161</v>
      </c>
      <c r="M114" s="1" t="s">
        <v>5167</v>
      </c>
      <c r="N114" s="1" t="s">
        <v>12240</v>
      </c>
    </row>
    <row r="115" spans="1:14" s="1" customFormat="1" x14ac:dyDescent="0.35">
      <c r="A115" s="1" t="s">
        <v>5171</v>
      </c>
      <c r="B115" s="1" t="s">
        <v>18</v>
      </c>
      <c r="C115" s="1" t="s">
        <v>269</v>
      </c>
      <c r="D115" s="1" t="s">
        <v>12239</v>
      </c>
      <c r="E115" s="1" t="str">
        <f>"2320"</f>
        <v>2320</v>
      </c>
      <c r="F115" s="1" t="str">
        <f>"005424150"</f>
        <v>005424150</v>
      </c>
      <c r="G115" s="1" t="s">
        <v>2303</v>
      </c>
      <c r="H115" s="1" t="s">
        <v>16</v>
      </c>
      <c r="I115" s="4" t="str">
        <f>"1"</f>
        <v>1</v>
      </c>
      <c r="J115" s="2" t="str">
        <f>"6587"</f>
        <v>6587</v>
      </c>
      <c r="K115" s="3">
        <v>46139</v>
      </c>
      <c r="L115" s="3">
        <v>46161</v>
      </c>
      <c r="M115" s="1" t="s">
        <v>12238</v>
      </c>
      <c r="N115" s="1" t="s">
        <v>274</v>
      </c>
    </row>
    <row r="116" spans="1:14" s="1" customFormat="1" x14ac:dyDescent="0.35">
      <c r="A116" s="1" t="s">
        <v>5171</v>
      </c>
      <c r="B116" s="1" t="s">
        <v>18</v>
      </c>
      <c r="C116" s="1" t="s">
        <v>269</v>
      </c>
      <c r="D116" s="1" t="s">
        <v>12237</v>
      </c>
      <c r="E116" s="1" t="str">
        <f>"1740"</f>
        <v>1740</v>
      </c>
      <c r="F116" s="1" t="str">
        <f>"014685158"</f>
        <v>014685158</v>
      </c>
      <c r="G116" s="1" t="s">
        <v>11553</v>
      </c>
      <c r="H116" s="1" t="s">
        <v>16</v>
      </c>
      <c r="I116" s="4" t="str">
        <f>"1"</f>
        <v>1</v>
      </c>
      <c r="J116" s="2" t="str">
        <f>"32982"</f>
        <v>32982</v>
      </c>
      <c r="K116" s="3">
        <v>46139</v>
      </c>
      <c r="L116" s="3">
        <v>46161</v>
      </c>
      <c r="M116" s="1" t="s">
        <v>12236</v>
      </c>
      <c r="N116" s="1" t="s">
        <v>274</v>
      </c>
    </row>
    <row r="117" spans="1:14" s="1" customFormat="1" x14ac:dyDescent="0.35">
      <c r="A117" s="1" t="s">
        <v>5216</v>
      </c>
      <c r="B117" s="1" t="s">
        <v>18</v>
      </c>
      <c r="C117" s="1" t="s">
        <v>362</v>
      </c>
      <c r="D117" s="1" t="s">
        <v>12235</v>
      </c>
      <c r="E117" s="1" t="str">
        <f>"2320"</f>
        <v>2320</v>
      </c>
      <c r="F117" s="1" t="str">
        <f>"013808604"</f>
        <v>013808604</v>
      </c>
      <c r="G117" s="1" t="s">
        <v>414</v>
      </c>
      <c r="H117" s="1" t="s">
        <v>16</v>
      </c>
      <c r="I117" s="4" t="str">
        <f>"1"</f>
        <v>1</v>
      </c>
      <c r="J117" s="2" t="str">
        <f>"89900"</f>
        <v>89900</v>
      </c>
      <c r="K117" s="3">
        <v>46161</v>
      </c>
      <c r="L117" s="3">
        <v>46162</v>
      </c>
      <c r="M117" s="1" t="s">
        <v>12234</v>
      </c>
      <c r="N117" s="1" t="s">
        <v>12209</v>
      </c>
    </row>
    <row r="118" spans="1:14" s="1" customFormat="1" x14ac:dyDescent="0.35">
      <c r="A118" s="1" t="s">
        <v>5171</v>
      </c>
      <c r="B118" s="1" t="s">
        <v>18</v>
      </c>
      <c r="C118" s="1" t="s">
        <v>152</v>
      </c>
      <c r="D118" s="1" t="s">
        <v>12233</v>
      </c>
      <c r="E118" s="1" t="str">
        <f>"5340"</f>
        <v>5340</v>
      </c>
      <c r="F118" s="1" t="str">
        <f>"015752279"</f>
        <v>015752279</v>
      </c>
      <c r="G118" s="1" t="s">
        <v>1439</v>
      </c>
      <c r="H118" s="1" t="s">
        <v>16</v>
      </c>
      <c r="I118" s="4" t="str">
        <f>"1"</f>
        <v>1</v>
      </c>
      <c r="J118" s="2">
        <v>503.5</v>
      </c>
      <c r="K118" s="3">
        <v>46156</v>
      </c>
      <c r="L118" s="3">
        <v>46165</v>
      </c>
      <c r="M118" s="1" t="s">
        <v>12232</v>
      </c>
      <c r="N118" s="1" t="s">
        <v>12231</v>
      </c>
    </row>
    <row r="119" spans="1:14" s="1" customFormat="1" x14ac:dyDescent="0.35">
      <c r="A119" s="1" t="s">
        <v>5171</v>
      </c>
      <c r="B119" s="1" t="s">
        <v>18</v>
      </c>
      <c r="C119" s="1" t="s">
        <v>362</v>
      </c>
      <c r="D119" s="1" t="s">
        <v>12230</v>
      </c>
      <c r="E119" s="1" t="str">
        <f>"6310"</f>
        <v>6310</v>
      </c>
      <c r="F119" s="1" t="s">
        <v>2371</v>
      </c>
      <c r="G119" s="1" t="s">
        <v>2372</v>
      </c>
      <c r="H119" s="1" t="s">
        <v>16</v>
      </c>
      <c r="I119" s="4" t="str">
        <f>"2"</f>
        <v>2</v>
      </c>
      <c r="J119" s="2" t="str">
        <f>"14300"</f>
        <v>14300</v>
      </c>
      <c r="K119" s="3">
        <v>46151</v>
      </c>
      <c r="L119" s="3">
        <v>46165</v>
      </c>
      <c r="M119" s="1" t="s">
        <v>12229</v>
      </c>
      <c r="N119" s="1" t="s">
        <v>12228</v>
      </c>
    </row>
    <row r="120" spans="1:14" s="1" customFormat="1" x14ac:dyDescent="0.35">
      <c r="A120" s="1" t="s">
        <v>5171</v>
      </c>
      <c r="B120" s="1" t="s">
        <v>18</v>
      </c>
      <c r="C120" s="1" t="s">
        <v>59</v>
      </c>
      <c r="D120" s="1" t="s">
        <v>12227</v>
      </c>
      <c r="E120" s="1" t="str">
        <f>"5855"</f>
        <v>5855</v>
      </c>
      <c r="F120" s="1" t="str">
        <f>"015345931"</f>
        <v>015345931</v>
      </c>
      <c r="G120" s="1" t="s">
        <v>1379</v>
      </c>
      <c r="H120" s="1" t="s">
        <v>16</v>
      </c>
      <c r="I120" s="4" t="str">
        <f>"16"</f>
        <v>16</v>
      </c>
      <c r="J120" s="2" t="str">
        <f>"970"</f>
        <v>970</v>
      </c>
      <c r="K120" s="3">
        <v>46163</v>
      </c>
      <c r="L120" s="3">
        <v>46166</v>
      </c>
      <c r="M120" s="1" t="s">
        <v>5167</v>
      </c>
      <c r="N120" s="1" t="s">
        <v>12226</v>
      </c>
    </row>
    <row r="121" spans="1:14" s="1" customFormat="1" x14ac:dyDescent="0.35">
      <c r="A121" s="1" t="s">
        <v>0</v>
      </c>
      <c r="B121" s="1" t="s">
        <v>18</v>
      </c>
      <c r="C121" s="1" t="s">
        <v>181</v>
      </c>
      <c r="D121" s="1" t="s">
        <v>12225</v>
      </c>
      <c r="E121" s="1" t="str">
        <f>"1005"</f>
        <v>1005</v>
      </c>
      <c r="F121" s="1" t="str">
        <f>"007042930"</f>
        <v>007042930</v>
      </c>
      <c r="G121" s="1" t="s">
        <v>12224</v>
      </c>
      <c r="H121" s="1" t="s">
        <v>16</v>
      </c>
      <c r="I121" s="4" t="str">
        <f>"1"</f>
        <v>1</v>
      </c>
      <c r="J121" s="2">
        <v>2266.88</v>
      </c>
      <c r="K121" s="3">
        <v>46160</v>
      </c>
      <c r="L121" s="3">
        <v>46169</v>
      </c>
      <c r="M121" s="1" t="s">
        <v>12223</v>
      </c>
      <c r="N121" s="1" t="s">
        <v>12222</v>
      </c>
    </row>
    <row r="122" spans="1:14" s="1" customFormat="1" x14ac:dyDescent="0.35">
      <c r="A122" s="1" t="s">
        <v>5171</v>
      </c>
      <c r="B122" s="1" t="s">
        <v>18</v>
      </c>
      <c r="C122" s="1" t="s">
        <v>362</v>
      </c>
      <c r="D122" s="1" t="s">
        <v>12221</v>
      </c>
      <c r="E122" s="1" t="str">
        <f>"3805"</f>
        <v>3805</v>
      </c>
      <c r="F122" s="1" t="s">
        <v>384</v>
      </c>
      <c r="G122" s="1" t="s">
        <v>385</v>
      </c>
      <c r="H122" s="1" t="s">
        <v>16</v>
      </c>
      <c r="I122" s="4" t="str">
        <f>"1"</f>
        <v>1</v>
      </c>
      <c r="J122" s="2" t="str">
        <f>"7500"</f>
        <v>7500</v>
      </c>
      <c r="K122" s="3">
        <v>46109</v>
      </c>
      <c r="L122" s="3">
        <v>46169</v>
      </c>
      <c r="M122" s="1" t="s">
        <v>12220</v>
      </c>
      <c r="N122" s="1" t="s">
        <v>12219</v>
      </c>
    </row>
    <row r="123" spans="1:14" s="1" customFormat="1" x14ac:dyDescent="0.35">
      <c r="A123" s="1" t="s">
        <v>5171</v>
      </c>
      <c r="B123" s="1" t="s">
        <v>18</v>
      </c>
      <c r="C123" s="1" t="s">
        <v>362</v>
      </c>
      <c r="D123" s="1" t="s">
        <v>12218</v>
      </c>
      <c r="E123" s="1" t="str">
        <f>"5660"</f>
        <v>5660</v>
      </c>
      <c r="F123" s="1" t="str">
        <f>"002248663"</f>
        <v>002248663</v>
      </c>
      <c r="G123" s="1" t="s">
        <v>12217</v>
      </c>
      <c r="H123" s="1" t="s">
        <v>12216</v>
      </c>
      <c r="I123" s="4" t="str">
        <f>"9"</f>
        <v>9</v>
      </c>
      <c r="J123" s="2">
        <v>132.62</v>
      </c>
      <c r="K123" s="3">
        <v>46151</v>
      </c>
      <c r="L123" s="3">
        <v>46170</v>
      </c>
      <c r="M123" s="1" t="s">
        <v>12215</v>
      </c>
      <c r="N123" s="1" t="s">
        <v>12214</v>
      </c>
    </row>
    <row r="124" spans="1:14" s="1" customFormat="1" x14ac:dyDescent="0.35">
      <c r="A124" s="1" t="s">
        <v>5171</v>
      </c>
      <c r="B124" s="1" t="s">
        <v>18</v>
      </c>
      <c r="C124" s="1" t="s">
        <v>362</v>
      </c>
      <c r="D124" s="1" t="s">
        <v>12213</v>
      </c>
      <c r="E124" s="1" t="str">
        <f>"3930"</f>
        <v>3930</v>
      </c>
      <c r="F124" s="1" t="s">
        <v>1476</v>
      </c>
      <c r="G124" s="1" t="s">
        <v>1477</v>
      </c>
      <c r="H124" s="1" t="s">
        <v>16</v>
      </c>
      <c r="I124" s="4" t="str">
        <f>"1"</f>
        <v>1</v>
      </c>
      <c r="J124" s="2" t="str">
        <f>"101000"</f>
        <v>101000</v>
      </c>
      <c r="K124" s="3">
        <v>46151</v>
      </c>
      <c r="L124" s="3">
        <v>46170</v>
      </c>
      <c r="M124" s="1" t="s">
        <v>12212</v>
      </c>
      <c r="N124" s="1" t="s">
        <v>12211</v>
      </c>
    </row>
    <row r="125" spans="1:14" s="1" customFormat="1" x14ac:dyDescent="0.35">
      <c r="A125" s="1" t="s">
        <v>5171</v>
      </c>
      <c r="B125" s="1" t="s">
        <v>18</v>
      </c>
      <c r="C125" s="1" t="s">
        <v>362</v>
      </c>
      <c r="D125" s="1" t="s">
        <v>12210</v>
      </c>
      <c r="E125" s="1" t="str">
        <f>"2320"</f>
        <v>2320</v>
      </c>
      <c r="F125" s="1" t="str">
        <f>"015402017"</f>
        <v>015402017</v>
      </c>
      <c r="G125" s="1" t="s">
        <v>414</v>
      </c>
      <c r="H125" s="1" t="s">
        <v>16</v>
      </c>
      <c r="I125" s="4" t="str">
        <f>"1"</f>
        <v>1</v>
      </c>
      <c r="J125" s="2" t="str">
        <f>"204469"</f>
        <v>204469</v>
      </c>
      <c r="K125" s="3">
        <v>46161</v>
      </c>
      <c r="L125" s="3">
        <v>46170</v>
      </c>
      <c r="M125" s="1" t="s">
        <v>5167</v>
      </c>
      <c r="N125" s="1" t="s">
        <v>12209</v>
      </c>
    </row>
    <row r="126" spans="1:14" s="1" customFormat="1" x14ac:dyDescent="0.35">
      <c r="A126" s="1" t="s">
        <v>5171</v>
      </c>
      <c r="B126" s="1" t="s">
        <v>18</v>
      </c>
      <c r="C126" s="1" t="s">
        <v>362</v>
      </c>
      <c r="D126" s="1" t="s">
        <v>12208</v>
      </c>
      <c r="E126" s="1" t="str">
        <f>"7910"</f>
        <v>7910</v>
      </c>
      <c r="F126" s="1" t="str">
        <f>"016064502"</f>
        <v>016064502</v>
      </c>
      <c r="G126" s="1" t="s">
        <v>7242</v>
      </c>
      <c r="H126" s="1" t="s">
        <v>16</v>
      </c>
      <c r="I126" s="4" t="str">
        <f>"1"</f>
        <v>1</v>
      </c>
      <c r="J126" s="2">
        <v>171.85</v>
      </c>
      <c r="K126" s="3">
        <v>46169</v>
      </c>
      <c r="L126" s="3">
        <v>46170</v>
      </c>
      <c r="M126" s="1" t="s">
        <v>5167</v>
      </c>
      <c r="N126" s="1" t="s">
        <v>12207</v>
      </c>
    </row>
    <row r="127" spans="1:14" s="1" customFormat="1" x14ac:dyDescent="0.35">
      <c r="A127" s="1" t="s">
        <v>5171</v>
      </c>
      <c r="B127" s="1" t="s">
        <v>18</v>
      </c>
      <c r="C127" s="1" t="s">
        <v>23</v>
      </c>
      <c r="D127" s="1" t="s">
        <v>12206</v>
      </c>
      <c r="E127" s="1" t="str">
        <f>"1240"</f>
        <v>1240</v>
      </c>
      <c r="F127" s="1" t="str">
        <f>"016821828"</f>
        <v>016821828</v>
      </c>
      <c r="G127" s="1" t="s">
        <v>1159</v>
      </c>
      <c r="H127" s="1" t="s">
        <v>16</v>
      </c>
      <c r="I127" s="4" t="str">
        <f>"1"</f>
        <v>1</v>
      </c>
      <c r="J127" s="2" t="str">
        <f>"100772"</f>
        <v>100772</v>
      </c>
      <c r="K127" s="3">
        <v>46153</v>
      </c>
      <c r="L127" s="3">
        <v>46171</v>
      </c>
      <c r="M127" s="1" t="s">
        <v>12205</v>
      </c>
      <c r="N127" s="1" t="s">
        <v>12204</v>
      </c>
    </row>
    <row r="128" spans="1:14" s="1" customFormat="1" x14ac:dyDescent="0.35">
      <c r="A128" s="1" t="s">
        <v>5171</v>
      </c>
      <c r="B128" s="1" t="s">
        <v>18</v>
      </c>
      <c r="C128" s="1" t="s">
        <v>120</v>
      </c>
      <c r="D128" s="1" t="s">
        <v>12203</v>
      </c>
      <c r="E128" s="1" t="str">
        <f>"3805"</f>
        <v>3805</v>
      </c>
      <c r="F128" s="1" t="str">
        <f>"013208783"</f>
        <v>013208783</v>
      </c>
      <c r="G128" s="1" t="s">
        <v>132</v>
      </c>
      <c r="H128" s="1" t="s">
        <v>16</v>
      </c>
      <c r="I128" s="4" t="str">
        <f>"1"</f>
        <v>1</v>
      </c>
      <c r="J128" s="2">
        <v>113747.02</v>
      </c>
      <c r="K128" s="3">
        <v>46128</v>
      </c>
      <c r="L128" s="3">
        <v>46171</v>
      </c>
      <c r="M128" s="1" t="s">
        <v>12202</v>
      </c>
    </row>
    <row r="129" spans="1:14" s="1" customFormat="1" x14ac:dyDescent="0.35">
      <c r="A129" s="1" t="s">
        <v>5171</v>
      </c>
      <c r="B129" s="1" t="s">
        <v>18</v>
      </c>
      <c r="C129" s="1" t="s">
        <v>120</v>
      </c>
      <c r="D129" s="1" t="s">
        <v>12201</v>
      </c>
      <c r="E129" s="1" t="str">
        <f>"4110"</f>
        <v>4110</v>
      </c>
      <c r="F129" s="1" t="str">
        <f>"011079078"</f>
        <v>011079078</v>
      </c>
      <c r="G129" s="1" t="s">
        <v>12200</v>
      </c>
      <c r="H129" s="1" t="s">
        <v>16</v>
      </c>
      <c r="I129" s="4" t="str">
        <f>"1"</f>
        <v>1</v>
      </c>
      <c r="J129" s="2" t="str">
        <f>"6387"</f>
        <v>6387</v>
      </c>
      <c r="K129" s="3">
        <v>46128</v>
      </c>
      <c r="L129" s="3">
        <v>46171</v>
      </c>
      <c r="M129" s="1" t="s">
        <v>12199</v>
      </c>
    </row>
    <row r="130" spans="1:14" s="1" customFormat="1" x14ac:dyDescent="0.35">
      <c r="A130" s="1" t="s">
        <v>5171</v>
      </c>
      <c r="B130" s="1" t="s">
        <v>18</v>
      </c>
      <c r="C130" s="1" t="s">
        <v>120</v>
      </c>
      <c r="D130" s="1" t="s">
        <v>12198</v>
      </c>
      <c r="E130" s="1" t="str">
        <f>"5430"</f>
        <v>5430</v>
      </c>
      <c r="F130" s="1" t="str">
        <f>"012769756"</f>
        <v>012769756</v>
      </c>
      <c r="G130" s="1" t="s">
        <v>12197</v>
      </c>
      <c r="H130" s="1" t="s">
        <v>16</v>
      </c>
      <c r="I130" s="4" t="str">
        <f>"2"</f>
        <v>2</v>
      </c>
      <c r="J130" s="2" t="str">
        <f>"10732"</f>
        <v>10732</v>
      </c>
      <c r="K130" s="3">
        <v>46128</v>
      </c>
      <c r="L130" s="3">
        <v>46171</v>
      </c>
      <c r="M130" s="1" t="s">
        <v>12196</v>
      </c>
    </row>
    <row r="131" spans="1:14" s="1" customFormat="1" x14ac:dyDescent="0.35">
      <c r="A131" s="1" t="s">
        <v>5171</v>
      </c>
      <c r="B131" s="1" t="s">
        <v>18</v>
      </c>
      <c r="C131" s="1" t="s">
        <v>120</v>
      </c>
      <c r="D131" s="1" t="s">
        <v>12195</v>
      </c>
      <c r="E131" s="1" t="str">
        <f>"4730"</f>
        <v>4730</v>
      </c>
      <c r="F131" s="1" t="str">
        <f>"015060084"</f>
        <v>015060084</v>
      </c>
      <c r="G131" s="1" t="s">
        <v>12194</v>
      </c>
      <c r="H131" s="1" t="s">
        <v>16</v>
      </c>
      <c r="I131" s="4" t="str">
        <f>"2"</f>
        <v>2</v>
      </c>
      <c r="J131" s="2">
        <v>3171.17</v>
      </c>
      <c r="K131" s="3">
        <v>46128</v>
      </c>
      <c r="L131" s="3">
        <v>46171</v>
      </c>
      <c r="M131" s="1" t="s">
        <v>12193</v>
      </c>
    </row>
    <row r="132" spans="1:14" s="1" customFormat="1" x14ac:dyDescent="0.35">
      <c r="A132" s="1" t="s">
        <v>5171</v>
      </c>
      <c r="B132" s="1" t="s">
        <v>18</v>
      </c>
      <c r="C132" s="1" t="s">
        <v>120</v>
      </c>
      <c r="D132" s="1" t="s">
        <v>12192</v>
      </c>
      <c r="E132" s="1" t="str">
        <f>"3750"</f>
        <v>3750</v>
      </c>
      <c r="F132" s="1" t="s">
        <v>12191</v>
      </c>
      <c r="G132" s="1" t="s">
        <v>12190</v>
      </c>
      <c r="H132" s="1" t="s">
        <v>16</v>
      </c>
      <c r="I132" s="4" t="str">
        <f>"1"</f>
        <v>1</v>
      </c>
      <c r="J132" s="2" t="str">
        <f>"100"</f>
        <v>100</v>
      </c>
      <c r="K132" s="3">
        <v>46139</v>
      </c>
      <c r="L132" s="3">
        <v>46171</v>
      </c>
      <c r="M132" s="1" t="s">
        <v>12189</v>
      </c>
    </row>
    <row r="133" spans="1:14" s="1" customFormat="1" x14ac:dyDescent="0.35">
      <c r="A133" s="1" t="s">
        <v>5171</v>
      </c>
      <c r="B133" s="1" t="s">
        <v>18</v>
      </c>
      <c r="C133" s="1" t="s">
        <v>152</v>
      </c>
      <c r="D133" s="1" t="s">
        <v>12188</v>
      </c>
      <c r="E133" s="1" t="str">
        <f>"3750"</f>
        <v>3750</v>
      </c>
      <c r="F133" s="1" t="str">
        <f>"014200679"</f>
        <v>014200679</v>
      </c>
      <c r="G133" s="1" t="s">
        <v>12187</v>
      </c>
      <c r="H133" s="1" t="s">
        <v>16</v>
      </c>
      <c r="I133" s="4" t="str">
        <f>"1"</f>
        <v>1</v>
      </c>
      <c r="J133" s="2">
        <v>291.60000000000002</v>
      </c>
      <c r="K133" s="3">
        <v>46161</v>
      </c>
      <c r="L133" s="3">
        <v>46171</v>
      </c>
      <c r="M133" s="1" t="s">
        <v>12186</v>
      </c>
      <c r="N133" s="1" t="s">
        <v>12185</v>
      </c>
    </row>
    <row r="134" spans="1:14" s="1" customFormat="1" x14ac:dyDescent="0.35">
      <c r="A134" s="1" t="s">
        <v>5171</v>
      </c>
      <c r="B134" s="1" t="s">
        <v>18</v>
      </c>
      <c r="C134" s="1" t="s">
        <v>354</v>
      </c>
      <c r="D134" s="1" t="s">
        <v>12184</v>
      </c>
      <c r="E134" s="1" t="str">
        <f>"2320"</f>
        <v>2320</v>
      </c>
      <c r="F134" s="1" t="str">
        <f>"014474938"</f>
        <v>014474938</v>
      </c>
      <c r="G134" s="1" t="s">
        <v>360</v>
      </c>
      <c r="H134" s="1" t="s">
        <v>16</v>
      </c>
      <c r="I134" s="4" t="str">
        <f>"1"</f>
        <v>1</v>
      </c>
      <c r="J134" s="2" t="str">
        <f>"230363"</f>
        <v>230363</v>
      </c>
      <c r="K134" s="3">
        <v>46162</v>
      </c>
      <c r="L134" s="3">
        <v>46172</v>
      </c>
      <c r="M134" s="1" t="s">
        <v>12183</v>
      </c>
      <c r="N134" s="1" t="s">
        <v>12182</v>
      </c>
    </row>
    <row r="135" spans="1:14" s="1" customFormat="1" x14ac:dyDescent="0.35">
      <c r="A135" s="1" t="s">
        <v>5171</v>
      </c>
      <c r="B135" s="1" t="s">
        <v>18</v>
      </c>
      <c r="C135" s="1" t="s">
        <v>362</v>
      </c>
      <c r="D135" s="1" t="s">
        <v>12181</v>
      </c>
      <c r="E135" s="1" t="str">
        <f>"4940"</f>
        <v>4940</v>
      </c>
      <c r="F135" s="1" t="str">
        <f>"015998421"</f>
        <v>015998421</v>
      </c>
      <c r="G135" s="1" t="s">
        <v>1312</v>
      </c>
      <c r="H135" s="1" t="s">
        <v>16</v>
      </c>
      <c r="I135" s="4" t="str">
        <f>"1"</f>
        <v>1</v>
      </c>
      <c r="J135" s="2" t="str">
        <f>"16000"</f>
        <v>16000</v>
      </c>
      <c r="K135" s="3">
        <v>46151</v>
      </c>
      <c r="L135" s="3">
        <v>46174</v>
      </c>
      <c r="M135" s="1" t="s">
        <v>12180</v>
      </c>
      <c r="N135" s="1" t="s">
        <v>12179</v>
      </c>
    </row>
    <row r="136" spans="1:14" s="1" customFormat="1" x14ac:dyDescent="0.35">
      <c r="A136" s="1" t="s">
        <v>5171</v>
      </c>
      <c r="B136" s="1" t="s">
        <v>18</v>
      </c>
      <c r="C136" s="1" t="s">
        <v>12178</v>
      </c>
      <c r="D136" s="1" t="s">
        <v>12177</v>
      </c>
      <c r="E136" s="1" t="str">
        <f>"2340"</f>
        <v>2340</v>
      </c>
      <c r="F136" s="1" t="s">
        <v>84</v>
      </c>
      <c r="G136" s="1" t="s">
        <v>85</v>
      </c>
      <c r="H136" s="1" t="s">
        <v>16</v>
      </c>
      <c r="I136" s="4" t="str">
        <f>"1"</f>
        <v>1</v>
      </c>
      <c r="J136" s="2">
        <v>37739.58</v>
      </c>
      <c r="K136" s="3">
        <v>46172</v>
      </c>
      <c r="L136" s="3">
        <v>46175</v>
      </c>
      <c r="M136" s="1" t="s">
        <v>5167</v>
      </c>
      <c r="N136" s="1" t="s">
        <v>12176</v>
      </c>
    </row>
    <row r="137" spans="1:14" s="1" customFormat="1" x14ac:dyDescent="0.35">
      <c r="A137" s="1" t="s">
        <v>5171</v>
      </c>
      <c r="B137" s="1" t="s">
        <v>18</v>
      </c>
      <c r="C137" s="1" t="s">
        <v>362</v>
      </c>
      <c r="D137" s="1" t="s">
        <v>12175</v>
      </c>
      <c r="E137" s="1" t="str">
        <f>"2320"</f>
        <v>2320</v>
      </c>
      <c r="F137" s="1" t="s">
        <v>2218</v>
      </c>
      <c r="G137" s="1" t="s">
        <v>2219</v>
      </c>
      <c r="H137" s="1" t="s">
        <v>16</v>
      </c>
      <c r="I137" s="4" t="str">
        <f>"1"</f>
        <v>1</v>
      </c>
      <c r="J137" s="2" t="str">
        <f>"33082"</f>
        <v>33082</v>
      </c>
      <c r="K137" s="3">
        <v>46151</v>
      </c>
      <c r="L137" s="3">
        <v>46175</v>
      </c>
      <c r="M137" s="1" t="s">
        <v>5167</v>
      </c>
      <c r="N137" s="1" t="s">
        <v>12174</v>
      </c>
    </row>
    <row r="138" spans="1:14" s="1" customFormat="1" x14ac:dyDescent="0.35">
      <c r="A138" s="1" t="s">
        <v>0</v>
      </c>
      <c r="B138" s="1" t="s">
        <v>18</v>
      </c>
      <c r="C138" s="1" t="s">
        <v>269</v>
      </c>
      <c r="D138" s="1" t="s">
        <v>12173</v>
      </c>
      <c r="E138" s="1" t="str">
        <f>"7830"</f>
        <v>7830</v>
      </c>
      <c r="F138" s="1" t="str">
        <f>"015997845"</f>
        <v>015997845</v>
      </c>
      <c r="G138" s="1" t="s">
        <v>12129</v>
      </c>
      <c r="H138" s="1" t="s">
        <v>16</v>
      </c>
      <c r="I138" s="4" t="str">
        <f>"2"</f>
        <v>2</v>
      </c>
      <c r="J138" s="2">
        <v>96.8</v>
      </c>
      <c r="K138" s="3">
        <v>46174</v>
      </c>
      <c r="L138" s="3">
        <v>46176</v>
      </c>
      <c r="M138" s="1" t="s">
        <v>12171</v>
      </c>
      <c r="N138" s="1" t="s">
        <v>12170</v>
      </c>
    </row>
    <row r="139" spans="1:14" s="1" customFormat="1" x14ac:dyDescent="0.35">
      <c r="A139" s="1" t="s">
        <v>0</v>
      </c>
      <c r="B139" s="1" t="s">
        <v>18</v>
      </c>
      <c r="C139" s="1" t="s">
        <v>269</v>
      </c>
      <c r="D139" s="1" t="s">
        <v>12172</v>
      </c>
      <c r="E139" s="1" t="str">
        <f>"7830"</f>
        <v>7830</v>
      </c>
      <c r="F139" s="1" t="s">
        <v>453</v>
      </c>
      <c r="G139" s="1" t="s">
        <v>454</v>
      </c>
      <c r="H139" s="1" t="s">
        <v>16</v>
      </c>
      <c r="I139" s="4" t="str">
        <f>"2"</f>
        <v>2</v>
      </c>
      <c r="J139" s="2" t="str">
        <f>"4899"</f>
        <v>4899</v>
      </c>
      <c r="K139" s="3">
        <v>46174</v>
      </c>
      <c r="L139" s="3">
        <v>46176</v>
      </c>
      <c r="M139" s="1" t="s">
        <v>12171</v>
      </c>
      <c r="N139" s="1" t="s">
        <v>12170</v>
      </c>
    </row>
    <row r="140" spans="1:14" s="1" customFormat="1" x14ac:dyDescent="0.35">
      <c r="A140" s="1" t="s">
        <v>5171</v>
      </c>
      <c r="B140" s="1" t="s">
        <v>18</v>
      </c>
      <c r="C140" s="1" t="s">
        <v>12169</v>
      </c>
      <c r="D140" s="1" t="s">
        <v>12168</v>
      </c>
      <c r="E140" s="1" t="str">
        <f>"5855"</f>
        <v>5855</v>
      </c>
      <c r="F140" s="1" t="str">
        <f>"015485687"</f>
        <v>015485687</v>
      </c>
      <c r="G140" s="1" t="s">
        <v>1921</v>
      </c>
      <c r="H140" s="1" t="s">
        <v>16</v>
      </c>
      <c r="I140" s="4" t="str">
        <f>"6"</f>
        <v>6</v>
      </c>
      <c r="J140" s="2" t="str">
        <f>"10402"</f>
        <v>10402</v>
      </c>
      <c r="K140" s="3">
        <v>46075</v>
      </c>
      <c r="L140" s="3">
        <v>46176</v>
      </c>
      <c r="M140" s="1" t="s">
        <v>12167</v>
      </c>
      <c r="N140" s="1" t="s">
        <v>12166</v>
      </c>
    </row>
    <row r="141" spans="1:14" s="1" customFormat="1" x14ac:dyDescent="0.35">
      <c r="A141" s="1" t="s">
        <v>5171</v>
      </c>
      <c r="B141" s="1" t="s">
        <v>18</v>
      </c>
      <c r="C141" s="1" t="s">
        <v>362</v>
      </c>
      <c r="D141" s="1" t="s">
        <v>12165</v>
      </c>
      <c r="E141" s="1" t="str">
        <f>"2815"</f>
        <v>2815</v>
      </c>
      <c r="F141" s="1" t="s">
        <v>12164</v>
      </c>
      <c r="G141" s="1" t="s">
        <v>12163</v>
      </c>
      <c r="H141" s="1" t="s">
        <v>16</v>
      </c>
      <c r="I141" s="4" t="str">
        <f>"2"</f>
        <v>2</v>
      </c>
      <c r="J141" s="2" t="str">
        <f>"1550"</f>
        <v>1550</v>
      </c>
      <c r="K141" s="3">
        <v>46151</v>
      </c>
      <c r="L141" s="3">
        <v>46176</v>
      </c>
      <c r="M141" s="1" t="s">
        <v>5167</v>
      </c>
      <c r="N141" s="1" t="s">
        <v>12162</v>
      </c>
    </row>
    <row r="142" spans="1:14" s="1" customFormat="1" x14ac:dyDescent="0.35">
      <c r="A142" s="1" t="s">
        <v>5171</v>
      </c>
      <c r="B142" s="1" t="s">
        <v>18</v>
      </c>
      <c r="C142" s="1" t="s">
        <v>362</v>
      </c>
      <c r="D142" s="1" t="s">
        <v>12161</v>
      </c>
      <c r="E142" s="1" t="str">
        <f>"4440"</f>
        <v>4440</v>
      </c>
      <c r="F142" s="1" t="s">
        <v>7126</v>
      </c>
      <c r="G142" s="1" t="s">
        <v>7125</v>
      </c>
      <c r="H142" s="1" t="s">
        <v>16</v>
      </c>
      <c r="I142" s="4" t="str">
        <f>"1"</f>
        <v>1</v>
      </c>
      <c r="J142" s="2" t="str">
        <f>"9118"</f>
        <v>9118</v>
      </c>
      <c r="K142" s="3">
        <v>46151</v>
      </c>
      <c r="L142" s="3">
        <v>46176</v>
      </c>
      <c r="M142" s="1" t="s">
        <v>5167</v>
      </c>
      <c r="N142" s="1" t="s">
        <v>12160</v>
      </c>
    </row>
    <row r="143" spans="1:14" s="1" customFormat="1" x14ac:dyDescent="0.35">
      <c r="A143" s="1" t="s">
        <v>5171</v>
      </c>
      <c r="B143" s="1" t="s">
        <v>18</v>
      </c>
      <c r="C143" s="1" t="s">
        <v>362</v>
      </c>
      <c r="D143" s="1" t="s">
        <v>12159</v>
      </c>
      <c r="E143" s="1" t="str">
        <f>"3805"</f>
        <v>3805</v>
      </c>
      <c r="F143" s="1" t="str">
        <f>"010751816"</f>
        <v>010751816</v>
      </c>
      <c r="G143" s="1" t="s">
        <v>132</v>
      </c>
      <c r="H143" s="1" t="s">
        <v>16</v>
      </c>
      <c r="I143" s="4" t="str">
        <f>"1"</f>
        <v>1</v>
      </c>
      <c r="J143" s="2" t="str">
        <f>"554434"</f>
        <v>554434</v>
      </c>
      <c r="K143" s="3">
        <v>46151</v>
      </c>
      <c r="L143" s="3">
        <v>46176</v>
      </c>
      <c r="M143" s="1" t="s">
        <v>12158</v>
      </c>
      <c r="N143" s="1" t="s">
        <v>12157</v>
      </c>
    </row>
    <row r="144" spans="1:14" s="1" customFormat="1" x14ac:dyDescent="0.35">
      <c r="A144" s="1" t="s">
        <v>5171</v>
      </c>
      <c r="B144" s="1" t="s">
        <v>18</v>
      </c>
      <c r="C144" s="1" t="s">
        <v>80</v>
      </c>
      <c r="D144" s="1" t="s">
        <v>12156</v>
      </c>
      <c r="E144" s="1" t="str">
        <f>"7830"</f>
        <v>7830</v>
      </c>
      <c r="F144" s="1" t="s">
        <v>453</v>
      </c>
      <c r="G144" s="1" t="s">
        <v>454</v>
      </c>
      <c r="H144" s="1" t="s">
        <v>16</v>
      </c>
      <c r="I144" s="4" t="str">
        <f>"2"</f>
        <v>2</v>
      </c>
      <c r="J144" s="2" t="str">
        <f>"4899"</f>
        <v>4899</v>
      </c>
      <c r="K144" s="3">
        <v>46174</v>
      </c>
      <c r="L144" s="3">
        <v>46177</v>
      </c>
      <c r="M144" s="1" t="s">
        <v>12155</v>
      </c>
      <c r="N144" s="1" t="s">
        <v>12154</v>
      </c>
    </row>
    <row r="145" spans="1:14" s="1" customFormat="1" x14ac:dyDescent="0.35">
      <c r="A145" s="1" t="s">
        <v>5171</v>
      </c>
      <c r="B145" s="1" t="s">
        <v>18</v>
      </c>
      <c r="C145" s="1" t="s">
        <v>181</v>
      </c>
      <c r="D145" s="1" t="s">
        <v>12153</v>
      </c>
      <c r="E145" s="1" t="str">
        <f>"5965"</f>
        <v>5965</v>
      </c>
      <c r="F145" s="1" t="str">
        <f>"016960994"</f>
        <v>016960994</v>
      </c>
      <c r="G145" s="1" t="s">
        <v>1561</v>
      </c>
      <c r="H145" s="1" t="s">
        <v>16</v>
      </c>
      <c r="I145" s="4" t="str">
        <f>"6"</f>
        <v>6</v>
      </c>
      <c r="J145" s="2" t="str">
        <f>"1602"</f>
        <v>1602</v>
      </c>
      <c r="K145" s="3">
        <v>46175</v>
      </c>
      <c r="L145" s="3">
        <v>46177</v>
      </c>
      <c r="M145" s="1" t="s">
        <v>12152</v>
      </c>
      <c r="N145" s="1" t="s">
        <v>12151</v>
      </c>
    </row>
    <row r="146" spans="1:14" s="1" customFormat="1" x14ac:dyDescent="0.35">
      <c r="A146" s="1" t="s">
        <v>5171</v>
      </c>
      <c r="B146" s="1" t="s">
        <v>18</v>
      </c>
      <c r="C146" s="1" t="s">
        <v>269</v>
      </c>
      <c r="D146" s="1" t="s">
        <v>12150</v>
      </c>
      <c r="E146" s="1" t="str">
        <f>"7830"</f>
        <v>7830</v>
      </c>
      <c r="F146" s="1" t="s">
        <v>453</v>
      </c>
      <c r="G146" s="1" t="s">
        <v>454</v>
      </c>
      <c r="H146" s="1" t="s">
        <v>16</v>
      </c>
      <c r="I146" s="4" t="str">
        <f>"2"</f>
        <v>2</v>
      </c>
      <c r="J146" s="2" t="str">
        <f>"4899"</f>
        <v>4899</v>
      </c>
      <c r="K146" s="3">
        <v>46176</v>
      </c>
      <c r="L146" s="3">
        <v>46177</v>
      </c>
      <c r="M146" s="1" t="s">
        <v>5167</v>
      </c>
      <c r="N146" s="1" t="s">
        <v>12149</v>
      </c>
    </row>
    <row r="147" spans="1:14" s="1" customFormat="1" x14ac:dyDescent="0.35">
      <c r="A147" s="1" t="s">
        <v>5171</v>
      </c>
      <c r="B147" s="1" t="s">
        <v>18</v>
      </c>
      <c r="C147" s="1" t="s">
        <v>12148</v>
      </c>
      <c r="D147" s="1" t="s">
        <v>12147</v>
      </c>
      <c r="E147" s="1" t="str">
        <f>"6760"</f>
        <v>6760</v>
      </c>
      <c r="F147" s="1" t="s">
        <v>2444</v>
      </c>
      <c r="G147" s="1" t="s">
        <v>2445</v>
      </c>
      <c r="H147" s="1" t="s">
        <v>16</v>
      </c>
      <c r="I147" s="4" t="str">
        <f>"1"</f>
        <v>1</v>
      </c>
      <c r="J147" s="2" t="str">
        <f>"350"</f>
        <v>350</v>
      </c>
      <c r="K147" s="3">
        <v>46097</v>
      </c>
      <c r="L147" s="3">
        <v>46178</v>
      </c>
      <c r="M147" s="1" t="s">
        <v>12146</v>
      </c>
      <c r="N147" s="1" t="s">
        <v>12145</v>
      </c>
    </row>
    <row r="148" spans="1:14" s="1" customFormat="1" x14ac:dyDescent="0.35">
      <c r="A148" s="1" t="s">
        <v>5171</v>
      </c>
      <c r="B148" s="1" t="s">
        <v>18</v>
      </c>
      <c r="C148" s="1" t="s">
        <v>12144</v>
      </c>
      <c r="D148" s="1" t="s">
        <v>12143</v>
      </c>
      <c r="E148" s="1" t="str">
        <f>"2320"</f>
        <v>2320</v>
      </c>
      <c r="F148" s="1" t="str">
        <f>"011233999"</f>
        <v>011233999</v>
      </c>
      <c r="G148" s="1" t="s">
        <v>271</v>
      </c>
      <c r="H148" s="1" t="s">
        <v>16</v>
      </c>
      <c r="I148" s="4" t="str">
        <f>"1"</f>
        <v>1</v>
      </c>
      <c r="J148" s="2" t="str">
        <f>"11561"</f>
        <v>11561</v>
      </c>
      <c r="K148" s="3">
        <v>46151</v>
      </c>
      <c r="L148" s="3">
        <v>46178</v>
      </c>
      <c r="M148" s="1" t="s">
        <v>12142</v>
      </c>
      <c r="N148" s="1" t="s">
        <v>12141</v>
      </c>
    </row>
    <row r="149" spans="1:14" s="1" customFormat="1" x14ac:dyDescent="0.35">
      <c r="A149" s="1" t="s">
        <v>5171</v>
      </c>
      <c r="B149" s="1" t="s">
        <v>18</v>
      </c>
      <c r="C149" s="1" t="s">
        <v>92</v>
      </c>
      <c r="D149" s="1" t="s">
        <v>12140</v>
      </c>
      <c r="E149" s="1" t="str">
        <f>"8145"</f>
        <v>8145</v>
      </c>
      <c r="F149" s="1" t="s">
        <v>1671</v>
      </c>
      <c r="G149" s="1" t="s">
        <v>1672</v>
      </c>
      <c r="H149" s="1" t="s">
        <v>16</v>
      </c>
      <c r="I149" s="4" t="str">
        <f>"1"</f>
        <v>1</v>
      </c>
      <c r="J149" s="2" t="str">
        <f>"45000"</f>
        <v>45000</v>
      </c>
      <c r="K149" s="3">
        <v>46170</v>
      </c>
      <c r="L149" s="3">
        <v>46179</v>
      </c>
      <c r="M149" s="1" t="s">
        <v>12139</v>
      </c>
      <c r="N149" s="1" t="s">
        <v>12138</v>
      </c>
    </row>
    <row r="150" spans="1:14" s="1" customFormat="1" x14ac:dyDescent="0.35">
      <c r="A150" s="1" t="s">
        <v>5171</v>
      </c>
      <c r="B150" s="1" t="s">
        <v>18</v>
      </c>
      <c r="C150" s="1" t="s">
        <v>269</v>
      </c>
      <c r="D150" s="1" t="s">
        <v>12137</v>
      </c>
      <c r="E150" s="1" t="str">
        <f>"6545"</f>
        <v>6545</v>
      </c>
      <c r="F150" s="1" t="s">
        <v>5774</v>
      </c>
      <c r="G150" s="1" t="s">
        <v>5773</v>
      </c>
      <c r="H150" s="1" t="s">
        <v>16</v>
      </c>
      <c r="I150" s="4" t="str">
        <f>"19"</f>
        <v>19</v>
      </c>
      <c r="J150" s="2">
        <v>41.45</v>
      </c>
      <c r="K150" s="3">
        <v>46177</v>
      </c>
      <c r="L150" s="3">
        <v>46179</v>
      </c>
      <c r="M150" s="1" t="s">
        <v>5167</v>
      </c>
      <c r="N150" s="1" t="s">
        <v>12136</v>
      </c>
    </row>
    <row r="151" spans="1:14" s="1" customFormat="1" x14ac:dyDescent="0.35">
      <c r="A151" s="1" t="s">
        <v>5171</v>
      </c>
      <c r="B151" s="1" t="s">
        <v>18</v>
      </c>
      <c r="C151" s="1" t="s">
        <v>269</v>
      </c>
      <c r="D151" s="1" t="s">
        <v>12135</v>
      </c>
      <c r="E151" s="1" t="str">
        <f>"6545"</f>
        <v>6545</v>
      </c>
      <c r="F151" s="1" t="str">
        <f>"015841582"</f>
        <v>015841582</v>
      </c>
      <c r="G151" s="1" t="s">
        <v>305</v>
      </c>
      <c r="H151" s="1" t="s">
        <v>215</v>
      </c>
      <c r="I151" s="4" t="str">
        <f>"8"</f>
        <v>8</v>
      </c>
      <c r="J151" s="2">
        <v>103.24</v>
      </c>
      <c r="K151" s="3">
        <v>46177</v>
      </c>
      <c r="L151" s="3">
        <v>46179</v>
      </c>
      <c r="M151" s="1" t="s">
        <v>5167</v>
      </c>
      <c r="N151" s="1" t="s">
        <v>12134</v>
      </c>
    </row>
    <row r="152" spans="1:14" s="1" customFormat="1" x14ac:dyDescent="0.35">
      <c r="A152" s="1" t="s">
        <v>5171</v>
      </c>
      <c r="B152" s="1" t="s">
        <v>18</v>
      </c>
      <c r="C152" s="1" t="s">
        <v>269</v>
      </c>
      <c r="D152" s="1" t="s">
        <v>12133</v>
      </c>
      <c r="E152" s="1" t="str">
        <f>"2330"</f>
        <v>2330</v>
      </c>
      <c r="F152" s="1" t="s">
        <v>70</v>
      </c>
      <c r="G152" s="1" t="s">
        <v>71</v>
      </c>
      <c r="H152" s="1" t="s">
        <v>16</v>
      </c>
      <c r="I152" s="4" t="str">
        <f>"2"</f>
        <v>2</v>
      </c>
      <c r="J152" s="2" t="str">
        <f>"3855"</f>
        <v>3855</v>
      </c>
      <c r="K152" s="3">
        <v>46168</v>
      </c>
      <c r="L152" s="3">
        <v>46179</v>
      </c>
      <c r="M152" s="1" t="s">
        <v>12132</v>
      </c>
      <c r="N152" s="1" t="s">
        <v>12131</v>
      </c>
    </row>
    <row r="153" spans="1:14" s="1" customFormat="1" x14ac:dyDescent="0.35">
      <c r="A153" s="1" t="s">
        <v>5171</v>
      </c>
      <c r="B153" s="1" t="s">
        <v>18</v>
      </c>
      <c r="C153" s="1" t="s">
        <v>269</v>
      </c>
      <c r="D153" s="1" t="s">
        <v>12130</v>
      </c>
      <c r="E153" s="1" t="str">
        <f>"7830"</f>
        <v>7830</v>
      </c>
      <c r="F153" s="1" t="str">
        <f>"015997845"</f>
        <v>015997845</v>
      </c>
      <c r="G153" s="1" t="s">
        <v>12129</v>
      </c>
      <c r="H153" s="1" t="s">
        <v>16</v>
      </c>
      <c r="I153" s="4" t="str">
        <f>"2"</f>
        <v>2</v>
      </c>
      <c r="J153" s="2">
        <v>96.8</v>
      </c>
      <c r="K153" s="3">
        <v>46176</v>
      </c>
      <c r="L153" s="3">
        <v>46179</v>
      </c>
      <c r="M153" s="1" t="s">
        <v>5167</v>
      </c>
      <c r="N153" s="1" t="s">
        <v>12128</v>
      </c>
    </row>
    <row r="154" spans="1:14" s="1" customFormat="1" x14ac:dyDescent="0.35">
      <c r="A154" s="1" t="s">
        <v>5171</v>
      </c>
      <c r="B154" s="1" t="s">
        <v>18</v>
      </c>
      <c r="C154" s="1" t="s">
        <v>12127</v>
      </c>
      <c r="D154" s="1" t="s">
        <v>12126</v>
      </c>
      <c r="E154" s="1" t="str">
        <f>"1240"</f>
        <v>1240</v>
      </c>
      <c r="F154" s="1" t="s">
        <v>1800</v>
      </c>
      <c r="G154" s="1" t="s">
        <v>1801</v>
      </c>
      <c r="H154" s="1" t="s">
        <v>16</v>
      </c>
      <c r="I154" s="4" t="str">
        <f>"6"</f>
        <v>6</v>
      </c>
      <c r="J154" s="2" t="str">
        <f>"550"</f>
        <v>550</v>
      </c>
      <c r="K154" s="3">
        <v>46181</v>
      </c>
      <c r="L154" s="3">
        <v>46182</v>
      </c>
      <c r="M154" s="1" t="s">
        <v>5167</v>
      </c>
      <c r="N154" s="1" t="s">
        <v>12125</v>
      </c>
    </row>
    <row r="155" spans="1:14" s="1" customFormat="1" x14ac:dyDescent="0.35">
      <c r="A155" s="1" t="s">
        <v>5171</v>
      </c>
      <c r="B155" s="1" t="s">
        <v>18</v>
      </c>
      <c r="C155" s="1" t="s">
        <v>354</v>
      </c>
      <c r="D155" s="1" t="s">
        <v>12124</v>
      </c>
      <c r="E155" s="1" t="str">
        <f>"6230"</f>
        <v>6230</v>
      </c>
      <c r="F155" s="1" t="str">
        <f>"013827265"</f>
        <v>013827265</v>
      </c>
      <c r="G155" s="1" t="s">
        <v>3215</v>
      </c>
      <c r="H155" s="1" t="s">
        <v>16</v>
      </c>
      <c r="I155" s="4" t="str">
        <f>"2"</f>
        <v>2</v>
      </c>
      <c r="J155" s="2" t="str">
        <f>"18400"</f>
        <v>18400</v>
      </c>
      <c r="K155" s="3">
        <v>46163</v>
      </c>
      <c r="L155" s="3">
        <v>46182</v>
      </c>
      <c r="M155" s="1" t="s">
        <v>12123</v>
      </c>
      <c r="N155" s="1" t="s">
        <v>12122</v>
      </c>
    </row>
    <row r="156" spans="1:14" s="1" customFormat="1" x14ac:dyDescent="0.35">
      <c r="A156" s="1" t="s">
        <v>5171</v>
      </c>
      <c r="B156" s="1" t="s">
        <v>18</v>
      </c>
      <c r="C156" s="1" t="s">
        <v>269</v>
      </c>
      <c r="D156" s="1" t="s">
        <v>12121</v>
      </c>
      <c r="E156" s="1" t="str">
        <f>"7830"</f>
        <v>7830</v>
      </c>
      <c r="F156" s="1" t="s">
        <v>1871</v>
      </c>
      <c r="G156" s="1" t="s">
        <v>1872</v>
      </c>
      <c r="H156" s="1" t="s">
        <v>16</v>
      </c>
      <c r="I156" s="4" t="str">
        <f>"1"</f>
        <v>1</v>
      </c>
      <c r="J156" s="2" t="str">
        <f>"1500"</f>
        <v>1500</v>
      </c>
      <c r="K156" s="3">
        <v>46181</v>
      </c>
      <c r="L156" s="3">
        <v>46183</v>
      </c>
      <c r="M156" s="1" t="s">
        <v>12120</v>
      </c>
      <c r="N156" s="1" t="s">
        <v>12119</v>
      </c>
    </row>
    <row r="157" spans="1:14" s="1" customFormat="1" x14ac:dyDescent="0.35">
      <c r="A157" s="1" t="s">
        <v>5171</v>
      </c>
      <c r="B157" s="1" t="s">
        <v>18</v>
      </c>
      <c r="C157" s="1" t="s">
        <v>12118</v>
      </c>
      <c r="D157" s="1" t="s">
        <v>12117</v>
      </c>
      <c r="E157" s="1" t="str">
        <f>"2320"</f>
        <v>2320</v>
      </c>
      <c r="F157" s="1" t="str">
        <f>"014319237"</f>
        <v>014319237</v>
      </c>
      <c r="G157" s="1" t="s">
        <v>6518</v>
      </c>
      <c r="H157" s="1" t="s">
        <v>16</v>
      </c>
      <c r="I157" s="4" t="str">
        <f>"1"</f>
        <v>1</v>
      </c>
      <c r="J157" s="2" t="str">
        <f>"95110"</f>
        <v>95110</v>
      </c>
      <c r="K157" s="3">
        <v>46146</v>
      </c>
      <c r="L157" s="3">
        <v>46184</v>
      </c>
      <c r="M157" s="1" t="s">
        <v>12116</v>
      </c>
      <c r="N157" s="1" t="s">
        <v>12115</v>
      </c>
    </row>
    <row r="158" spans="1:14" s="1" customFormat="1" x14ac:dyDescent="0.35">
      <c r="A158" s="1" t="s">
        <v>5171</v>
      </c>
      <c r="B158" s="1" t="s">
        <v>18</v>
      </c>
      <c r="C158" s="1" t="s">
        <v>152</v>
      </c>
      <c r="D158" s="1" t="s">
        <v>12114</v>
      </c>
      <c r="E158" s="1" t="str">
        <f>"7010"</f>
        <v>7010</v>
      </c>
      <c r="F158" s="1" t="str">
        <f>"016447863"</f>
        <v>016447863</v>
      </c>
      <c r="G158" s="1" t="s">
        <v>1422</v>
      </c>
      <c r="H158" s="1" t="s">
        <v>16</v>
      </c>
      <c r="I158" s="4" t="str">
        <f>"3"</f>
        <v>3</v>
      </c>
      <c r="J158" s="2" t="str">
        <f>"2105"</f>
        <v>2105</v>
      </c>
      <c r="K158" s="3">
        <v>46156</v>
      </c>
      <c r="L158" s="3">
        <v>46184</v>
      </c>
      <c r="M158" s="1" t="s">
        <v>12113</v>
      </c>
      <c r="N158" s="1" t="s">
        <v>12112</v>
      </c>
    </row>
    <row r="159" spans="1:14" s="1" customFormat="1" x14ac:dyDescent="0.35">
      <c r="A159" s="1" t="s">
        <v>5171</v>
      </c>
      <c r="B159" s="1" t="s">
        <v>18</v>
      </c>
      <c r="C159" s="1" t="s">
        <v>152</v>
      </c>
      <c r="D159" s="1" t="s">
        <v>12111</v>
      </c>
      <c r="E159" s="1" t="str">
        <f>"7010"</f>
        <v>7010</v>
      </c>
      <c r="F159" s="1" t="str">
        <f>"016447863"</f>
        <v>016447863</v>
      </c>
      <c r="G159" s="1" t="s">
        <v>1422</v>
      </c>
      <c r="H159" s="1" t="s">
        <v>16</v>
      </c>
      <c r="I159" s="4" t="str">
        <f>"2"</f>
        <v>2</v>
      </c>
      <c r="J159" s="2" t="str">
        <f>"2105"</f>
        <v>2105</v>
      </c>
      <c r="K159" s="3">
        <v>46159</v>
      </c>
      <c r="L159" s="3">
        <v>46184</v>
      </c>
      <c r="M159" s="1" t="s">
        <v>12110</v>
      </c>
      <c r="N159" s="1" t="s">
        <v>12109</v>
      </c>
    </row>
    <row r="160" spans="1:14" s="1" customFormat="1" x14ac:dyDescent="0.35">
      <c r="A160" s="1" t="s">
        <v>5171</v>
      </c>
      <c r="B160" s="1" t="s">
        <v>18</v>
      </c>
      <c r="C160" s="1" t="s">
        <v>181</v>
      </c>
      <c r="D160" s="1" t="s">
        <v>12108</v>
      </c>
      <c r="E160" s="1" t="str">
        <f>"6130"</f>
        <v>6130</v>
      </c>
      <c r="F160" s="1" t="str">
        <f>"011416001"</f>
        <v>011416001</v>
      </c>
      <c r="G160" s="1" t="s">
        <v>12107</v>
      </c>
      <c r="H160" s="1" t="s">
        <v>16</v>
      </c>
      <c r="I160" s="4" t="str">
        <f>"1"</f>
        <v>1</v>
      </c>
      <c r="J160" s="2">
        <v>5619.17</v>
      </c>
      <c r="K160" s="3">
        <v>46139</v>
      </c>
      <c r="L160" s="3">
        <v>46184</v>
      </c>
      <c r="M160" s="1" t="s">
        <v>12106</v>
      </c>
      <c r="N160" s="1" t="s">
        <v>12105</v>
      </c>
    </row>
    <row r="161" spans="1:14" s="1" customFormat="1" x14ac:dyDescent="0.35">
      <c r="A161" s="1" t="s">
        <v>5171</v>
      </c>
      <c r="B161" s="1" t="s">
        <v>18</v>
      </c>
      <c r="C161" s="1" t="s">
        <v>181</v>
      </c>
      <c r="D161" s="1" t="s">
        <v>12104</v>
      </c>
      <c r="E161" s="1" t="str">
        <f>"5855"</f>
        <v>5855</v>
      </c>
      <c r="F161" s="1" t="s">
        <v>12103</v>
      </c>
      <c r="G161" s="1" t="s">
        <v>12102</v>
      </c>
      <c r="H161" s="1" t="s">
        <v>215</v>
      </c>
      <c r="I161" s="4" t="str">
        <f>"1"</f>
        <v>1</v>
      </c>
      <c r="J161" s="2" t="str">
        <f>"1000"</f>
        <v>1000</v>
      </c>
      <c r="K161" s="3">
        <v>46139</v>
      </c>
      <c r="L161" s="3">
        <v>46184</v>
      </c>
      <c r="M161" s="1" t="s">
        <v>12101</v>
      </c>
      <c r="N161" s="1" t="s">
        <v>12100</v>
      </c>
    </row>
    <row r="162" spans="1:14" s="1" customFormat="1" x14ac:dyDescent="0.35">
      <c r="A162" s="1" t="s">
        <v>5171</v>
      </c>
      <c r="B162" s="1" t="s">
        <v>18</v>
      </c>
      <c r="C162" s="1" t="s">
        <v>269</v>
      </c>
      <c r="D162" s="1" t="s">
        <v>12099</v>
      </c>
      <c r="E162" s="1" t="str">
        <f>"7830"</f>
        <v>7830</v>
      </c>
      <c r="F162" s="1" t="s">
        <v>1871</v>
      </c>
      <c r="G162" s="1" t="s">
        <v>1872</v>
      </c>
      <c r="H162" s="1" t="s">
        <v>16</v>
      </c>
      <c r="I162" s="4" t="str">
        <f>"1"</f>
        <v>1</v>
      </c>
      <c r="J162" s="2">
        <v>3136.25</v>
      </c>
      <c r="K162" s="3">
        <v>46181</v>
      </c>
      <c r="L162" s="3">
        <v>46184</v>
      </c>
      <c r="M162" s="1" t="s">
        <v>12098</v>
      </c>
      <c r="N162" s="1" t="s">
        <v>12097</v>
      </c>
    </row>
    <row r="163" spans="1:14" s="1" customFormat="1" x14ac:dyDescent="0.35">
      <c r="A163" s="1" t="s">
        <v>5171</v>
      </c>
      <c r="B163" s="1" t="s">
        <v>18</v>
      </c>
      <c r="C163" s="1" t="s">
        <v>362</v>
      </c>
      <c r="D163" s="1" t="s">
        <v>12096</v>
      </c>
      <c r="E163" s="1" t="str">
        <f>"5315"</f>
        <v>5315</v>
      </c>
      <c r="F163" s="1" t="str">
        <f>"000104659"</f>
        <v>000104659</v>
      </c>
      <c r="G163" s="1" t="s">
        <v>12095</v>
      </c>
      <c r="H163" s="1" t="s">
        <v>352</v>
      </c>
      <c r="I163" s="4" t="str">
        <f>"1"</f>
        <v>1</v>
      </c>
      <c r="J163" s="2">
        <v>185.83</v>
      </c>
      <c r="K163" s="3">
        <v>46161</v>
      </c>
      <c r="L163" s="3">
        <v>46184</v>
      </c>
      <c r="M163" s="1" t="s">
        <v>12094</v>
      </c>
      <c r="N163" s="1" t="s">
        <v>12093</v>
      </c>
    </row>
    <row r="164" spans="1:14" s="1" customFormat="1" x14ac:dyDescent="0.35">
      <c r="A164" s="1" t="s">
        <v>5171</v>
      </c>
      <c r="B164" s="1" t="s">
        <v>18</v>
      </c>
      <c r="C164" s="1" t="s">
        <v>30</v>
      </c>
      <c r="D164" s="1" t="s">
        <v>12092</v>
      </c>
      <c r="E164" s="1" t="str">
        <f>"1930"</f>
        <v>1930</v>
      </c>
      <c r="F164" s="1" t="str">
        <f>"007105729"</f>
        <v>007105729</v>
      </c>
      <c r="G164" s="1" t="s">
        <v>12091</v>
      </c>
      <c r="H164" s="1" t="s">
        <v>16</v>
      </c>
      <c r="I164" s="4" t="str">
        <f>"1"</f>
        <v>1</v>
      </c>
      <c r="J164" s="2" t="str">
        <f>"101655"</f>
        <v>101655</v>
      </c>
      <c r="K164" s="3">
        <v>46182</v>
      </c>
      <c r="L164" s="3">
        <v>46185</v>
      </c>
      <c r="M164" s="1" t="s">
        <v>12090</v>
      </c>
      <c r="N164" s="1" t="s">
        <v>12089</v>
      </c>
    </row>
    <row r="165" spans="1:14" s="1" customFormat="1" x14ac:dyDescent="0.35">
      <c r="A165" s="1" t="s">
        <v>5171</v>
      </c>
      <c r="B165" s="1" t="s">
        <v>18</v>
      </c>
      <c r="C165" s="1" t="s">
        <v>23</v>
      </c>
      <c r="D165" s="1" t="s">
        <v>12088</v>
      </c>
      <c r="E165" s="1" t="str">
        <f>"2330"</f>
        <v>2330</v>
      </c>
      <c r="F165" s="1" t="s">
        <v>70</v>
      </c>
      <c r="G165" s="1" t="s">
        <v>71</v>
      </c>
      <c r="H165" s="1" t="s">
        <v>16</v>
      </c>
      <c r="I165" s="4" t="str">
        <f>"1"</f>
        <v>1</v>
      </c>
      <c r="J165" s="2" t="str">
        <f>"14555"</f>
        <v>14555</v>
      </c>
      <c r="K165" s="3">
        <v>46181</v>
      </c>
      <c r="L165" s="3">
        <v>46186</v>
      </c>
      <c r="M165" s="1" t="s">
        <v>12087</v>
      </c>
      <c r="N165" s="1" t="s">
        <v>12086</v>
      </c>
    </row>
    <row r="166" spans="1:14" s="1" customFormat="1" x14ac:dyDescent="0.35">
      <c r="A166" s="1" t="s">
        <v>5171</v>
      </c>
      <c r="B166" s="1" t="s">
        <v>18</v>
      </c>
      <c r="C166" s="1" t="s">
        <v>152</v>
      </c>
      <c r="D166" s="1" t="s">
        <v>12085</v>
      </c>
      <c r="E166" s="1" t="str">
        <f>"2310"</f>
        <v>2310</v>
      </c>
      <c r="F166" s="1" t="str">
        <f>"015034378"</f>
        <v>015034378</v>
      </c>
      <c r="G166" s="1" t="s">
        <v>12010</v>
      </c>
      <c r="H166" s="1" t="s">
        <v>16</v>
      </c>
      <c r="I166" s="4" t="str">
        <f>"1"</f>
        <v>1</v>
      </c>
      <c r="J166" s="2" t="str">
        <f>"121840"</f>
        <v>121840</v>
      </c>
      <c r="K166" s="3">
        <v>46146</v>
      </c>
      <c r="L166" s="3">
        <v>46186</v>
      </c>
      <c r="M166" s="1" t="s">
        <v>12084</v>
      </c>
      <c r="N166" s="1" t="s">
        <v>12083</v>
      </c>
    </row>
    <row r="167" spans="1:14" s="1" customFormat="1" x14ac:dyDescent="0.35">
      <c r="A167" s="1" t="s">
        <v>5230</v>
      </c>
      <c r="B167" s="1" t="s">
        <v>18</v>
      </c>
      <c r="C167" s="1" t="s">
        <v>269</v>
      </c>
      <c r="D167" s="1" t="s">
        <v>12082</v>
      </c>
      <c r="E167" s="1" t="str">
        <f>"2330"</f>
        <v>2330</v>
      </c>
      <c r="F167" s="1" t="s">
        <v>70</v>
      </c>
      <c r="G167" s="1" t="s">
        <v>71</v>
      </c>
      <c r="H167" s="1" t="s">
        <v>16</v>
      </c>
      <c r="I167" s="4" t="str">
        <f>"1"</f>
        <v>1</v>
      </c>
      <c r="J167" s="2" t="str">
        <f>"26680"</f>
        <v>26680</v>
      </c>
      <c r="K167" s="3">
        <v>46187</v>
      </c>
      <c r="L167" s="3">
        <v>46188</v>
      </c>
      <c r="N167" s="1" t="s">
        <v>12080</v>
      </c>
    </row>
    <row r="168" spans="1:14" s="1" customFormat="1" x14ac:dyDescent="0.35">
      <c r="A168" s="1" t="s">
        <v>5230</v>
      </c>
      <c r="B168" s="1" t="s">
        <v>18</v>
      </c>
      <c r="C168" s="1" t="s">
        <v>269</v>
      </c>
      <c r="D168" s="1" t="s">
        <v>12081</v>
      </c>
      <c r="E168" s="1" t="str">
        <f>"2330"</f>
        <v>2330</v>
      </c>
      <c r="F168" s="1" t="s">
        <v>70</v>
      </c>
      <c r="G168" s="1" t="s">
        <v>71</v>
      </c>
      <c r="H168" s="1" t="s">
        <v>16</v>
      </c>
      <c r="I168" s="4" t="str">
        <f>"1"</f>
        <v>1</v>
      </c>
      <c r="J168" s="2" t="str">
        <f>"26680"</f>
        <v>26680</v>
      </c>
      <c r="K168" s="3">
        <v>46187</v>
      </c>
      <c r="L168" s="3">
        <v>46188</v>
      </c>
      <c r="N168" s="1" t="s">
        <v>12080</v>
      </c>
    </row>
    <row r="169" spans="1:14" s="1" customFormat="1" x14ac:dyDescent="0.35">
      <c r="A169" s="1" t="s">
        <v>5171</v>
      </c>
      <c r="B169" s="1" t="s">
        <v>18</v>
      </c>
      <c r="C169" s="1" t="s">
        <v>92</v>
      </c>
      <c r="D169" s="1" t="s">
        <v>12079</v>
      </c>
      <c r="E169" s="1" t="str">
        <f>"8145"</f>
        <v>8145</v>
      </c>
      <c r="F169" s="1" t="str">
        <f>"014674051"</f>
        <v>014674051</v>
      </c>
      <c r="G169" s="1" t="s">
        <v>423</v>
      </c>
      <c r="H169" s="1" t="s">
        <v>215</v>
      </c>
      <c r="I169" s="4" t="str">
        <f>"1"</f>
        <v>1</v>
      </c>
      <c r="J169" s="2">
        <v>31173.24</v>
      </c>
      <c r="K169" s="3">
        <v>46145</v>
      </c>
      <c r="L169" s="3">
        <v>46188</v>
      </c>
      <c r="M169" s="1" t="s">
        <v>12078</v>
      </c>
      <c r="N169" s="1" t="s">
        <v>12077</v>
      </c>
    </row>
    <row r="170" spans="1:14" s="1" customFormat="1" x14ac:dyDescent="0.35">
      <c r="A170" s="1" t="s">
        <v>5171</v>
      </c>
      <c r="B170" s="1" t="s">
        <v>18</v>
      </c>
      <c r="C170" s="1" t="s">
        <v>152</v>
      </c>
      <c r="D170" s="1" t="s">
        <v>12076</v>
      </c>
      <c r="E170" s="1" t="str">
        <f>"2330"</f>
        <v>2330</v>
      </c>
      <c r="F170" s="1" t="str">
        <f>"012073533"</f>
        <v>012073533</v>
      </c>
      <c r="G170" s="1" t="s">
        <v>6365</v>
      </c>
      <c r="H170" s="1" t="s">
        <v>16</v>
      </c>
      <c r="I170" s="4" t="str">
        <f>"1"</f>
        <v>1</v>
      </c>
      <c r="J170" s="2" t="str">
        <f>"14423"</f>
        <v>14423</v>
      </c>
      <c r="K170" s="3">
        <v>46169</v>
      </c>
      <c r="L170" s="3">
        <v>46190</v>
      </c>
      <c r="M170" s="1" t="s">
        <v>12075</v>
      </c>
      <c r="N170" s="1" t="s">
        <v>12074</v>
      </c>
    </row>
    <row r="171" spans="1:14" s="1" customFormat="1" x14ac:dyDescent="0.35">
      <c r="A171" s="1" t="s">
        <v>5216</v>
      </c>
      <c r="B171" s="1" t="s">
        <v>18</v>
      </c>
      <c r="C171" s="1" t="s">
        <v>12037</v>
      </c>
      <c r="D171" s="1" t="s">
        <v>12073</v>
      </c>
      <c r="E171" s="1" t="str">
        <f>"1740"</f>
        <v>1740</v>
      </c>
      <c r="F171" s="1" t="str">
        <f>"013894119"</f>
        <v>013894119</v>
      </c>
      <c r="G171" s="1" t="s">
        <v>3758</v>
      </c>
      <c r="H171" s="1" t="s">
        <v>16</v>
      </c>
      <c r="I171" s="4" t="str">
        <f>"1"</f>
        <v>1</v>
      </c>
      <c r="J171" s="2">
        <v>29723.74</v>
      </c>
      <c r="K171" s="3">
        <v>46190</v>
      </c>
      <c r="L171" s="3">
        <v>46191</v>
      </c>
      <c r="M171" s="1" t="s">
        <v>12072</v>
      </c>
      <c r="N171" s="1" t="s">
        <v>12071</v>
      </c>
    </row>
    <row r="172" spans="1:14" s="1" customFormat="1" x14ac:dyDescent="0.35">
      <c r="A172" s="1" t="s">
        <v>5171</v>
      </c>
      <c r="B172" s="1" t="s">
        <v>18</v>
      </c>
      <c r="C172" s="1" t="s">
        <v>173</v>
      </c>
      <c r="D172" s="1" t="s">
        <v>12070</v>
      </c>
      <c r="E172" s="1" t="str">
        <f>"2330"</f>
        <v>2330</v>
      </c>
      <c r="F172" s="1" t="s">
        <v>70</v>
      </c>
      <c r="G172" s="1" t="s">
        <v>71</v>
      </c>
      <c r="H172" s="1" t="s">
        <v>16</v>
      </c>
      <c r="I172" s="4" t="str">
        <f>"1"</f>
        <v>1</v>
      </c>
      <c r="J172" s="2" t="str">
        <f>"26680"</f>
        <v>26680</v>
      </c>
      <c r="K172" s="3">
        <v>46186</v>
      </c>
      <c r="L172" s="3">
        <v>46191</v>
      </c>
      <c r="M172" s="1" t="s">
        <v>12069</v>
      </c>
      <c r="N172" s="1" t="s">
        <v>12068</v>
      </c>
    </row>
    <row r="173" spans="1:14" s="1" customFormat="1" x14ac:dyDescent="0.35">
      <c r="A173" s="1" t="s">
        <v>5171</v>
      </c>
      <c r="B173" s="1" t="s">
        <v>18</v>
      </c>
      <c r="C173" s="1" t="s">
        <v>73</v>
      </c>
      <c r="D173" s="1" t="s">
        <v>12067</v>
      </c>
      <c r="E173" s="1" t="str">
        <f>"2420"</f>
        <v>2420</v>
      </c>
      <c r="F173" s="1" t="s">
        <v>501</v>
      </c>
      <c r="G173" s="1" t="s">
        <v>502</v>
      </c>
      <c r="H173" s="1" t="s">
        <v>16</v>
      </c>
      <c r="I173" s="4" t="str">
        <f>"1"</f>
        <v>1</v>
      </c>
      <c r="J173" s="2" t="str">
        <f>"19000"</f>
        <v>19000</v>
      </c>
      <c r="K173" s="3">
        <v>46179</v>
      </c>
      <c r="L173" s="3">
        <v>46195</v>
      </c>
      <c r="M173" s="1" t="s">
        <v>12066</v>
      </c>
      <c r="N173" s="1" t="s">
        <v>12065</v>
      </c>
    </row>
    <row r="174" spans="1:14" s="1" customFormat="1" x14ac:dyDescent="0.35">
      <c r="A174" s="1" t="s">
        <v>5171</v>
      </c>
      <c r="B174" s="1" t="s">
        <v>18</v>
      </c>
      <c r="C174" s="1" t="s">
        <v>152</v>
      </c>
      <c r="D174" s="1" t="s">
        <v>12064</v>
      </c>
      <c r="E174" s="1" t="str">
        <f>"7010"</f>
        <v>7010</v>
      </c>
      <c r="F174" s="1" t="str">
        <f>"016447863"</f>
        <v>016447863</v>
      </c>
      <c r="G174" s="1" t="s">
        <v>1422</v>
      </c>
      <c r="H174" s="1" t="s">
        <v>16</v>
      </c>
      <c r="I174" s="4" t="str">
        <f>"3"</f>
        <v>3</v>
      </c>
      <c r="J174" s="2" t="str">
        <f>"2105"</f>
        <v>2105</v>
      </c>
      <c r="K174" s="3">
        <v>46187</v>
      </c>
      <c r="L174" s="3">
        <v>46195</v>
      </c>
      <c r="M174" s="1" t="s">
        <v>12063</v>
      </c>
      <c r="N174" s="1" t="s">
        <v>12062</v>
      </c>
    </row>
    <row r="175" spans="1:14" s="1" customFormat="1" x14ac:dyDescent="0.35">
      <c r="A175" s="1" t="s">
        <v>5171</v>
      </c>
      <c r="B175" s="1" t="s">
        <v>18</v>
      </c>
      <c r="C175" s="1" t="s">
        <v>354</v>
      </c>
      <c r="D175" s="1" t="s">
        <v>12061</v>
      </c>
      <c r="E175" s="1" t="str">
        <f>"2330"</f>
        <v>2330</v>
      </c>
      <c r="F175" s="1" t="str">
        <f>"013959232"</f>
        <v>013959232</v>
      </c>
      <c r="G175" s="1" t="s">
        <v>122</v>
      </c>
      <c r="H175" s="1" t="s">
        <v>16</v>
      </c>
      <c r="I175" s="4" t="str">
        <f>"1"</f>
        <v>1</v>
      </c>
      <c r="J175" s="2" t="str">
        <f>"11117"</f>
        <v>11117</v>
      </c>
      <c r="K175" s="3">
        <v>46181</v>
      </c>
      <c r="L175" s="3">
        <v>46195</v>
      </c>
      <c r="M175" s="1" t="s">
        <v>12060</v>
      </c>
      <c r="N175" s="1" t="s">
        <v>12059</v>
      </c>
    </row>
    <row r="176" spans="1:14" s="1" customFormat="1" x14ac:dyDescent="0.35">
      <c r="A176" s="1" t="s">
        <v>5171</v>
      </c>
      <c r="B176" s="1" t="s">
        <v>18</v>
      </c>
      <c r="C176" s="1" t="s">
        <v>173</v>
      </c>
      <c r="D176" s="1" t="s">
        <v>12058</v>
      </c>
      <c r="E176" s="1" t="str">
        <f>"2340"</f>
        <v>2340</v>
      </c>
      <c r="F176" s="1" t="s">
        <v>2017</v>
      </c>
      <c r="G176" s="1" t="s">
        <v>2018</v>
      </c>
      <c r="H176" s="1" t="s">
        <v>16</v>
      </c>
      <c r="I176" s="4" t="str">
        <f>"1"</f>
        <v>1</v>
      </c>
      <c r="J176" s="2" t="str">
        <f>"3938"</f>
        <v>3938</v>
      </c>
      <c r="K176" s="3">
        <v>46191</v>
      </c>
      <c r="L176" s="3">
        <v>46196</v>
      </c>
      <c r="M176" s="1" t="s">
        <v>12057</v>
      </c>
      <c r="N176" s="1" t="s">
        <v>12052</v>
      </c>
    </row>
    <row r="177" spans="1:14" s="1" customFormat="1" x14ac:dyDescent="0.35">
      <c r="A177" s="1" t="s">
        <v>5171</v>
      </c>
      <c r="B177" s="1" t="s">
        <v>18</v>
      </c>
      <c r="C177" s="1" t="s">
        <v>173</v>
      </c>
      <c r="D177" s="1" t="s">
        <v>12056</v>
      </c>
      <c r="E177" s="1" t="str">
        <f>"2340"</f>
        <v>2340</v>
      </c>
      <c r="F177" s="1" t="s">
        <v>2017</v>
      </c>
      <c r="G177" s="1" t="s">
        <v>2018</v>
      </c>
      <c r="H177" s="1" t="s">
        <v>16</v>
      </c>
      <c r="I177" s="4" t="str">
        <f>"1"</f>
        <v>1</v>
      </c>
      <c r="J177" s="2" t="str">
        <f>"3938"</f>
        <v>3938</v>
      </c>
      <c r="K177" s="3">
        <v>46191</v>
      </c>
      <c r="L177" s="3">
        <v>46196</v>
      </c>
      <c r="M177" s="1" t="s">
        <v>12055</v>
      </c>
      <c r="N177" s="1" t="s">
        <v>12052</v>
      </c>
    </row>
    <row r="178" spans="1:14" s="1" customFormat="1" x14ac:dyDescent="0.35">
      <c r="A178" s="1" t="s">
        <v>5171</v>
      </c>
      <c r="B178" s="1" t="s">
        <v>18</v>
      </c>
      <c r="C178" s="1" t="s">
        <v>173</v>
      </c>
      <c r="D178" s="1" t="s">
        <v>12054</v>
      </c>
      <c r="E178" s="1" t="str">
        <f>"2340"</f>
        <v>2340</v>
      </c>
      <c r="F178" s="1" t="s">
        <v>2017</v>
      </c>
      <c r="G178" s="1" t="s">
        <v>2018</v>
      </c>
      <c r="H178" s="1" t="s">
        <v>16</v>
      </c>
      <c r="I178" s="4" t="str">
        <f>"1"</f>
        <v>1</v>
      </c>
      <c r="J178" s="2" t="str">
        <f>"3938"</f>
        <v>3938</v>
      </c>
      <c r="K178" s="3">
        <v>46191</v>
      </c>
      <c r="L178" s="3">
        <v>46196</v>
      </c>
      <c r="M178" s="1" t="s">
        <v>12053</v>
      </c>
      <c r="N178" s="1" t="s">
        <v>12052</v>
      </c>
    </row>
    <row r="179" spans="1:14" s="1" customFormat="1" x14ac:dyDescent="0.35">
      <c r="A179" s="1" t="s">
        <v>5171</v>
      </c>
      <c r="B179" s="1" t="s">
        <v>18</v>
      </c>
      <c r="C179" s="1" t="s">
        <v>181</v>
      </c>
      <c r="D179" s="1" t="s">
        <v>12051</v>
      </c>
      <c r="E179" s="1" t="str">
        <f>"1240"</f>
        <v>1240</v>
      </c>
      <c r="F179" s="1" t="str">
        <f>"015247984"</f>
        <v>015247984</v>
      </c>
      <c r="G179" s="1" t="s">
        <v>1159</v>
      </c>
      <c r="H179" s="1" t="s">
        <v>16</v>
      </c>
      <c r="I179" s="4" t="str">
        <f>"1"</f>
        <v>1</v>
      </c>
      <c r="J179" s="2" t="str">
        <f>"23814"</f>
        <v>23814</v>
      </c>
      <c r="K179" s="3">
        <v>46154</v>
      </c>
      <c r="L179" s="3">
        <v>46196</v>
      </c>
      <c r="M179" s="1" t="s">
        <v>12050</v>
      </c>
      <c r="N179" s="1" t="s">
        <v>12049</v>
      </c>
    </row>
    <row r="180" spans="1:14" s="1" customFormat="1" x14ac:dyDescent="0.35">
      <c r="A180" s="1" t="s">
        <v>5171</v>
      </c>
      <c r="B180" s="1" t="s">
        <v>18</v>
      </c>
      <c r="C180" s="1" t="s">
        <v>12037</v>
      </c>
      <c r="D180" s="1" t="s">
        <v>12048</v>
      </c>
      <c r="E180" s="1" t="str">
        <f>"2355"</f>
        <v>2355</v>
      </c>
      <c r="F180" s="1" t="str">
        <f>"014818570"</f>
        <v>014818570</v>
      </c>
      <c r="G180" s="1" t="s">
        <v>8807</v>
      </c>
      <c r="H180" s="1" t="s">
        <v>16</v>
      </c>
      <c r="I180" s="4" t="str">
        <f>"1"</f>
        <v>1</v>
      </c>
      <c r="J180" s="2" t="str">
        <f>"3839417"</f>
        <v>3839417</v>
      </c>
      <c r="K180" s="3">
        <v>46196</v>
      </c>
      <c r="L180" s="3">
        <v>46199</v>
      </c>
      <c r="M180" s="1" t="s">
        <v>5167</v>
      </c>
      <c r="N180" s="1" t="s">
        <v>12047</v>
      </c>
    </row>
    <row r="181" spans="1:14" s="1" customFormat="1" x14ac:dyDescent="0.35">
      <c r="A181" s="1" t="s">
        <v>5171</v>
      </c>
      <c r="B181" s="1" t="s">
        <v>18</v>
      </c>
      <c r="C181" s="1" t="s">
        <v>269</v>
      </c>
      <c r="D181" s="1" t="s">
        <v>12046</v>
      </c>
      <c r="E181" s="1" t="str">
        <f>"5180"</f>
        <v>5180</v>
      </c>
      <c r="F181" s="1" t="str">
        <f>"005961509"</f>
        <v>005961509</v>
      </c>
      <c r="G181" s="1" t="s">
        <v>12045</v>
      </c>
      <c r="H181" s="1" t="s">
        <v>215</v>
      </c>
      <c r="I181" s="4" t="str">
        <f>"1"</f>
        <v>1</v>
      </c>
      <c r="J181" s="2" t="str">
        <f>"5950"</f>
        <v>5950</v>
      </c>
      <c r="K181" s="3">
        <v>46196</v>
      </c>
      <c r="L181" s="3">
        <v>46199</v>
      </c>
      <c r="M181" s="1" t="s">
        <v>12044</v>
      </c>
      <c r="N181" s="1" t="s">
        <v>280</v>
      </c>
    </row>
    <row r="182" spans="1:14" s="1" customFormat="1" x14ac:dyDescent="0.35">
      <c r="A182" s="1" t="s">
        <v>5171</v>
      </c>
      <c r="B182" s="1" t="s">
        <v>18</v>
      </c>
      <c r="C182" s="1" t="s">
        <v>354</v>
      </c>
      <c r="D182" s="1" t="s">
        <v>12043</v>
      </c>
      <c r="E182" s="1" t="str">
        <f>"8415"</f>
        <v>8415</v>
      </c>
      <c r="F182" s="1" t="str">
        <f>"015384720"</f>
        <v>015384720</v>
      </c>
      <c r="G182" s="1" t="s">
        <v>12040</v>
      </c>
      <c r="H182" s="1" t="s">
        <v>16</v>
      </c>
      <c r="I182" s="4" t="str">
        <f>"1"</f>
        <v>1</v>
      </c>
      <c r="J182" s="2">
        <v>1178.5999999999999</v>
      </c>
      <c r="K182" s="3">
        <v>46160</v>
      </c>
      <c r="L182" s="3">
        <v>46199</v>
      </c>
      <c r="M182" s="1" t="s">
        <v>12042</v>
      </c>
      <c r="N182" s="1" t="s">
        <v>12038</v>
      </c>
    </row>
    <row r="183" spans="1:14" s="1" customFormat="1" x14ac:dyDescent="0.35">
      <c r="A183" s="1" t="s">
        <v>5171</v>
      </c>
      <c r="B183" s="1" t="s">
        <v>18</v>
      </c>
      <c r="C183" s="1" t="s">
        <v>354</v>
      </c>
      <c r="D183" s="1" t="s">
        <v>12041</v>
      </c>
      <c r="E183" s="1" t="str">
        <f>"8415"</f>
        <v>8415</v>
      </c>
      <c r="F183" s="1" t="str">
        <f>"015384720"</f>
        <v>015384720</v>
      </c>
      <c r="G183" s="1" t="s">
        <v>12040</v>
      </c>
      <c r="H183" s="1" t="s">
        <v>16</v>
      </c>
      <c r="I183" s="4" t="str">
        <f>"2"</f>
        <v>2</v>
      </c>
      <c r="J183" s="2">
        <v>1178.5999999999999</v>
      </c>
      <c r="K183" s="3">
        <v>46160</v>
      </c>
      <c r="L183" s="3">
        <v>46199</v>
      </c>
      <c r="M183" s="1" t="s">
        <v>12039</v>
      </c>
      <c r="N183" s="1" t="s">
        <v>12038</v>
      </c>
    </row>
    <row r="184" spans="1:14" s="1" customFormat="1" x14ac:dyDescent="0.35">
      <c r="A184" s="1" t="s">
        <v>5171</v>
      </c>
      <c r="B184" s="1" t="s">
        <v>18</v>
      </c>
      <c r="C184" s="1" t="s">
        <v>12037</v>
      </c>
      <c r="D184" s="1" t="s">
        <v>12036</v>
      </c>
      <c r="E184" s="1" t="str">
        <f>"2330"</f>
        <v>2330</v>
      </c>
      <c r="F184" s="1" t="s">
        <v>70</v>
      </c>
      <c r="G184" s="1" t="s">
        <v>71</v>
      </c>
      <c r="H184" s="1" t="s">
        <v>16</v>
      </c>
      <c r="I184" s="4" t="str">
        <f>"1"</f>
        <v>1</v>
      </c>
      <c r="J184" s="2" t="str">
        <f>"18349"</f>
        <v>18349</v>
      </c>
      <c r="K184" s="3">
        <v>46191</v>
      </c>
      <c r="L184" s="3">
        <v>46200</v>
      </c>
      <c r="M184" s="1" t="s">
        <v>12035</v>
      </c>
      <c r="N184" s="1" t="s">
        <v>12034</v>
      </c>
    </row>
    <row r="185" spans="1:14" s="1" customFormat="1" x14ac:dyDescent="0.35">
      <c r="A185" s="1" t="s">
        <v>5171</v>
      </c>
      <c r="B185" s="1" t="s">
        <v>18</v>
      </c>
      <c r="C185" s="1" t="s">
        <v>12033</v>
      </c>
      <c r="D185" s="1" t="s">
        <v>12032</v>
      </c>
      <c r="E185" s="1" t="str">
        <f>"2330"</f>
        <v>2330</v>
      </c>
      <c r="F185" s="1" t="s">
        <v>70</v>
      </c>
      <c r="G185" s="1" t="s">
        <v>71</v>
      </c>
      <c r="H185" s="1" t="s">
        <v>16</v>
      </c>
      <c r="I185" s="4" t="str">
        <f>"1"</f>
        <v>1</v>
      </c>
      <c r="J185" s="2" t="str">
        <f>"18349"</f>
        <v>18349</v>
      </c>
      <c r="K185" s="3">
        <v>46191</v>
      </c>
      <c r="L185" s="3">
        <v>46200</v>
      </c>
      <c r="M185" s="1" t="s">
        <v>12031</v>
      </c>
      <c r="N185" s="1" t="s">
        <v>12030</v>
      </c>
    </row>
    <row r="186" spans="1:14" s="1" customFormat="1" x14ac:dyDescent="0.35">
      <c r="A186" s="1" t="s">
        <v>5171</v>
      </c>
      <c r="B186" s="1" t="s">
        <v>18</v>
      </c>
      <c r="C186" s="1" t="s">
        <v>269</v>
      </c>
      <c r="D186" s="1" t="s">
        <v>12029</v>
      </c>
      <c r="E186" s="1" t="str">
        <f>"6515"</f>
        <v>6515</v>
      </c>
      <c r="F186" s="1" t="str">
        <f>"015257595"</f>
        <v>015257595</v>
      </c>
      <c r="G186" s="1" t="s">
        <v>12026</v>
      </c>
      <c r="H186" s="1" t="s">
        <v>16</v>
      </c>
      <c r="I186" s="4" t="str">
        <f>"1"</f>
        <v>1</v>
      </c>
      <c r="J186" s="2">
        <v>426.89</v>
      </c>
      <c r="K186" s="3">
        <v>46189</v>
      </c>
      <c r="L186" s="3">
        <v>46200</v>
      </c>
      <c r="M186" s="1" t="s">
        <v>12028</v>
      </c>
      <c r="N186" s="1" t="s">
        <v>12024</v>
      </c>
    </row>
    <row r="187" spans="1:14" s="1" customFormat="1" x14ac:dyDescent="0.35">
      <c r="A187" s="1" t="s">
        <v>5171</v>
      </c>
      <c r="B187" s="1" t="s">
        <v>18</v>
      </c>
      <c r="C187" s="1" t="s">
        <v>269</v>
      </c>
      <c r="D187" s="1" t="s">
        <v>12027</v>
      </c>
      <c r="E187" s="1" t="str">
        <f>"6515"</f>
        <v>6515</v>
      </c>
      <c r="F187" s="1" t="str">
        <f>"015257595"</f>
        <v>015257595</v>
      </c>
      <c r="G187" s="1" t="s">
        <v>12026</v>
      </c>
      <c r="H187" s="1" t="s">
        <v>16</v>
      </c>
      <c r="I187" s="4" t="str">
        <f>"1"</f>
        <v>1</v>
      </c>
      <c r="J187" s="2">
        <v>426.89</v>
      </c>
      <c r="K187" s="3">
        <v>46189</v>
      </c>
      <c r="L187" s="3">
        <v>46200</v>
      </c>
      <c r="M187" s="1" t="s">
        <v>12025</v>
      </c>
      <c r="N187" s="1" t="s">
        <v>12024</v>
      </c>
    </row>
    <row r="188" spans="1:14" s="1" customFormat="1" x14ac:dyDescent="0.35">
      <c r="A188" s="1" t="s">
        <v>5171</v>
      </c>
      <c r="B188" s="1" t="s">
        <v>18</v>
      </c>
      <c r="C188" s="1" t="s">
        <v>269</v>
      </c>
      <c r="D188" s="1" t="s">
        <v>12023</v>
      </c>
      <c r="E188" s="1" t="str">
        <f>"8145"</f>
        <v>8145</v>
      </c>
      <c r="F188" s="1" t="str">
        <f>"012873294"</f>
        <v>012873294</v>
      </c>
      <c r="G188" s="1" t="s">
        <v>423</v>
      </c>
      <c r="H188" s="1" t="s">
        <v>16</v>
      </c>
      <c r="I188" s="4" t="str">
        <f>"1"</f>
        <v>1</v>
      </c>
      <c r="J188" s="2">
        <v>4332.5600000000004</v>
      </c>
      <c r="K188" s="3">
        <v>46199</v>
      </c>
      <c r="L188" s="3">
        <v>46200</v>
      </c>
      <c r="M188" s="1" t="s">
        <v>12022</v>
      </c>
      <c r="N188" s="1" t="s">
        <v>12021</v>
      </c>
    </row>
    <row r="189" spans="1:14" s="1" customFormat="1" x14ac:dyDescent="0.35">
      <c r="A189" s="1" t="s">
        <v>5171</v>
      </c>
      <c r="B189" s="1" t="s">
        <v>18</v>
      </c>
      <c r="C189" s="1" t="s">
        <v>362</v>
      </c>
      <c r="D189" s="1" t="s">
        <v>12020</v>
      </c>
      <c r="E189" s="1" t="str">
        <f>"2330"</f>
        <v>2330</v>
      </c>
      <c r="F189" s="1" t="s">
        <v>70</v>
      </c>
      <c r="G189" s="1" t="s">
        <v>71</v>
      </c>
      <c r="H189" s="1" t="s">
        <v>16</v>
      </c>
      <c r="I189" s="4" t="str">
        <f>"1"</f>
        <v>1</v>
      </c>
      <c r="J189" s="2">
        <v>14204.4</v>
      </c>
      <c r="K189" s="3">
        <v>46191</v>
      </c>
      <c r="L189" s="3">
        <v>46202</v>
      </c>
      <c r="M189" s="1" t="s">
        <v>12019</v>
      </c>
      <c r="N189" s="1" t="s">
        <v>12018</v>
      </c>
    </row>
    <row r="190" spans="1:14" s="1" customFormat="1" x14ac:dyDescent="0.35">
      <c r="A190" s="1" t="s">
        <v>5171</v>
      </c>
      <c r="B190" s="1" t="s">
        <v>18</v>
      </c>
      <c r="C190" s="1" t="s">
        <v>269</v>
      </c>
      <c r="D190" s="1" t="s">
        <v>12017</v>
      </c>
      <c r="E190" s="1" t="str">
        <f>"2320"</f>
        <v>2320</v>
      </c>
      <c r="F190" s="1" t="s">
        <v>975</v>
      </c>
      <c r="G190" s="1" t="s">
        <v>976</v>
      </c>
      <c r="H190" s="1" t="s">
        <v>16</v>
      </c>
      <c r="I190" s="4" t="str">
        <f>"1"</f>
        <v>1</v>
      </c>
      <c r="J190" s="2" t="str">
        <f>"36123"</f>
        <v>36123</v>
      </c>
      <c r="K190" s="3">
        <v>46196</v>
      </c>
      <c r="L190" s="3">
        <v>46203</v>
      </c>
      <c r="M190" s="1" t="s">
        <v>12016</v>
      </c>
      <c r="N190" s="1" t="s">
        <v>274</v>
      </c>
    </row>
    <row r="191" spans="1:14" s="1" customFormat="1" x14ac:dyDescent="0.35">
      <c r="A191" s="1" t="s">
        <v>5171</v>
      </c>
      <c r="B191" s="1" t="s">
        <v>18</v>
      </c>
      <c r="C191" s="1" t="s">
        <v>269</v>
      </c>
      <c r="D191" s="1" t="s">
        <v>12015</v>
      </c>
      <c r="E191" s="1" t="str">
        <f>"2320"</f>
        <v>2320</v>
      </c>
      <c r="F191" s="1" t="s">
        <v>975</v>
      </c>
      <c r="G191" s="1" t="s">
        <v>976</v>
      </c>
      <c r="H191" s="1" t="s">
        <v>16</v>
      </c>
      <c r="I191" s="4" t="str">
        <f>"1"</f>
        <v>1</v>
      </c>
      <c r="J191" s="2">
        <v>36645.83</v>
      </c>
      <c r="K191" s="3">
        <v>46196</v>
      </c>
      <c r="L191" s="3">
        <v>46203</v>
      </c>
      <c r="M191" s="1" t="s">
        <v>12014</v>
      </c>
      <c r="N191" s="1" t="s">
        <v>274</v>
      </c>
    </row>
    <row r="192" spans="1:14" s="1" customFormat="1" x14ac:dyDescent="0.35">
      <c r="A192" s="1" t="s">
        <v>5171</v>
      </c>
      <c r="B192" s="1" t="s">
        <v>18</v>
      </c>
      <c r="C192" s="1" t="s">
        <v>269</v>
      </c>
      <c r="D192" s="1" t="s">
        <v>12013</v>
      </c>
      <c r="E192" s="1" t="str">
        <f>"2320"</f>
        <v>2320</v>
      </c>
      <c r="F192" s="1" t="s">
        <v>975</v>
      </c>
      <c r="G192" s="1" t="s">
        <v>976</v>
      </c>
      <c r="H192" s="1" t="s">
        <v>16</v>
      </c>
      <c r="I192" s="4" t="str">
        <f>"1"</f>
        <v>1</v>
      </c>
      <c r="J192" s="2" t="str">
        <f>"36123"</f>
        <v>36123</v>
      </c>
      <c r="K192" s="3">
        <v>46196</v>
      </c>
      <c r="L192" s="3">
        <v>46203</v>
      </c>
      <c r="M192" s="1" t="s">
        <v>12012</v>
      </c>
      <c r="N192" s="1" t="s">
        <v>274</v>
      </c>
    </row>
    <row r="193" spans="1:14" s="1" customFormat="1" x14ac:dyDescent="0.35">
      <c r="A193" s="1" t="s">
        <v>5171</v>
      </c>
      <c r="B193" s="1" t="s">
        <v>18</v>
      </c>
      <c r="C193" s="1" t="s">
        <v>362</v>
      </c>
      <c r="D193" s="1" t="s">
        <v>12011</v>
      </c>
      <c r="E193" s="1" t="str">
        <f>"2310"</f>
        <v>2310</v>
      </c>
      <c r="F193" s="1" t="str">
        <f>"015034378"</f>
        <v>015034378</v>
      </c>
      <c r="G193" s="1" t="s">
        <v>12010</v>
      </c>
      <c r="H193" s="1" t="s">
        <v>16</v>
      </c>
      <c r="I193" s="4" t="str">
        <f>"1"</f>
        <v>1</v>
      </c>
      <c r="J193" s="2" t="str">
        <f>"121840"</f>
        <v>121840</v>
      </c>
      <c r="K193" s="3">
        <v>46151</v>
      </c>
      <c r="L193" s="3">
        <v>46203</v>
      </c>
      <c r="M193" s="1" t="s">
        <v>12009</v>
      </c>
      <c r="N193" s="1" t="s">
        <v>12008</v>
      </c>
    </row>
    <row r="194" spans="1:14" s="1" customFormat="1" x14ac:dyDescent="0.35">
      <c r="A194" s="1" t="s">
        <v>5171</v>
      </c>
      <c r="B194" s="1" t="s">
        <v>411</v>
      </c>
      <c r="C194" s="1" t="s">
        <v>412</v>
      </c>
      <c r="D194" s="1" t="s">
        <v>12007</v>
      </c>
      <c r="E194" s="1" t="str">
        <f>"2330"</f>
        <v>2330</v>
      </c>
      <c r="F194" s="1" t="str">
        <f>"013875443"</f>
        <v>013875443</v>
      </c>
      <c r="G194" s="1" t="s">
        <v>979</v>
      </c>
      <c r="H194" s="1" t="s">
        <v>16</v>
      </c>
      <c r="I194" s="4" t="str">
        <f>"1"</f>
        <v>1</v>
      </c>
      <c r="J194" s="2" t="str">
        <f>"9535"</f>
        <v>9535</v>
      </c>
      <c r="K194" s="3">
        <v>46122</v>
      </c>
      <c r="L194" s="3">
        <v>46123</v>
      </c>
      <c r="M194" s="1" t="s">
        <v>5167</v>
      </c>
      <c r="N194" s="1" t="s">
        <v>12006</v>
      </c>
    </row>
    <row r="195" spans="1:14" s="1" customFormat="1" x14ac:dyDescent="0.35">
      <c r="A195" s="1" t="s">
        <v>5171</v>
      </c>
      <c r="B195" s="1" t="s">
        <v>411</v>
      </c>
      <c r="C195" s="1" t="s">
        <v>412</v>
      </c>
      <c r="D195" s="1" t="s">
        <v>12005</v>
      </c>
      <c r="E195" s="1" t="str">
        <f>"6115"</f>
        <v>6115</v>
      </c>
      <c r="F195" s="1" t="str">
        <f>"012747387"</f>
        <v>012747387</v>
      </c>
      <c r="G195" s="1" t="s">
        <v>1390</v>
      </c>
      <c r="H195" s="1" t="s">
        <v>16</v>
      </c>
      <c r="I195" s="4" t="str">
        <f>"1"</f>
        <v>1</v>
      </c>
      <c r="J195" s="2">
        <v>12797.7</v>
      </c>
      <c r="K195" s="3">
        <v>46122</v>
      </c>
      <c r="L195" s="3">
        <v>46123</v>
      </c>
      <c r="M195" s="1" t="s">
        <v>5167</v>
      </c>
      <c r="N195" s="1" t="s">
        <v>12004</v>
      </c>
    </row>
    <row r="196" spans="1:14" s="1" customFormat="1" x14ac:dyDescent="0.35">
      <c r="A196" s="1" t="s">
        <v>5171</v>
      </c>
      <c r="B196" s="1" t="s">
        <v>411</v>
      </c>
      <c r="C196" s="1" t="s">
        <v>11981</v>
      </c>
      <c r="D196" s="1" t="s">
        <v>12003</v>
      </c>
      <c r="E196" s="1" t="str">
        <f>"5855"</f>
        <v>5855</v>
      </c>
      <c r="F196" s="1" t="str">
        <f>"015330940"</f>
        <v>015330940</v>
      </c>
      <c r="G196" s="1" t="s">
        <v>175</v>
      </c>
      <c r="H196" s="1" t="s">
        <v>16</v>
      </c>
      <c r="I196" s="4" t="str">
        <f>"2"</f>
        <v>2</v>
      </c>
      <c r="J196" s="2" t="str">
        <f>"5000"</f>
        <v>5000</v>
      </c>
      <c r="K196" s="3">
        <v>46132</v>
      </c>
      <c r="L196" s="3">
        <v>46135</v>
      </c>
      <c r="M196" s="1" t="s">
        <v>5167</v>
      </c>
      <c r="N196" s="1" t="s">
        <v>12002</v>
      </c>
    </row>
    <row r="197" spans="1:14" s="1" customFormat="1" x14ac:dyDescent="0.35">
      <c r="A197" s="1" t="s">
        <v>5171</v>
      </c>
      <c r="B197" s="1" t="s">
        <v>411</v>
      </c>
      <c r="C197" s="1" t="s">
        <v>11981</v>
      </c>
      <c r="D197" s="1" t="s">
        <v>12001</v>
      </c>
      <c r="E197" s="1" t="str">
        <f>"5830"</f>
        <v>5830</v>
      </c>
      <c r="F197" s="1" t="str">
        <f>"016708863"</f>
        <v>016708863</v>
      </c>
      <c r="G197" s="1" t="s">
        <v>1767</v>
      </c>
      <c r="H197" s="1" t="s">
        <v>16</v>
      </c>
      <c r="I197" s="4" t="str">
        <f>"2"</f>
        <v>2</v>
      </c>
      <c r="J197" s="2" t="str">
        <f>"27775"</f>
        <v>27775</v>
      </c>
      <c r="K197" s="3">
        <v>46125</v>
      </c>
      <c r="L197" s="3">
        <v>46137</v>
      </c>
      <c r="M197" s="1" t="s">
        <v>5167</v>
      </c>
      <c r="N197" s="1" t="s">
        <v>12000</v>
      </c>
    </row>
    <row r="198" spans="1:14" s="1" customFormat="1" x14ac:dyDescent="0.35">
      <c r="A198" s="1" t="s">
        <v>5171</v>
      </c>
      <c r="B198" s="1" t="s">
        <v>411</v>
      </c>
      <c r="C198" s="1" t="s">
        <v>11981</v>
      </c>
      <c r="D198" s="1" t="s">
        <v>11999</v>
      </c>
      <c r="E198" s="1" t="str">
        <f>"1005"</f>
        <v>1005</v>
      </c>
      <c r="F198" s="1" t="str">
        <f>"015697470"</f>
        <v>015697470</v>
      </c>
      <c r="G198" s="1" t="s">
        <v>11998</v>
      </c>
      <c r="H198" s="1" t="s">
        <v>16</v>
      </c>
      <c r="I198" s="4" t="str">
        <f>"1"</f>
        <v>1</v>
      </c>
      <c r="J198" s="2" t="str">
        <f>"1051"</f>
        <v>1051</v>
      </c>
      <c r="K198" s="3">
        <v>46132</v>
      </c>
      <c r="L198" s="3">
        <v>46145</v>
      </c>
      <c r="M198" s="1" t="s">
        <v>5167</v>
      </c>
      <c r="N198" s="1" t="s">
        <v>11997</v>
      </c>
    </row>
    <row r="199" spans="1:14" s="1" customFormat="1" x14ac:dyDescent="0.35">
      <c r="A199" s="1" t="s">
        <v>5171</v>
      </c>
      <c r="B199" s="1" t="s">
        <v>411</v>
      </c>
      <c r="C199" s="1" t="s">
        <v>11981</v>
      </c>
      <c r="D199" s="1" t="s">
        <v>11996</v>
      </c>
      <c r="E199" s="1" t="str">
        <f>"5830"</f>
        <v>5830</v>
      </c>
      <c r="F199" s="1" t="str">
        <f>"016520929"</f>
        <v>016520929</v>
      </c>
      <c r="G199" s="1" t="s">
        <v>1767</v>
      </c>
      <c r="H199" s="1" t="s">
        <v>16</v>
      </c>
      <c r="I199" s="4" t="str">
        <f>"2"</f>
        <v>2</v>
      </c>
      <c r="J199" s="2" t="str">
        <f>"25000"</f>
        <v>25000</v>
      </c>
      <c r="K199" s="3">
        <v>46133</v>
      </c>
      <c r="L199" s="3">
        <v>46145</v>
      </c>
      <c r="M199" s="1" t="s">
        <v>5167</v>
      </c>
      <c r="N199" s="1" t="s">
        <v>11995</v>
      </c>
    </row>
    <row r="200" spans="1:14" s="1" customFormat="1" x14ac:dyDescent="0.35">
      <c r="A200" s="1" t="s">
        <v>5171</v>
      </c>
      <c r="B200" s="1" t="s">
        <v>411</v>
      </c>
      <c r="C200" s="1" t="s">
        <v>11981</v>
      </c>
      <c r="D200" s="1" t="s">
        <v>11994</v>
      </c>
      <c r="E200" s="1" t="str">
        <f>"5830"</f>
        <v>5830</v>
      </c>
      <c r="F200" s="1" t="str">
        <f>"016708863"</f>
        <v>016708863</v>
      </c>
      <c r="G200" s="1" t="s">
        <v>1767</v>
      </c>
      <c r="H200" s="1" t="s">
        <v>16</v>
      </c>
      <c r="I200" s="4" t="str">
        <f>"2"</f>
        <v>2</v>
      </c>
      <c r="J200" s="2" t="str">
        <f>"27775"</f>
        <v>27775</v>
      </c>
      <c r="K200" s="3">
        <v>46139</v>
      </c>
      <c r="L200" s="3">
        <v>46151</v>
      </c>
      <c r="M200" s="1" t="s">
        <v>5167</v>
      </c>
      <c r="N200" s="1" t="s">
        <v>11993</v>
      </c>
    </row>
    <row r="201" spans="1:14" s="1" customFormat="1" x14ac:dyDescent="0.35">
      <c r="A201" s="1" t="s">
        <v>5171</v>
      </c>
      <c r="B201" s="1" t="s">
        <v>411</v>
      </c>
      <c r="C201" s="1" t="s">
        <v>11981</v>
      </c>
      <c r="D201" s="1" t="s">
        <v>11992</v>
      </c>
      <c r="E201" s="1" t="str">
        <f>"5830"</f>
        <v>5830</v>
      </c>
      <c r="F201" s="1" t="str">
        <f>"016259732"</f>
        <v>016259732</v>
      </c>
      <c r="G201" s="1" t="s">
        <v>1767</v>
      </c>
      <c r="H201" s="1" t="s">
        <v>16</v>
      </c>
      <c r="I201" s="4" t="str">
        <f>"1"</f>
        <v>1</v>
      </c>
      <c r="J201" s="2" t="str">
        <f>"94423"</f>
        <v>94423</v>
      </c>
      <c r="K201" s="3">
        <v>46142</v>
      </c>
      <c r="L201" s="3">
        <v>46151</v>
      </c>
      <c r="M201" s="1" t="s">
        <v>5167</v>
      </c>
      <c r="N201" s="1" t="s">
        <v>11991</v>
      </c>
    </row>
    <row r="202" spans="1:14" s="1" customFormat="1" x14ac:dyDescent="0.35">
      <c r="A202" s="1" t="s">
        <v>5171</v>
      </c>
      <c r="B202" s="1" t="s">
        <v>411</v>
      </c>
      <c r="C202" s="1" t="s">
        <v>11981</v>
      </c>
      <c r="D202" s="1" t="s">
        <v>11990</v>
      </c>
      <c r="E202" s="1" t="str">
        <f>"5830"</f>
        <v>5830</v>
      </c>
      <c r="F202" s="1" t="str">
        <f>"016708863"</f>
        <v>016708863</v>
      </c>
      <c r="G202" s="1" t="s">
        <v>1767</v>
      </c>
      <c r="H202" s="1" t="s">
        <v>16</v>
      </c>
      <c r="I202" s="4" t="str">
        <f>"2"</f>
        <v>2</v>
      </c>
      <c r="J202" s="2" t="str">
        <f>"27775"</f>
        <v>27775</v>
      </c>
      <c r="K202" s="3">
        <v>46146</v>
      </c>
      <c r="L202" s="3">
        <v>46158</v>
      </c>
      <c r="M202" s="1" t="s">
        <v>5167</v>
      </c>
      <c r="N202" s="1" t="s">
        <v>11989</v>
      </c>
    </row>
    <row r="203" spans="1:14" s="1" customFormat="1" x14ac:dyDescent="0.35">
      <c r="A203" s="1" t="s">
        <v>5171</v>
      </c>
      <c r="B203" s="1" t="s">
        <v>411</v>
      </c>
      <c r="C203" s="1" t="s">
        <v>11981</v>
      </c>
      <c r="D203" s="1" t="s">
        <v>11988</v>
      </c>
      <c r="E203" s="1" t="str">
        <f>"1240"</f>
        <v>1240</v>
      </c>
      <c r="F203" s="1" t="str">
        <f>"015065920"</f>
        <v>015065920</v>
      </c>
      <c r="G203" s="1" t="s">
        <v>175</v>
      </c>
      <c r="H203" s="1" t="s">
        <v>16</v>
      </c>
      <c r="I203" s="4" t="str">
        <f>"10"</f>
        <v>10</v>
      </c>
      <c r="J203" s="2">
        <v>1185.0999999999999</v>
      </c>
      <c r="K203" s="3">
        <v>46150</v>
      </c>
      <c r="L203" s="3">
        <v>46159</v>
      </c>
      <c r="M203" s="1" t="s">
        <v>5167</v>
      </c>
      <c r="N203" s="1" t="s">
        <v>11987</v>
      </c>
    </row>
    <row r="204" spans="1:14" s="1" customFormat="1" x14ac:dyDescent="0.35">
      <c r="A204" s="1" t="s">
        <v>5171</v>
      </c>
      <c r="B204" s="1" t="s">
        <v>411</v>
      </c>
      <c r="C204" s="1" t="s">
        <v>11981</v>
      </c>
      <c r="D204" s="1" t="s">
        <v>11986</v>
      </c>
      <c r="E204" s="1" t="str">
        <f>"5855"</f>
        <v>5855</v>
      </c>
      <c r="F204" s="1" t="str">
        <f>"015481555"</f>
        <v>015481555</v>
      </c>
      <c r="G204" s="1" t="s">
        <v>175</v>
      </c>
      <c r="H204" s="1" t="s">
        <v>16</v>
      </c>
      <c r="I204" s="4" t="str">
        <f>"1"</f>
        <v>1</v>
      </c>
      <c r="J204" s="2">
        <v>9366.36</v>
      </c>
      <c r="K204" s="3">
        <v>46169</v>
      </c>
      <c r="L204" s="3">
        <v>46171</v>
      </c>
      <c r="M204" s="1" t="s">
        <v>5167</v>
      </c>
      <c r="N204" s="1" t="s">
        <v>11984</v>
      </c>
    </row>
    <row r="205" spans="1:14" s="1" customFormat="1" x14ac:dyDescent="0.35">
      <c r="A205" s="1" t="s">
        <v>5171</v>
      </c>
      <c r="B205" s="1" t="s">
        <v>411</v>
      </c>
      <c r="C205" s="1" t="s">
        <v>11981</v>
      </c>
      <c r="D205" s="1" t="s">
        <v>11985</v>
      </c>
      <c r="E205" s="1" t="str">
        <f>"1240"</f>
        <v>1240</v>
      </c>
      <c r="F205" s="1" t="s">
        <v>1800</v>
      </c>
      <c r="G205" s="1" t="s">
        <v>1801</v>
      </c>
      <c r="H205" s="1" t="s">
        <v>16</v>
      </c>
      <c r="I205" s="4" t="str">
        <f>"2"</f>
        <v>2</v>
      </c>
      <c r="J205" s="2">
        <v>18924.419999999998</v>
      </c>
      <c r="K205" s="3">
        <v>46169</v>
      </c>
      <c r="L205" s="3">
        <v>46171</v>
      </c>
      <c r="M205" s="1" t="s">
        <v>5167</v>
      </c>
      <c r="N205" s="1" t="s">
        <v>11984</v>
      </c>
    </row>
    <row r="206" spans="1:14" s="1" customFormat="1" x14ac:dyDescent="0.35">
      <c r="A206" s="1" t="s">
        <v>5171</v>
      </c>
      <c r="B206" s="1" t="s">
        <v>411</v>
      </c>
      <c r="C206" s="1" t="s">
        <v>11981</v>
      </c>
      <c r="D206" s="1" t="s">
        <v>11983</v>
      </c>
      <c r="E206" s="1" t="str">
        <f>"5830"</f>
        <v>5830</v>
      </c>
      <c r="F206" s="1" t="str">
        <f>"016520929"</f>
        <v>016520929</v>
      </c>
      <c r="G206" s="1" t="s">
        <v>1767</v>
      </c>
      <c r="H206" s="1" t="s">
        <v>16</v>
      </c>
      <c r="I206" s="4" t="str">
        <f>"1"</f>
        <v>1</v>
      </c>
      <c r="J206" s="2" t="str">
        <f>"25000"</f>
        <v>25000</v>
      </c>
      <c r="K206" s="3">
        <v>46169</v>
      </c>
      <c r="L206" s="3">
        <v>46179</v>
      </c>
      <c r="M206" s="1" t="s">
        <v>5167</v>
      </c>
      <c r="N206" s="1" t="s">
        <v>11982</v>
      </c>
    </row>
    <row r="207" spans="1:14" s="1" customFormat="1" x14ac:dyDescent="0.35">
      <c r="A207" s="1" t="s">
        <v>5171</v>
      </c>
      <c r="B207" s="1" t="s">
        <v>411</v>
      </c>
      <c r="C207" s="1" t="s">
        <v>11981</v>
      </c>
      <c r="D207" s="1" t="s">
        <v>11980</v>
      </c>
      <c r="E207" s="1" t="str">
        <f>"1240"</f>
        <v>1240</v>
      </c>
      <c r="F207" s="1" t="s">
        <v>1800</v>
      </c>
      <c r="G207" s="1" t="s">
        <v>1801</v>
      </c>
      <c r="H207" s="1" t="s">
        <v>16</v>
      </c>
      <c r="I207" s="4" t="str">
        <f>"10"</f>
        <v>10</v>
      </c>
      <c r="J207" s="2" t="str">
        <f>"550"</f>
        <v>550</v>
      </c>
      <c r="K207" s="3">
        <v>46181</v>
      </c>
      <c r="L207" s="3">
        <v>46182</v>
      </c>
      <c r="M207" s="1" t="s">
        <v>5167</v>
      </c>
      <c r="N207" s="1" t="s">
        <v>11979</v>
      </c>
    </row>
    <row r="208" spans="1:14" s="1" customFormat="1" x14ac:dyDescent="0.35">
      <c r="A208" s="1" t="s">
        <v>5171</v>
      </c>
      <c r="B208" s="1" t="s">
        <v>411</v>
      </c>
      <c r="C208" s="1" t="s">
        <v>11978</v>
      </c>
      <c r="D208" s="1" t="s">
        <v>11977</v>
      </c>
      <c r="E208" s="1" t="str">
        <f>"6545"</f>
        <v>6545</v>
      </c>
      <c r="F208" s="1" t="s">
        <v>5774</v>
      </c>
      <c r="G208" s="1" t="s">
        <v>5773</v>
      </c>
      <c r="H208" s="1" t="s">
        <v>16</v>
      </c>
      <c r="I208" s="4" t="str">
        <f>"30"</f>
        <v>30</v>
      </c>
      <c r="J208" s="2" t="str">
        <f>"100"</f>
        <v>100</v>
      </c>
      <c r="K208" s="3">
        <v>46189</v>
      </c>
      <c r="L208" s="3">
        <v>46191</v>
      </c>
      <c r="M208" s="1" t="s">
        <v>5167</v>
      </c>
      <c r="N208" s="1" t="s">
        <v>11976</v>
      </c>
    </row>
    <row r="209" spans="1:14" s="1" customFormat="1" x14ac:dyDescent="0.35">
      <c r="A209" s="1" t="s">
        <v>5171</v>
      </c>
      <c r="B209" s="1" t="s">
        <v>411</v>
      </c>
      <c r="C209" s="1" t="s">
        <v>11961</v>
      </c>
      <c r="D209" s="1" t="s">
        <v>11975</v>
      </c>
      <c r="E209" s="1" t="str">
        <f>"6545"</f>
        <v>6545</v>
      </c>
      <c r="F209" s="1" t="s">
        <v>5774</v>
      </c>
      <c r="G209" s="1" t="s">
        <v>5773</v>
      </c>
      <c r="H209" s="1" t="s">
        <v>16</v>
      </c>
      <c r="I209" s="4" t="str">
        <f>"17"</f>
        <v>17</v>
      </c>
      <c r="J209" s="2" t="str">
        <f>"100"</f>
        <v>100</v>
      </c>
      <c r="K209" s="3">
        <v>46188</v>
      </c>
      <c r="L209" s="3">
        <v>46191</v>
      </c>
      <c r="M209" s="1" t="s">
        <v>5167</v>
      </c>
      <c r="N209" s="1" t="s">
        <v>11974</v>
      </c>
    </row>
    <row r="210" spans="1:14" s="1" customFormat="1" x14ac:dyDescent="0.35">
      <c r="A210" s="1" t="s">
        <v>5216</v>
      </c>
      <c r="B210" s="1" t="s">
        <v>411</v>
      </c>
      <c r="C210" s="1" t="s">
        <v>11971</v>
      </c>
      <c r="D210" s="1" t="s">
        <v>11973</v>
      </c>
      <c r="E210" s="1" t="str">
        <f>"2340"</f>
        <v>2340</v>
      </c>
      <c r="F210" s="1" t="s">
        <v>2017</v>
      </c>
      <c r="G210" s="1" t="s">
        <v>2018</v>
      </c>
      <c r="H210" s="1" t="s">
        <v>16</v>
      </c>
      <c r="I210" s="4" t="str">
        <f>"1"</f>
        <v>1</v>
      </c>
      <c r="J210" s="2" t="str">
        <f>"3938"</f>
        <v>3938</v>
      </c>
      <c r="K210" s="3">
        <v>46191</v>
      </c>
      <c r="L210" s="3">
        <v>46195</v>
      </c>
      <c r="M210" s="1" t="s">
        <v>11967</v>
      </c>
      <c r="N210" s="1" t="s">
        <v>11969</v>
      </c>
    </row>
    <row r="211" spans="1:14" s="1" customFormat="1" x14ac:dyDescent="0.35">
      <c r="A211" s="1" t="s">
        <v>5216</v>
      </c>
      <c r="B211" s="1" t="s">
        <v>411</v>
      </c>
      <c r="C211" s="1" t="s">
        <v>11971</v>
      </c>
      <c r="D211" s="1" t="s">
        <v>11972</v>
      </c>
      <c r="E211" s="1" t="str">
        <f>"2340"</f>
        <v>2340</v>
      </c>
      <c r="F211" s="1" t="s">
        <v>2017</v>
      </c>
      <c r="G211" s="1" t="s">
        <v>2018</v>
      </c>
      <c r="H211" s="1" t="s">
        <v>16</v>
      </c>
      <c r="I211" s="4" t="str">
        <f>"1"</f>
        <v>1</v>
      </c>
      <c r="J211" s="2" t="str">
        <f>"3938"</f>
        <v>3938</v>
      </c>
      <c r="K211" s="3">
        <v>46191</v>
      </c>
      <c r="L211" s="3">
        <v>46195</v>
      </c>
      <c r="M211" s="1" t="s">
        <v>11967</v>
      </c>
      <c r="N211" s="1" t="s">
        <v>11969</v>
      </c>
    </row>
    <row r="212" spans="1:14" s="1" customFormat="1" x14ac:dyDescent="0.35">
      <c r="A212" s="1" t="s">
        <v>5216</v>
      </c>
      <c r="B212" s="1" t="s">
        <v>411</v>
      </c>
      <c r="C212" s="1" t="s">
        <v>11971</v>
      </c>
      <c r="D212" s="1" t="s">
        <v>11970</v>
      </c>
      <c r="E212" s="1" t="str">
        <f>"2340"</f>
        <v>2340</v>
      </c>
      <c r="F212" s="1" t="s">
        <v>2017</v>
      </c>
      <c r="G212" s="1" t="s">
        <v>2018</v>
      </c>
      <c r="H212" s="1" t="s">
        <v>16</v>
      </c>
      <c r="I212" s="4" t="str">
        <f>"1"</f>
        <v>1</v>
      </c>
      <c r="J212" s="2" t="str">
        <f>"3938"</f>
        <v>3938</v>
      </c>
      <c r="K212" s="3">
        <v>46191</v>
      </c>
      <c r="L212" s="3">
        <v>46195</v>
      </c>
      <c r="M212" s="1" t="s">
        <v>11967</v>
      </c>
      <c r="N212" s="1" t="s">
        <v>11969</v>
      </c>
    </row>
    <row r="213" spans="1:14" s="1" customFormat="1" x14ac:dyDescent="0.35">
      <c r="A213" s="1" t="s">
        <v>5216</v>
      </c>
      <c r="B213" s="1" t="s">
        <v>411</v>
      </c>
      <c r="C213" s="1" t="s">
        <v>11961</v>
      </c>
      <c r="D213" s="1" t="s">
        <v>11968</v>
      </c>
      <c r="E213" s="1" t="str">
        <f>"6625"</f>
        <v>6625</v>
      </c>
      <c r="F213" s="1" t="str">
        <f>"012656000"</f>
        <v>012656000</v>
      </c>
      <c r="G213" s="1" t="s">
        <v>439</v>
      </c>
      <c r="H213" s="1" t="s">
        <v>16</v>
      </c>
      <c r="I213" s="4" t="str">
        <f>"6"</f>
        <v>6</v>
      </c>
      <c r="J213" s="2">
        <v>817.96</v>
      </c>
      <c r="K213" s="3">
        <v>46191</v>
      </c>
      <c r="L213" s="3">
        <v>46195</v>
      </c>
      <c r="M213" s="1" t="s">
        <v>11967</v>
      </c>
      <c r="N213" s="1" t="s">
        <v>11966</v>
      </c>
    </row>
    <row r="214" spans="1:14" s="1" customFormat="1" x14ac:dyDescent="0.35">
      <c r="A214" s="1" t="s">
        <v>5216</v>
      </c>
      <c r="B214" s="1" t="s">
        <v>411</v>
      </c>
      <c r="C214" s="1" t="s">
        <v>11961</v>
      </c>
      <c r="D214" s="1" t="s">
        <v>11965</v>
      </c>
      <c r="E214" s="1" t="str">
        <f>"6760"</f>
        <v>6760</v>
      </c>
      <c r="F214" s="1" t="s">
        <v>5456</v>
      </c>
      <c r="G214" s="1" t="s">
        <v>5455</v>
      </c>
      <c r="H214" s="1" t="s">
        <v>16</v>
      </c>
      <c r="I214" s="4" t="str">
        <f>"10"</f>
        <v>10</v>
      </c>
      <c r="J214" s="2">
        <v>596.95000000000005</v>
      </c>
      <c r="K214" s="3">
        <v>46199</v>
      </c>
      <c r="L214" s="3">
        <v>46203</v>
      </c>
      <c r="M214" s="1" t="s">
        <v>9301</v>
      </c>
      <c r="N214" s="1" t="s">
        <v>11964</v>
      </c>
    </row>
    <row r="215" spans="1:14" s="1" customFormat="1" x14ac:dyDescent="0.35">
      <c r="A215" s="1" t="s">
        <v>5216</v>
      </c>
      <c r="B215" s="1" t="s">
        <v>411</v>
      </c>
      <c r="C215" s="1" t="s">
        <v>11961</v>
      </c>
      <c r="D215" s="1" t="s">
        <v>11963</v>
      </c>
      <c r="E215" s="1" t="str">
        <f>"6720"</f>
        <v>6720</v>
      </c>
      <c r="F215" s="1" t="s">
        <v>2250</v>
      </c>
      <c r="G215" s="1" t="s">
        <v>2251</v>
      </c>
      <c r="H215" s="1" t="s">
        <v>16</v>
      </c>
      <c r="I215" s="4" t="str">
        <f>"10"</f>
        <v>10</v>
      </c>
      <c r="J215" s="2" t="str">
        <f>"2850"</f>
        <v>2850</v>
      </c>
      <c r="K215" s="3">
        <v>46199</v>
      </c>
      <c r="L215" s="3">
        <v>46203</v>
      </c>
      <c r="M215" s="1" t="s">
        <v>9301</v>
      </c>
      <c r="N215" s="1" t="s">
        <v>11962</v>
      </c>
    </row>
    <row r="216" spans="1:14" s="1" customFormat="1" x14ac:dyDescent="0.35">
      <c r="A216" s="1" t="s">
        <v>5171</v>
      </c>
      <c r="B216" s="1" t="s">
        <v>411</v>
      </c>
      <c r="C216" s="1" t="s">
        <v>11961</v>
      </c>
      <c r="D216" s="1" t="s">
        <v>11960</v>
      </c>
      <c r="E216" s="1" t="str">
        <f>"6760"</f>
        <v>6760</v>
      </c>
      <c r="F216" s="1" t="s">
        <v>2444</v>
      </c>
      <c r="G216" s="1" t="s">
        <v>2445</v>
      </c>
      <c r="H216" s="1" t="s">
        <v>16</v>
      </c>
      <c r="I216" s="4" t="str">
        <f>"3"</f>
        <v>3</v>
      </c>
      <c r="J216" s="2">
        <v>339.95</v>
      </c>
      <c r="K216" s="3">
        <v>46199</v>
      </c>
      <c r="L216" s="3">
        <v>46203</v>
      </c>
      <c r="M216" s="1" t="s">
        <v>5167</v>
      </c>
      <c r="N216" s="1" t="s">
        <v>11959</v>
      </c>
    </row>
    <row r="217" spans="1:14" s="1" customFormat="1" x14ac:dyDescent="0.35">
      <c r="A217" s="1" t="s">
        <v>5216</v>
      </c>
      <c r="B217" s="1" t="s">
        <v>426</v>
      </c>
      <c r="C217" s="1" t="s">
        <v>11958</v>
      </c>
      <c r="D217" s="1" t="s">
        <v>11957</v>
      </c>
      <c r="E217" s="1" t="str">
        <f>"2330"</f>
        <v>2330</v>
      </c>
      <c r="F217" s="1" t="str">
        <f>"013875426"</f>
        <v>013875426</v>
      </c>
      <c r="G217" s="1" t="s">
        <v>979</v>
      </c>
      <c r="H217" s="1" t="s">
        <v>16</v>
      </c>
      <c r="I217" s="4" t="str">
        <f>"1"</f>
        <v>1</v>
      </c>
      <c r="J217" s="2" t="str">
        <f>"9535"</f>
        <v>9535</v>
      </c>
      <c r="K217" s="3">
        <v>46113</v>
      </c>
      <c r="L217" s="3">
        <v>46113</v>
      </c>
      <c r="M217" s="1" t="s">
        <v>5469</v>
      </c>
      <c r="N217" s="1" t="s">
        <v>11956</v>
      </c>
    </row>
    <row r="218" spans="1:14" s="1" customFormat="1" x14ac:dyDescent="0.35">
      <c r="A218" s="1" t="s">
        <v>5171</v>
      </c>
      <c r="B218" s="1" t="s">
        <v>426</v>
      </c>
      <c r="C218" s="1" t="s">
        <v>468</v>
      </c>
      <c r="D218" s="1" t="s">
        <v>11955</v>
      </c>
      <c r="E218" s="1" t="str">
        <f>"4240"</f>
        <v>4240</v>
      </c>
      <c r="F218" s="1" t="str">
        <f>"016001785"</f>
        <v>016001785</v>
      </c>
      <c r="G218" s="1" t="s">
        <v>473</v>
      </c>
      <c r="H218" s="1" t="s">
        <v>16</v>
      </c>
      <c r="I218" s="4" t="str">
        <f>"75"</f>
        <v>75</v>
      </c>
      <c r="J218" s="2">
        <v>68.75</v>
      </c>
      <c r="K218" s="3">
        <v>46092</v>
      </c>
      <c r="L218" s="3">
        <v>46114</v>
      </c>
      <c r="M218" s="1" t="s">
        <v>11954</v>
      </c>
      <c r="N218" s="1" t="s">
        <v>11953</v>
      </c>
    </row>
    <row r="219" spans="1:14" s="1" customFormat="1" x14ac:dyDescent="0.35">
      <c r="A219" s="1" t="s">
        <v>5171</v>
      </c>
      <c r="B219" s="1" t="s">
        <v>426</v>
      </c>
      <c r="C219" s="1" t="s">
        <v>468</v>
      </c>
      <c r="D219" s="1" t="s">
        <v>11952</v>
      </c>
      <c r="E219" s="1" t="str">
        <f>"8145"</f>
        <v>8145</v>
      </c>
      <c r="F219" s="1" t="s">
        <v>489</v>
      </c>
      <c r="G219" s="1" t="s">
        <v>490</v>
      </c>
      <c r="H219" s="1" t="s">
        <v>16</v>
      </c>
      <c r="I219" s="4" t="str">
        <f>"2"</f>
        <v>2</v>
      </c>
      <c r="J219" s="2" t="str">
        <f>"165"</f>
        <v>165</v>
      </c>
      <c r="K219" s="3">
        <v>45975</v>
      </c>
      <c r="L219" s="3">
        <v>46118</v>
      </c>
      <c r="M219" s="1" t="s">
        <v>11951</v>
      </c>
      <c r="N219" s="1" t="s">
        <v>11950</v>
      </c>
    </row>
    <row r="220" spans="1:14" s="1" customFormat="1" x14ac:dyDescent="0.35">
      <c r="A220" s="1" t="s">
        <v>5171</v>
      </c>
      <c r="B220" s="1" t="s">
        <v>426</v>
      </c>
      <c r="C220" s="1" t="s">
        <v>499</v>
      </c>
      <c r="D220" s="1" t="s">
        <v>11949</v>
      </c>
      <c r="E220" s="1" t="str">
        <f>"8465"</f>
        <v>8465</v>
      </c>
      <c r="F220" s="1" t="str">
        <f>"015151156"</f>
        <v>015151156</v>
      </c>
      <c r="G220" s="1" t="s">
        <v>3842</v>
      </c>
      <c r="H220" s="1" t="s">
        <v>352</v>
      </c>
      <c r="I220" s="4" t="str">
        <f>"50"</f>
        <v>50</v>
      </c>
      <c r="J220" s="2">
        <v>96.42</v>
      </c>
      <c r="K220" s="3">
        <v>46097</v>
      </c>
      <c r="L220" s="3">
        <v>46126</v>
      </c>
      <c r="M220" s="1" t="s">
        <v>11948</v>
      </c>
      <c r="N220" s="1" t="s">
        <v>11947</v>
      </c>
    </row>
    <row r="221" spans="1:14" s="1" customFormat="1" x14ac:dyDescent="0.35">
      <c r="A221" s="1" t="s">
        <v>5171</v>
      </c>
      <c r="B221" s="1" t="s">
        <v>426</v>
      </c>
      <c r="C221" s="1" t="s">
        <v>427</v>
      </c>
      <c r="D221" s="1" t="s">
        <v>11946</v>
      </c>
      <c r="E221" s="1" t="str">
        <f>"1080"</f>
        <v>1080</v>
      </c>
      <c r="F221" s="1" t="str">
        <f>"014750696"</f>
        <v>014750696</v>
      </c>
      <c r="G221" s="1" t="s">
        <v>1928</v>
      </c>
      <c r="H221" s="1" t="s">
        <v>16</v>
      </c>
      <c r="I221" s="4" t="str">
        <f>"1"</f>
        <v>1</v>
      </c>
      <c r="J221" s="2" t="str">
        <f>"1204"</f>
        <v>1204</v>
      </c>
      <c r="K221" s="3">
        <v>46128</v>
      </c>
      <c r="L221" s="3">
        <v>46135</v>
      </c>
      <c r="M221" s="1" t="s">
        <v>11945</v>
      </c>
      <c r="N221" s="1" t="s">
        <v>432</v>
      </c>
    </row>
    <row r="222" spans="1:14" s="1" customFormat="1" x14ac:dyDescent="0.35">
      <c r="A222" s="1" t="s">
        <v>5171</v>
      </c>
      <c r="B222" s="1" t="s">
        <v>426</v>
      </c>
      <c r="C222" s="1" t="s">
        <v>427</v>
      </c>
      <c r="D222" s="1" t="s">
        <v>11944</v>
      </c>
      <c r="E222" s="1" t="str">
        <f>"5120"</f>
        <v>5120</v>
      </c>
      <c r="F222" s="1" t="str">
        <f>"016485684"</f>
        <v>016485684</v>
      </c>
      <c r="G222" s="1" t="s">
        <v>431</v>
      </c>
      <c r="H222" s="1" t="s">
        <v>16</v>
      </c>
      <c r="I222" s="4" t="str">
        <f>"1"</f>
        <v>1</v>
      </c>
      <c r="J222" s="2" t="str">
        <f>"142"</f>
        <v>142</v>
      </c>
      <c r="K222" s="3">
        <v>46128</v>
      </c>
      <c r="L222" s="3">
        <v>46136</v>
      </c>
      <c r="M222" s="1" t="s">
        <v>11943</v>
      </c>
      <c r="N222" s="1" t="s">
        <v>432</v>
      </c>
    </row>
    <row r="223" spans="1:14" s="1" customFormat="1" x14ac:dyDescent="0.35">
      <c r="A223" s="1" t="s">
        <v>5171</v>
      </c>
      <c r="B223" s="1" t="s">
        <v>426</v>
      </c>
      <c r="C223" s="1" t="s">
        <v>11891</v>
      </c>
      <c r="D223" s="1" t="s">
        <v>11942</v>
      </c>
      <c r="E223" s="1" t="str">
        <f>"5855"</f>
        <v>5855</v>
      </c>
      <c r="F223" s="1" t="str">
        <f>"014333157"</f>
        <v>014333157</v>
      </c>
      <c r="G223" s="1" t="s">
        <v>1770</v>
      </c>
      <c r="H223" s="1" t="s">
        <v>16</v>
      </c>
      <c r="I223" s="4" t="str">
        <f>"1"</f>
        <v>1</v>
      </c>
      <c r="J223" s="2" t="str">
        <f>"6392"</f>
        <v>6392</v>
      </c>
      <c r="K223" s="3">
        <v>46137</v>
      </c>
      <c r="L223" s="3">
        <v>46140</v>
      </c>
      <c r="M223" s="1" t="s">
        <v>5167</v>
      </c>
      <c r="N223" s="1" t="s">
        <v>11940</v>
      </c>
    </row>
    <row r="224" spans="1:14" s="1" customFormat="1" x14ac:dyDescent="0.35">
      <c r="A224" s="1" t="s">
        <v>5171</v>
      </c>
      <c r="B224" s="1" t="s">
        <v>426</v>
      </c>
      <c r="C224" s="1" t="s">
        <v>11891</v>
      </c>
      <c r="D224" s="1" t="s">
        <v>11941</v>
      </c>
      <c r="E224" s="1" t="str">
        <f>"5855"</f>
        <v>5855</v>
      </c>
      <c r="F224" s="1" t="str">
        <f>"014333157"</f>
        <v>014333157</v>
      </c>
      <c r="G224" s="1" t="s">
        <v>1770</v>
      </c>
      <c r="H224" s="1" t="s">
        <v>16</v>
      </c>
      <c r="I224" s="4" t="str">
        <f>"1"</f>
        <v>1</v>
      </c>
      <c r="J224" s="2" t="str">
        <f>"6392"</f>
        <v>6392</v>
      </c>
      <c r="K224" s="3">
        <v>46137</v>
      </c>
      <c r="L224" s="3">
        <v>46140</v>
      </c>
      <c r="M224" s="1" t="s">
        <v>5167</v>
      </c>
      <c r="N224" s="1" t="s">
        <v>11940</v>
      </c>
    </row>
    <row r="225" spans="1:14" s="1" customFormat="1" x14ac:dyDescent="0.35">
      <c r="A225" s="1" t="s">
        <v>5171</v>
      </c>
      <c r="B225" s="1" t="s">
        <v>426</v>
      </c>
      <c r="C225" s="1" t="s">
        <v>11891</v>
      </c>
      <c r="D225" s="1" t="s">
        <v>11939</v>
      </c>
      <c r="E225" s="1" t="str">
        <f>"2340"</f>
        <v>2340</v>
      </c>
      <c r="F225" s="1" t="s">
        <v>84</v>
      </c>
      <c r="G225" s="1" t="s">
        <v>85</v>
      </c>
      <c r="H225" s="1" t="s">
        <v>16</v>
      </c>
      <c r="I225" s="4" t="str">
        <f>"1"</f>
        <v>1</v>
      </c>
      <c r="J225" s="2">
        <v>31905.14</v>
      </c>
      <c r="K225" s="3">
        <v>46137</v>
      </c>
      <c r="L225" s="3">
        <v>46143</v>
      </c>
      <c r="M225" s="1" t="s">
        <v>5167</v>
      </c>
      <c r="N225" s="1" t="s">
        <v>11935</v>
      </c>
    </row>
    <row r="226" spans="1:14" s="1" customFormat="1" x14ac:dyDescent="0.35">
      <c r="A226" s="1" t="s">
        <v>5171</v>
      </c>
      <c r="B226" s="1" t="s">
        <v>426</v>
      </c>
      <c r="C226" s="1" t="s">
        <v>11891</v>
      </c>
      <c r="D226" s="1" t="s">
        <v>11938</v>
      </c>
      <c r="E226" s="1" t="str">
        <f>"2340"</f>
        <v>2340</v>
      </c>
      <c r="F226" s="1" t="s">
        <v>84</v>
      </c>
      <c r="G226" s="1" t="s">
        <v>85</v>
      </c>
      <c r="H226" s="1" t="s">
        <v>16</v>
      </c>
      <c r="I226" s="4" t="str">
        <f>"1"</f>
        <v>1</v>
      </c>
      <c r="J226" s="2">
        <v>31905.14</v>
      </c>
      <c r="K226" s="3">
        <v>46137</v>
      </c>
      <c r="L226" s="3">
        <v>46143</v>
      </c>
      <c r="M226" s="1" t="s">
        <v>5167</v>
      </c>
      <c r="N226" s="1" t="s">
        <v>11935</v>
      </c>
    </row>
    <row r="227" spans="1:14" s="1" customFormat="1" x14ac:dyDescent="0.35">
      <c r="A227" s="1" t="s">
        <v>5171</v>
      </c>
      <c r="B227" s="1" t="s">
        <v>426</v>
      </c>
      <c r="C227" s="1" t="s">
        <v>11891</v>
      </c>
      <c r="D227" s="1" t="s">
        <v>11937</v>
      </c>
      <c r="E227" s="1" t="str">
        <f>"2340"</f>
        <v>2340</v>
      </c>
      <c r="F227" s="1" t="s">
        <v>84</v>
      </c>
      <c r="G227" s="1" t="s">
        <v>85</v>
      </c>
      <c r="H227" s="1" t="s">
        <v>16</v>
      </c>
      <c r="I227" s="4" t="str">
        <f>"1"</f>
        <v>1</v>
      </c>
      <c r="J227" s="2">
        <v>31905.14</v>
      </c>
      <c r="K227" s="3">
        <v>46137</v>
      </c>
      <c r="L227" s="3">
        <v>46143</v>
      </c>
      <c r="M227" s="1" t="s">
        <v>5167</v>
      </c>
      <c r="N227" s="1" t="s">
        <v>11935</v>
      </c>
    </row>
    <row r="228" spans="1:14" s="1" customFormat="1" x14ac:dyDescent="0.35">
      <c r="A228" s="1" t="s">
        <v>5171</v>
      </c>
      <c r="B228" s="1" t="s">
        <v>426</v>
      </c>
      <c r="C228" s="1" t="s">
        <v>11891</v>
      </c>
      <c r="D228" s="1" t="s">
        <v>11936</v>
      </c>
      <c r="E228" s="1" t="str">
        <f>"2340"</f>
        <v>2340</v>
      </c>
      <c r="F228" s="1" t="s">
        <v>84</v>
      </c>
      <c r="G228" s="1" t="s">
        <v>85</v>
      </c>
      <c r="H228" s="1" t="s">
        <v>16</v>
      </c>
      <c r="I228" s="4" t="str">
        <f>"1"</f>
        <v>1</v>
      </c>
      <c r="J228" s="2">
        <v>31905.14</v>
      </c>
      <c r="K228" s="3">
        <v>46137</v>
      </c>
      <c r="L228" s="3">
        <v>46143</v>
      </c>
      <c r="M228" s="1" t="s">
        <v>5167</v>
      </c>
      <c r="N228" s="1" t="s">
        <v>11935</v>
      </c>
    </row>
    <row r="229" spans="1:14" s="1" customFormat="1" x14ac:dyDescent="0.35">
      <c r="A229" s="1" t="s">
        <v>5171</v>
      </c>
      <c r="B229" s="1" t="s">
        <v>426</v>
      </c>
      <c r="C229" s="1" t="s">
        <v>427</v>
      </c>
      <c r="D229" s="1" t="s">
        <v>11934</v>
      </c>
      <c r="E229" s="1" t="str">
        <f>"1550"</f>
        <v>1550</v>
      </c>
      <c r="F229" s="1" t="str">
        <f>"016215533"</f>
        <v>016215533</v>
      </c>
      <c r="G229" s="1" t="s">
        <v>1417</v>
      </c>
      <c r="H229" s="1" t="s">
        <v>16</v>
      </c>
      <c r="I229" s="4" t="str">
        <f>"1"</f>
        <v>1</v>
      </c>
      <c r="J229" s="2" t="str">
        <f>"168000"</f>
        <v>168000</v>
      </c>
      <c r="K229" s="3">
        <v>46121</v>
      </c>
      <c r="L229" s="3">
        <v>46153</v>
      </c>
      <c r="M229" s="1" t="s">
        <v>11933</v>
      </c>
      <c r="N229" s="1" t="s">
        <v>429</v>
      </c>
    </row>
    <row r="230" spans="1:14" s="1" customFormat="1" x14ac:dyDescent="0.35">
      <c r="A230" s="1" t="s">
        <v>5171</v>
      </c>
      <c r="B230" s="1" t="s">
        <v>426</v>
      </c>
      <c r="C230" s="1" t="s">
        <v>427</v>
      </c>
      <c r="D230" s="1" t="s">
        <v>11932</v>
      </c>
      <c r="E230" s="1" t="str">
        <f>"1550"</f>
        <v>1550</v>
      </c>
      <c r="F230" s="1" t="str">
        <f>"016215533"</f>
        <v>016215533</v>
      </c>
      <c r="G230" s="1" t="s">
        <v>1417</v>
      </c>
      <c r="H230" s="1" t="s">
        <v>16</v>
      </c>
      <c r="I230" s="4" t="str">
        <f>"1"</f>
        <v>1</v>
      </c>
      <c r="J230" s="2" t="str">
        <f>"168000"</f>
        <v>168000</v>
      </c>
      <c r="K230" s="3">
        <v>46121</v>
      </c>
      <c r="L230" s="3">
        <v>46153</v>
      </c>
      <c r="M230" s="1" t="s">
        <v>11931</v>
      </c>
      <c r="N230" s="1" t="s">
        <v>429</v>
      </c>
    </row>
    <row r="231" spans="1:14" s="1" customFormat="1" x14ac:dyDescent="0.35">
      <c r="A231" s="1" t="s">
        <v>5171</v>
      </c>
      <c r="B231" s="1" t="s">
        <v>426</v>
      </c>
      <c r="C231" s="1" t="s">
        <v>427</v>
      </c>
      <c r="D231" s="1" t="s">
        <v>11930</v>
      </c>
      <c r="E231" s="1" t="str">
        <f>"1550"</f>
        <v>1550</v>
      </c>
      <c r="F231" s="1" t="str">
        <f>"016215533"</f>
        <v>016215533</v>
      </c>
      <c r="G231" s="1" t="s">
        <v>1417</v>
      </c>
      <c r="H231" s="1" t="s">
        <v>16</v>
      </c>
      <c r="I231" s="4" t="str">
        <f>"2"</f>
        <v>2</v>
      </c>
      <c r="J231" s="2" t="str">
        <f>"168000"</f>
        <v>168000</v>
      </c>
      <c r="K231" s="3">
        <v>46121</v>
      </c>
      <c r="L231" s="3">
        <v>46153</v>
      </c>
      <c r="M231" s="1" t="s">
        <v>11929</v>
      </c>
      <c r="N231" s="1" t="s">
        <v>429</v>
      </c>
    </row>
    <row r="232" spans="1:14" s="1" customFormat="1" x14ac:dyDescent="0.35">
      <c r="A232" s="1" t="s">
        <v>5171</v>
      </c>
      <c r="B232" s="1" t="s">
        <v>426</v>
      </c>
      <c r="C232" s="1" t="s">
        <v>427</v>
      </c>
      <c r="D232" s="1" t="s">
        <v>11928</v>
      </c>
      <c r="E232" s="1" t="str">
        <f>"1550"</f>
        <v>1550</v>
      </c>
      <c r="F232" s="1" t="str">
        <f>"016215533"</f>
        <v>016215533</v>
      </c>
      <c r="G232" s="1" t="s">
        <v>1417</v>
      </c>
      <c r="H232" s="1" t="s">
        <v>16</v>
      </c>
      <c r="I232" s="4" t="str">
        <f>"1"</f>
        <v>1</v>
      </c>
      <c r="J232" s="2" t="str">
        <f>"168000"</f>
        <v>168000</v>
      </c>
      <c r="K232" s="3">
        <v>46121</v>
      </c>
      <c r="L232" s="3">
        <v>46153</v>
      </c>
      <c r="M232" s="1" t="s">
        <v>11927</v>
      </c>
      <c r="N232" s="1" t="s">
        <v>429</v>
      </c>
    </row>
    <row r="233" spans="1:14" s="1" customFormat="1" x14ac:dyDescent="0.35">
      <c r="A233" s="1" t="s">
        <v>5171</v>
      </c>
      <c r="B233" s="1" t="s">
        <v>426</v>
      </c>
      <c r="C233" s="1" t="s">
        <v>11899</v>
      </c>
      <c r="D233" s="1" t="s">
        <v>11926</v>
      </c>
      <c r="E233" s="1" t="str">
        <f>"2310"</f>
        <v>2310</v>
      </c>
      <c r="F233" s="1" t="str">
        <f>"011112274"</f>
        <v>011112274</v>
      </c>
      <c r="G233" s="1" t="s">
        <v>1566</v>
      </c>
      <c r="H233" s="1" t="s">
        <v>16</v>
      </c>
      <c r="I233" s="4" t="str">
        <f>"1"</f>
        <v>1</v>
      </c>
      <c r="J233" s="2" t="str">
        <f>"96466"</f>
        <v>96466</v>
      </c>
      <c r="K233" s="3">
        <v>46169</v>
      </c>
      <c r="L233" s="3">
        <v>46170</v>
      </c>
      <c r="M233" s="1" t="s">
        <v>5167</v>
      </c>
      <c r="N233" s="1" t="s">
        <v>11897</v>
      </c>
    </row>
    <row r="234" spans="1:14" s="1" customFormat="1" x14ac:dyDescent="0.35">
      <c r="A234" s="1" t="s">
        <v>5171</v>
      </c>
      <c r="B234" s="1" t="s">
        <v>426</v>
      </c>
      <c r="C234" s="1" t="s">
        <v>499</v>
      </c>
      <c r="D234" s="1" t="s">
        <v>11925</v>
      </c>
      <c r="E234" s="1" t="str">
        <f>"2340"</f>
        <v>2340</v>
      </c>
      <c r="F234" s="1" t="s">
        <v>84</v>
      </c>
      <c r="G234" s="1" t="s">
        <v>85</v>
      </c>
      <c r="H234" s="1" t="s">
        <v>16</v>
      </c>
      <c r="I234" s="4" t="str">
        <f>"1"</f>
        <v>1</v>
      </c>
      <c r="J234" s="2" t="str">
        <f>"6500"</f>
        <v>6500</v>
      </c>
      <c r="K234" s="3">
        <v>46170</v>
      </c>
      <c r="L234" s="3">
        <v>46171</v>
      </c>
      <c r="M234" s="1" t="s">
        <v>5167</v>
      </c>
      <c r="N234" s="1" t="s">
        <v>11924</v>
      </c>
    </row>
    <row r="235" spans="1:14" s="1" customFormat="1" x14ac:dyDescent="0.35">
      <c r="A235" s="1" t="s">
        <v>5171</v>
      </c>
      <c r="B235" s="1" t="s">
        <v>426</v>
      </c>
      <c r="C235" s="1" t="s">
        <v>427</v>
      </c>
      <c r="D235" s="1" t="s">
        <v>11923</v>
      </c>
      <c r="E235" s="1" t="str">
        <f>"6530"</f>
        <v>6530</v>
      </c>
      <c r="F235" s="1" t="str">
        <f>"016202668"</f>
        <v>016202668</v>
      </c>
      <c r="G235" s="1" t="s">
        <v>11922</v>
      </c>
      <c r="H235" s="1" t="s">
        <v>16</v>
      </c>
      <c r="I235" s="4" t="str">
        <f>"2"</f>
        <v>2</v>
      </c>
      <c r="J235" s="2">
        <v>366.49</v>
      </c>
      <c r="K235" s="3">
        <v>46169</v>
      </c>
      <c r="L235" s="3">
        <v>46172</v>
      </c>
      <c r="M235" s="1" t="s">
        <v>11921</v>
      </c>
      <c r="N235" s="1" t="s">
        <v>11920</v>
      </c>
    </row>
    <row r="236" spans="1:14" s="1" customFormat="1" x14ac:dyDescent="0.35">
      <c r="A236" s="1" t="s">
        <v>5171</v>
      </c>
      <c r="B236" s="1" t="s">
        <v>426</v>
      </c>
      <c r="C236" s="1" t="s">
        <v>11919</v>
      </c>
      <c r="D236" s="1" t="s">
        <v>11918</v>
      </c>
      <c r="E236" s="1" t="str">
        <f>"1385"</f>
        <v>1385</v>
      </c>
      <c r="F236" s="1" t="str">
        <f>"015736046"</f>
        <v>015736046</v>
      </c>
      <c r="G236" s="1" t="s">
        <v>540</v>
      </c>
      <c r="H236" s="1" t="s">
        <v>16</v>
      </c>
      <c r="I236" s="4" t="str">
        <f>"1"</f>
        <v>1</v>
      </c>
      <c r="J236" s="2">
        <v>284528.08</v>
      </c>
      <c r="K236" s="3">
        <v>46170</v>
      </c>
      <c r="L236" s="3">
        <v>46172</v>
      </c>
      <c r="M236" s="1" t="s">
        <v>11917</v>
      </c>
      <c r="N236" s="1" t="s">
        <v>11916</v>
      </c>
    </row>
    <row r="237" spans="1:14" s="1" customFormat="1" x14ac:dyDescent="0.35">
      <c r="A237" s="1" t="s">
        <v>5171</v>
      </c>
      <c r="B237" s="1" t="s">
        <v>426</v>
      </c>
      <c r="C237" s="1" t="s">
        <v>11891</v>
      </c>
      <c r="D237" s="1" t="s">
        <v>11915</v>
      </c>
      <c r="E237" s="1" t="str">
        <f>"5855"</f>
        <v>5855</v>
      </c>
      <c r="F237" s="1" t="str">
        <f>"014906600"</f>
        <v>014906600</v>
      </c>
      <c r="G237" s="1" t="s">
        <v>9522</v>
      </c>
      <c r="H237" s="1" t="s">
        <v>16</v>
      </c>
      <c r="I237" s="4" t="str">
        <f>"1"</f>
        <v>1</v>
      </c>
      <c r="J237" s="2">
        <v>15191.46</v>
      </c>
      <c r="K237" s="3">
        <v>46171</v>
      </c>
      <c r="L237" s="3">
        <v>46173</v>
      </c>
      <c r="M237" s="1" t="s">
        <v>5167</v>
      </c>
      <c r="N237" s="1" t="s">
        <v>11913</v>
      </c>
    </row>
    <row r="238" spans="1:14" s="1" customFormat="1" x14ac:dyDescent="0.35">
      <c r="A238" s="1" t="s">
        <v>5171</v>
      </c>
      <c r="B238" s="1" t="s">
        <v>426</v>
      </c>
      <c r="C238" s="1" t="s">
        <v>11891</v>
      </c>
      <c r="D238" s="1" t="s">
        <v>11914</v>
      </c>
      <c r="E238" s="1" t="str">
        <f>"5855"</f>
        <v>5855</v>
      </c>
      <c r="F238" s="1" t="str">
        <f>"014906600"</f>
        <v>014906600</v>
      </c>
      <c r="G238" s="1" t="s">
        <v>9522</v>
      </c>
      <c r="H238" s="1" t="s">
        <v>16</v>
      </c>
      <c r="I238" s="4" t="str">
        <f>"1"</f>
        <v>1</v>
      </c>
      <c r="J238" s="2">
        <v>15191.46</v>
      </c>
      <c r="K238" s="3">
        <v>46171</v>
      </c>
      <c r="L238" s="3">
        <v>46173</v>
      </c>
      <c r="M238" s="1" t="s">
        <v>5167</v>
      </c>
      <c r="N238" s="1" t="s">
        <v>11913</v>
      </c>
    </row>
    <row r="239" spans="1:14" s="1" customFormat="1" x14ac:dyDescent="0.35">
      <c r="A239" s="1" t="s">
        <v>5171</v>
      </c>
      <c r="B239" s="1" t="s">
        <v>426</v>
      </c>
      <c r="C239" s="1" t="s">
        <v>427</v>
      </c>
      <c r="D239" s="1" t="s">
        <v>11912</v>
      </c>
      <c r="E239" s="1" t="str">
        <f>"8145"</f>
        <v>8145</v>
      </c>
      <c r="F239" s="1" t="str">
        <f>"015023927"</f>
        <v>015023927</v>
      </c>
      <c r="G239" s="1" t="s">
        <v>11911</v>
      </c>
      <c r="H239" s="1" t="s">
        <v>16</v>
      </c>
      <c r="I239" s="4" t="str">
        <f>"1"</f>
        <v>1</v>
      </c>
      <c r="J239" s="2">
        <v>147214.82999999999</v>
      </c>
      <c r="K239" s="3">
        <v>46149</v>
      </c>
      <c r="L239" s="3">
        <v>46175</v>
      </c>
      <c r="M239" s="1" t="s">
        <v>11910</v>
      </c>
      <c r="N239" s="1" t="s">
        <v>11909</v>
      </c>
    </row>
    <row r="240" spans="1:14" s="1" customFormat="1" x14ac:dyDescent="0.35">
      <c r="A240" s="1" t="s">
        <v>5171</v>
      </c>
      <c r="B240" s="1" t="s">
        <v>426</v>
      </c>
      <c r="C240" s="1" t="s">
        <v>11891</v>
      </c>
      <c r="D240" s="1" t="s">
        <v>11908</v>
      </c>
      <c r="E240" s="1" t="str">
        <f>"1240"</f>
        <v>1240</v>
      </c>
      <c r="F240" s="1" t="s">
        <v>1800</v>
      </c>
      <c r="G240" s="1" t="s">
        <v>1801</v>
      </c>
      <c r="H240" s="1" t="s">
        <v>16</v>
      </c>
      <c r="I240" s="4" t="str">
        <f>"20"</f>
        <v>20</v>
      </c>
      <c r="J240" s="2" t="str">
        <f>"1000"</f>
        <v>1000</v>
      </c>
      <c r="K240" s="3">
        <v>46171</v>
      </c>
      <c r="L240" s="3">
        <v>46176</v>
      </c>
      <c r="M240" s="1" t="s">
        <v>11907</v>
      </c>
      <c r="N240" s="1" t="s">
        <v>11906</v>
      </c>
    </row>
    <row r="241" spans="1:14" s="1" customFormat="1" x14ac:dyDescent="0.35">
      <c r="A241" s="1" t="s">
        <v>5171</v>
      </c>
      <c r="B241" s="1" t="s">
        <v>426</v>
      </c>
      <c r="C241" s="1" t="s">
        <v>427</v>
      </c>
      <c r="D241" s="1" t="s">
        <v>11905</v>
      </c>
      <c r="E241" s="1" t="str">
        <f>"5140"</f>
        <v>5140</v>
      </c>
      <c r="F241" s="1" t="s">
        <v>7717</v>
      </c>
      <c r="G241" s="1" t="s">
        <v>7716</v>
      </c>
      <c r="H241" s="1" t="s">
        <v>16</v>
      </c>
      <c r="I241" s="4" t="str">
        <f>"2"</f>
        <v>2</v>
      </c>
      <c r="J241" s="2" t="str">
        <f>"2250"</f>
        <v>2250</v>
      </c>
      <c r="K241" s="3">
        <v>46175</v>
      </c>
      <c r="L241" s="3">
        <v>46179</v>
      </c>
      <c r="M241" s="1" t="s">
        <v>11904</v>
      </c>
      <c r="N241" s="1" t="s">
        <v>11903</v>
      </c>
    </row>
    <row r="242" spans="1:14" s="1" customFormat="1" x14ac:dyDescent="0.35">
      <c r="A242" s="1" t="s">
        <v>5171</v>
      </c>
      <c r="B242" s="1" t="s">
        <v>426</v>
      </c>
      <c r="C242" s="1" t="s">
        <v>427</v>
      </c>
      <c r="D242" s="1" t="s">
        <v>11902</v>
      </c>
      <c r="E242" s="1" t="str">
        <f>"5855"</f>
        <v>5855</v>
      </c>
      <c r="F242" s="1" t="str">
        <f>"016162721"</f>
        <v>016162721</v>
      </c>
      <c r="G242" s="1" t="s">
        <v>1817</v>
      </c>
      <c r="H242" s="1" t="s">
        <v>16</v>
      </c>
      <c r="I242" s="4" t="str">
        <f>"5"</f>
        <v>5</v>
      </c>
      <c r="J242" s="2" t="str">
        <f>"15561"</f>
        <v>15561</v>
      </c>
      <c r="K242" s="3">
        <v>46178</v>
      </c>
      <c r="L242" s="3">
        <v>46180</v>
      </c>
      <c r="M242" s="1" t="s">
        <v>5167</v>
      </c>
      <c r="N242" s="1" t="s">
        <v>11901</v>
      </c>
    </row>
    <row r="243" spans="1:14" s="1" customFormat="1" x14ac:dyDescent="0.35">
      <c r="A243" s="1" t="s">
        <v>5171</v>
      </c>
      <c r="B243" s="1" t="s">
        <v>426</v>
      </c>
      <c r="C243" s="1" t="s">
        <v>11899</v>
      </c>
      <c r="D243" s="1" t="s">
        <v>11900</v>
      </c>
      <c r="E243" s="1" t="str">
        <f>"2320"</f>
        <v>2320</v>
      </c>
      <c r="F243" s="1" t="str">
        <f>"011077153"</f>
        <v>011077153</v>
      </c>
      <c r="G243" s="1" t="s">
        <v>414</v>
      </c>
      <c r="H243" s="1" t="s">
        <v>16</v>
      </c>
      <c r="I243" s="4" t="str">
        <f>"1"</f>
        <v>1</v>
      </c>
      <c r="J243" s="2" t="str">
        <f>"63894"</f>
        <v>63894</v>
      </c>
      <c r="K243" s="3">
        <v>46182</v>
      </c>
      <c r="L243" s="3">
        <v>46187</v>
      </c>
      <c r="M243" s="1" t="s">
        <v>5167</v>
      </c>
      <c r="N243" s="1" t="s">
        <v>11897</v>
      </c>
    </row>
    <row r="244" spans="1:14" s="1" customFormat="1" x14ac:dyDescent="0.35">
      <c r="A244" s="1" t="s">
        <v>5171</v>
      </c>
      <c r="B244" s="1" t="s">
        <v>426</v>
      </c>
      <c r="C244" s="1" t="s">
        <v>11899</v>
      </c>
      <c r="D244" s="1" t="s">
        <v>11898</v>
      </c>
      <c r="E244" s="1" t="str">
        <f>"2310"</f>
        <v>2310</v>
      </c>
      <c r="F244" s="1" t="str">
        <f>"011112274"</f>
        <v>011112274</v>
      </c>
      <c r="G244" s="1" t="s">
        <v>1566</v>
      </c>
      <c r="H244" s="1" t="s">
        <v>16</v>
      </c>
      <c r="I244" s="4" t="str">
        <f>"1"</f>
        <v>1</v>
      </c>
      <c r="J244" s="2" t="str">
        <f>"96466"</f>
        <v>96466</v>
      </c>
      <c r="K244" s="3">
        <v>46182</v>
      </c>
      <c r="L244" s="3">
        <v>46187</v>
      </c>
      <c r="M244" s="1" t="s">
        <v>5167</v>
      </c>
      <c r="N244" s="1" t="s">
        <v>11897</v>
      </c>
    </row>
    <row r="245" spans="1:14" s="1" customFormat="1" x14ac:dyDescent="0.35">
      <c r="A245" s="1" t="s">
        <v>5171</v>
      </c>
      <c r="B245" s="1" t="s">
        <v>426</v>
      </c>
      <c r="C245" s="1" t="s">
        <v>427</v>
      </c>
      <c r="D245" s="1" t="s">
        <v>11896</v>
      </c>
      <c r="E245" s="1" t="str">
        <f>"5180"</f>
        <v>5180</v>
      </c>
      <c r="F245" s="1" t="str">
        <f>"016055146"</f>
        <v>016055146</v>
      </c>
      <c r="G245" s="1" t="s">
        <v>214</v>
      </c>
      <c r="H245" s="1" t="s">
        <v>458</v>
      </c>
      <c r="I245" s="4" t="str">
        <f>"2"</f>
        <v>2</v>
      </c>
      <c r="J245" s="2" t="str">
        <f>"2048"</f>
        <v>2048</v>
      </c>
      <c r="K245" s="3">
        <v>46177</v>
      </c>
      <c r="L245" s="3">
        <v>46189</v>
      </c>
      <c r="M245" s="1" t="s">
        <v>11895</v>
      </c>
      <c r="N245" s="1" t="s">
        <v>11894</v>
      </c>
    </row>
    <row r="246" spans="1:14" s="1" customFormat="1" x14ac:dyDescent="0.35">
      <c r="A246" s="1" t="s">
        <v>5171</v>
      </c>
      <c r="B246" s="1" t="s">
        <v>426</v>
      </c>
      <c r="C246" s="1" t="s">
        <v>468</v>
      </c>
      <c r="D246" s="1" t="s">
        <v>11893</v>
      </c>
      <c r="E246" s="1" t="str">
        <f>"8145"</f>
        <v>8145</v>
      </c>
      <c r="F246" s="1" t="s">
        <v>489</v>
      </c>
      <c r="G246" s="1" t="s">
        <v>490</v>
      </c>
      <c r="H246" s="1" t="s">
        <v>16</v>
      </c>
      <c r="I246" s="4" t="str">
        <f>"5"</f>
        <v>5</v>
      </c>
      <c r="J246" s="2" t="str">
        <f>"261"</f>
        <v>261</v>
      </c>
      <c r="K246" s="3">
        <v>46169</v>
      </c>
      <c r="L246" s="3">
        <v>46189</v>
      </c>
      <c r="M246" s="1" t="s">
        <v>11892</v>
      </c>
      <c r="N246" s="1" t="s">
        <v>491</v>
      </c>
    </row>
    <row r="247" spans="1:14" s="1" customFormat="1" x14ac:dyDescent="0.35">
      <c r="A247" s="1" t="s">
        <v>5171</v>
      </c>
      <c r="B247" s="1" t="s">
        <v>426</v>
      </c>
      <c r="C247" s="1" t="s">
        <v>11891</v>
      </c>
      <c r="D247" s="1" t="s">
        <v>11890</v>
      </c>
      <c r="E247" s="1" t="str">
        <f>"5855"</f>
        <v>5855</v>
      </c>
      <c r="F247" s="1" t="str">
        <f>"015997151"</f>
        <v>015997151</v>
      </c>
      <c r="G247" s="1" t="s">
        <v>1379</v>
      </c>
      <c r="H247" s="1" t="s">
        <v>16</v>
      </c>
      <c r="I247" s="4" t="str">
        <f>"82"</f>
        <v>82</v>
      </c>
      <c r="J247" s="2">
        <v>2519.35</v>
      </c>
      <c r="K247" s="3">
        <v>46171</v>
      </c>
      <c r="L247" s="3">
        <v>46202</v>
      </c>
      <c r="M247" s="1" t="s">
        <v>11889</v>
      </c>
      <c r="N247" s="1" t="s">
        <v>11888</v>
      </c>
    </row>
    <row r="248" spans="1:14" s="1" customFormat="1" x14ac:dyDescent="0.35">
      <c r="A248" s="1" t="s">
        <v>5171</v>
      </c>
      <c r="B248" s="1" t="s">
        <v>506</v>
      </c>
      <c r="C248" s="1" t="s">
        <v>11887</v>
      </c>
      <c r="D248" s="1" t="s">
        <v>11886</v>
      </c>
      <c r="E248" s="1" t="str">
        <f>"5965"</f>
        <v>5965</v>
      </c>
      <c r="F248" s="1" t="str">
        <f>"016945619"</f>
        <v>016945619</v>
      </c>
      <c r="G248" s="1" t="s">
        <v>7446</v>
      </c>
      <c r="H248" s="1" t="s">
        <v>16</v>
      </c>
      <c r="I248" s="4" t="str">
        <f>"17"</f>
        <v>17</v>
      </c>
      <c r="J248" s="2">
        <v>988.12</v>
      </c>
      <c r="K248" s="3">
        <v>46112</v>
      </c>
      <c r="L248" s="3">
        <v>46113</v>
      </c>
      <c r="M248" s="1" t="s">
        <v>5167</v>
      </c>
      <c r="N248" s="1" t="s">
        <v>11885</v>
      </c>
    </row>
    <row r="249" spans="1:14" s="1" customFormat="1" x14ac:dyDescent="0.35">
      <c r="A249" s="1" t="s">
        <v>5171</v>
      </c>
      <c r="B249" s="1" t="s">
        <v>506</v>
      </c>
      <c r="C249" s="1" t="s">
        <v>531</v>
      </c>
      <c r="D249" s="1" t="s">
        <v>11884</v>
      </c>
      <c r="E249" s="1" t="str">
        <f>"2310"</f>
        <v>2310</v>
      </c>
      <c r="F249" s="1" t="str">
        <f>"016231545"</f>
        <v>016231545</v>
      </c>
      <c r="G249" s="1" t="s">
        <v>4907</v>
      </c>
      <c r="H249" s="1" t="s">
        <v>16</v>
      </c>
      <c r="I249" s="4" t="str">
        <f>"3"</f>
        <v>3</v>
      </c>
      <c r="J249" s="2" t="str">
        <f>"32000"</f>
        <v>32000</v>
      </c>
      <c r="K249" s="3">
        <v>46110</v>
      </c>
      <c r="L249" s="3">
        <v>46113</v>
      </c>
      <c r="M249" s="1" t="s">
        <v>11883</v>
      </c>
      <c r="N249" s="1" t="s">
        <v>11882</v>
      </c>
    </row>
    <row r="250" spans="1:14" s="1" customFormat="1" x14ac:dyDescent="0.35">
      <c r="A250" s="1" t="s">
        <v>5171</v>
      </c>
      <c r="B250" s="1" t="s">
        <v>506</v>
      </c>
      <c r="C250" s="1" t="s">
        <v>507</v>
      </c>
      <c r="D250" s="1" t="s">
        <v>11881</v>
      </c>
      <c r="E250" s="1" t="str">
        <f>"6130"</f>
        <v>6130</v>
      </c>
      <c r="F250" s="1" t="str">
        <f>"014952839"</f>
        <v>014952839</v>
      </c>
      <c r="G250" s="1" t="s">
        <v>227</v>
      </c>
      <c r="H250" s="1" t="s">
        <v>16</v>
      </c>
      <c r="I250" s="4" t="str">
        <f>"1"</f>
        <v>1</v>
      </c>
      <c r="J250" s="2" t="str">
        <f>"4393"</f>
        <v>4393</v>
      </c>
      <c r="K250" s="3">
        <v>46107</v>
      </c>
      <c r="L250" s="3">
        <v>46114</v>
      </c>
      <c r="M250" s="1" t="s">
        <v>11880</v>
      </c>
      <c r="N250" s="1" t="s">
        <v>11879</v>
      </c>
    </row>
    <row r="251" spans="1:14" s="1" customFormat="1" x14ac:dyDescent="0.35">
      <c r="A251" s="1" t="s">
        <v>5171</v>
      </c>
      <c r="B251" s="1" t="s">
        <v>506</v>
      </c>
      <c r="C251" s="1" t="s">
        <v>507</v>
      </c>
      <c r="D251" s="1" t="s">
        <v>11878</v>
      </c>
      <c r="E251" s="1" t="str">
        <f>"5130"</f>
        <v>5130</v>
      </c>
      <c r="F251" s="1" t="s">
        <v>3340</v>
      </c>
      <c r="G251" s="1" t="s">
        <v>3341</v>
      </c>
      <c r="H251" s="1" t="s">
        <v>16</v>
      </c>
      <c r="I251" s="4" t="str">
        <f>"1"</f>
        <v>1</v>
      </c>
      <c r="J251" s="2" t="str">
        <f>"500"</f>
        <v>500</v>
      </c>
      <c r="K251" s="3">
        <v>46065</v>
      </c>
      <c r="L251" s="3">
        <v>46115</v>
      </c>
      <c r="M251" s="1" t="s">
        <v>11877</v>
      </c>
      <c r="N251" s="1" t="s">
        <v>11876</v>
      </c>
    </row>
    <row r="252" spans="1:14" s="1" customFormat="1" x14ac:dyDescent="0.35">
      <c r="A252" s="1" t="s">
        <v>5171</v>
      </c>
      <c r="B252" s="1" t="s">
        <v>506</v>
      </c>
      <c r="C252" s="1" t="s">
        <v>11736</v>
      </c>
      <c r="D252" s="1" t="s">
        <v>11875</v>
      </c>
      <c r="E252" s="1" t="str">
        <f>"1240"</f>
        <v>1240</v>
      </c>
      <c r="F252" s="1" t="str">
        <f>"016813209"</f>
        <v>016813209</v>
      </c>
      <c r="G252" s="1" t="s">
        <v>2356</v>
      </c>
      <c r="H252" s="1" t="s">
        <v>16</v>
      </c>
      <c r="I252" s="4" t="str">
        <f>"9"</f>
        <v>9</v>
      </c>
      <c r="J252" s="2" t="str">
        <f>"3269"</f>
        <v>3269</v>
      </c>
      <c r="K252" s="3">
        <v>46109</v>
      </c>
      <c r="L252" s="3">
        <v>46116</v>
      </c>
      <c r="M252" s="1" t="s">
        <v>11874</v>
      </c>
      <c r="N252" s="1" t="s">
        <v>11873</v>
      </c>
    </row>
    <row r="253" spans="1:14" s="1" customFormat="1" x14ac:dyDescent="0.35">
      <c r="A253" s="1" t="s">
        <v>5171</v>
      </c>
      <c r="B253" s="1" t="s">
        <v>506</v>
      </c>
      <c r="C253" s="1" t="s">
        <v>507</v>
      </c>
      <c r="D253" s="1" t="s">
        <v>11872</v>
      </c>
      <c r="E253" s="1" t="str">
        <f>"5130"</f>
        <v>5130</v>
      </c>
      <c r="F253" s="1" t="s">
        <v>3340</v>
      </c>
      <c r="G253" s="1" t="s">
        <v>3341</v>
      </c>
      <c r="H253" s="1" t="s">
        <v>16</v>
      </c>
      <c r="I253" s="4" t="str">
        <f>"1"</f>
        <v>1</v>
      </c>
      <c r="J253" s="2" t="str">
        <f>"1700"</f>
        <v>1700</v>
      </c>
      <c r="K253" s="3">
        <v>46098</v>
      </c>
      <c r="L253" s="3">
        <v>46119</v>
      </c>
      <c r="M253" s="1" t="s">
        <v>11871</v>
      </c>
      <c r="N253" s="1" t="s">
        <v>11870</v>
      </c>
    </row>
    <row r="254" spans="1:14" s="1" customFormat="1" x14ac:dyDescent="0.35">
      <c r="A254" s="1" t="s">
        <v>5171</v>
      </c>
      <c r="B254" s="1" t="s">
        <v>506</v>
      </c>
      <c r="C254" s="1" t="s">
        <v>538</v>
      </c>
      <c r="D254" s="1" t="s">
        <v>11869</v>
      </c>
      <c r="E254" s="1" t="str">
        <f>"2340"</f>
        <v>2340</v>
      </c>
      <c r="F254" s="1" t="s">
        <v>535</v>
      </c>
      <c r="G254" s="1" t="s">
        <v>536</v>
      </c>
      <c r="H254" s="1" t="s">
        <v>16</v>
      </c>
      <c r="I254" s="4" t="str">
        <f>"1"</f>
        <v>1</v>
      </c>
      <c r="J254" s="2" t="str">
        <f>"500"</f>
        <v>500</v>
      </c>
      <c r="K254" s="3">
        <v>46118</v>
      </c>
      <c r="L254" s="3">
        <v>46119</v>
      </c>
      <c r="M254" s="1" t="s">
        <v>5167</v>
      </c>
      <c r="N254" s="1" t="s">
        <v>11868</v>
      </c>
    </row>
    <row r="255" spans="1:14" s="1" customFormat="1" x14ac:dyDescent="0.35">
      <c r="A255" s="1" t="s">
        <v>5171</v>
      </c>
      <c r="B255" s="1" t="s">
        <v>506</v>
      </c>
      <c r="C255" s="1" t="s">
        <v>507</v>
      </c>
      <c r="D255" s="1" t="s">
        <v>11867</v>
      </c>
      <c r="E255" s="1" t="str">
        <f>"6130"</f>
        <v>6130</v>
      </c>
      <c r="F255" s="1" t="str">
        <f>"015557817"</f>
        <v>015557817</v>
      </c>
      <c r="G255" s="1" t="s">
        <v>227</v>
      </c>
      <c r="H255" s="1" t="s">
        <v>16</v>
      </c>
      <c r="I255" s="4" t="str">
        <f>"1"</f>
        <v>1</v>
      </c>
      <c r="J255" s="2">
        <v>2893.08</v>
      </c>
      <c r="K255" s="3">
        <v>46119</v>
      </c>
      <c r="L255" s="3">
        <v>46122</v>
      </c>
      <c r="M255" s="1" t="s">
        <v>11866</v>
      </c>
      <c r="N255" s="1" t="s">
        <v>11800</v>
      </c>
    </row>
    <row r="256" spans="1:14" s="1" customFormat="1" x14ac:dyDescent="0.35">
      <c r="A256" s="1" t="s">
        <v>5171</v>
      </c>
      <c r="B256" s="1" t="s">
        <v>506</v>
      </c>
      <c r="C256" s="1" t="s">
        <v>507</v>
      </c>
      <c r="D256" s="1" t="s">
        <v>11867</v>
      </c>
      <c r="E256" s="1" t="str">
        <f>"6130"</f>
        <v>6130</v>
      </c>
      <c r="F256" s="1" t="str">
        <f>"015557817"</f>
        <v>015557817</v>
      </c>
      <c r="G256" s="1" t="s">
        <v>227</v>
      </c>
      <c r="H256" s="1" t="s">
        <v>16</v>
      </c>
      <c r="I256" s="4" t="str">
        <f>"1"</f>
        <v>1</v>
      </c>
      <c r="J256" s="2">
        <v>2893.08</v>
      </c>
      <c r="K256" s="3">
        <v>46119</v>
      </c>
      <c r="L256" s="3">
        <v>46122</v>
      </c>
      <c r="M256" s="1" t="s">
        <v>11866</v>
      </c>
      <c r="N256" s="1" t="s">
        <v>11800</v>
      </c>
    </row>
    <row r="257" spans="1:14" s="1" customFormat="1" x14ac:dyDescent="0.35">
      <c r="A257" s="1" t="s">
        <v>5171</v>
      </c>
      <c r="B257" s="1" t="s">
        <v>506</v>
      </c>
      <c r="C257" s="1" t="s">
        <v>507</v>
      </c>
      <c r="D257" s="1" t="s">
        <v>11865</v>
      </c>
      <c r="E257" s="1" t="str">
        <f>"2320"</f>
        <v>2320</v>
      </c>
      <c r="F257" s="1" t="s">
        <v>971</v>
      </c>
      <c r="G257" s="1" t="s">
        <v>972</v>
      </c>
      <c r="H257" s="1" t="s">
        <v>16</v>
      </c>
      <c r="I257" s="4" t="str">
        <f>"1"</f>
        <v>1</v>
      </c>
      <c r="J257" s="2" t="str">
        <f>"55000"</f>
        <v>55000</v>
      </c>
      <c r="K257" s="3">
        <v>46109</v>
      </c>
      <c r="L257" s="3">
        <v>46123</v>
      </c>
      <c r="M257" s="1" t="s">
        <v>11864</v>
      </c>
      <c r="N257" s="1" t="s">
        <v>11863</v>
      </c>
    </row>
    <row r="258" spans="1:14" s="1" customFormat="1" x14ac:dyDescent="0.35">
      <c r="A258" s="1" t="s">
        <v>5171</v>
      </c>
      <c r="B258" s="1" t="s">
        <v>506</v>
      </c>
      <c r="C258" s="1" t="s">
        <v>538</v>
      </c>
      <c r="D258" s="1" t="s">
        <v>11862</v>
      </c>
      <c r="E258" s="1" t="str">
        <f>"8465"</f>
        <v>8465</v>
      </c>
      <c r="F258" s="1" t="str">
        <f>"016036613"</f>
        <v>016036613</v>
      </c>
      <c r="G258" s="1" t="s">
        <v>1236</v>
      </c>
      <c r="H258" s="1" t="s">
        <v>16</v>
      </c>
      <c r="I258" s="4" t="str">
        <f>"17"</f>
        <v>17</v>
      </c>
      <c r="J258" s="2">
        <v>395.65</v>
      </c>
      <c r="K258" s="3">
        <v>46118</v>
      </c>
      <c r="L258" s="3">
        <v>46123</v>
      </c>
      <c r="M258" s="1" t="s">
        <v>11861</v>
      </c>
      <c r="N258" s="1" t="s">
        <v>654</v>
      </c>
    </row>
    <row r="259" spans="1:14" s="1" customFormat="1" x14ac:dyDescent="0.35">
      <c r="A259" s="1" t="s">
        <v>5171</v>
      </c>
      <c r="B259" s="1" t="s">
        <v>506</v>
      </c>
      <c r="C259" s="1" t="s">
        <v>531</v>
      </c>
      <c r="D259" s="1" t="s">
        <v>11860</v>
      </c>
      <c r="E259" s="1" t="str">
        <f>"2320"</f>
        <v>2320</v>
      </c>
      <c r="F259" s="1" t="s">
        <v>975</v>
      </c>
      <c r="G259" s="1" t="s">
        <v>976</v>
      </c>
      <c r="H259" s="1" t="s">
        <v>16</v>
      </c>
      <c r="I259" s="4" t="str">
        <f>"1"</f>
        <v>1</v>
      </c>
      <c r="J259" s="2" t="str">
        <f>"10783"</f>
        <v>10783</v>
      </c>
      <c r="K259" s="3">
        <v>46112</v>
      </c>
      <c r="L259" s="3">
        <v>46127</v>
      </c>
      <c r="M259" s="1" t="s">
        <v>11859</v>
      </c>
      <c r="N259" s="1" t="s">
        <v>11858</v>
      </c>
    </row>
    <row r="260" spans="1:14" s="1" customFormat="1" x14ac:dyDescent="0.35">
      <c r="A260" s="1" t="s">
        <v>5171</v>
      </c>
      <c r="B260" s="1" t="s">
        <v>506</v>
      </c>
      <c r="C260" s="1" t="s">
        <v>538</v>
      </c>
      <c r="D260" s="1" t="s">
        <v>11857</v>
      </c>
      <c r="E260" s="1" t="str">
        <f>"8465"</f>
        <v>8465</v>
      </c>
      <c r="F260" s="1" t="str">
        <f>"015987693"</f>
        <v>015987693</v>
      </c>
      <c r="G260" s="1" t="s">
        <v>653</v>
      </c>
      <c r="H260" s="1" t="s">
        <v>16</v>
      </c>
      <c r="I260" s="4" t="str">
        <f>"25"</f>
        <v>25</v>
      </c>
      <c r="J260" s="2">
        <v>638.64</v>
      </c>
      <c r="K260" s="3">
        <v>46118</v>
      </c>
      <c r="L260" s="3">
        <v>46127</v>
      </c>
      <c r="M260" s="1" t="s">
        <v>11856</v>
      </c>
      <c r="N260" s="1" t="s">
        <v>654</v>
      </c>
    </row>
    <row r="261" spans="1:14" s="1" customFormat="1" x14ac:dyDescent="0.35">
      <c r="A261" s="1" t="s">
        <v>5171</v>
      </c>
      <c r="B261" s="1" t="s">
        <v>506</v>
      </c>
      <c r="C261" s="1" t="s">
        <v>507</v>
      </c>
      <c r="D261" s="1" t="s">
        <v>11855</v>
      </c>
      <c r="E261" s="1" t="str">
        <f>"5965"</f>
        <v>5965</v>
      </c>
      <c r="F261" s="1" t="str">
        <f>"016505785"</f>
        <v>016505785</v>
      </c>
      <c r="G261" s="1" t="s">
        <v>1561</v>
      </c>
      <c r="H261" s="1" t="s">
        <v>16</v>
      </c>
      <c r="I261" s="4" t="str">
        <f>"45"</f>
        <v>45</v>
      </c>
      <c r="J261" s="2" t="str">
        <f>"139"</f>
        <v>139</v>
      </c>
      <c r="K261" s="3">
        <v>46098</v>
      </c>
      <c r="L261" s="3">
        <v>46128</v>
      </c>
      <c r="M261" s="1" t="s">
        <v>11854</v>
      </c>
      <c r="N261" s="1" t="s">
        <v>11853</v>
      </c>
    </row>
    <row r="262" spans="1:14" s="1" customFormat="1" x14ac:dyDescent="0.35">
      <c r="A262" s="1" t="s">
        <v>5171</v>
      </c>
      <c r="B262" s="1" t="s">
        <v>506</v>
      </c>
      <c r="C262" s="1" t="s">
        <v>538</v>
      </c>
      <c r="D262" s="1" t="s">
        <v>11852</v>
      </c>
      <c r="E262" s="1" t="str">
        <f>"8465"</f>
        <v>8465</v>
      </c>
      <c r="F262" s="1" t="s">
        <v>1758</v>
      </c>
      <c r="G262" s="1" t="s">
        <v>1759</v>
      </c>
      <c r="H262" s="1" t="s">
        <v>16</v>
      </c>
      <c r="I262" s="4" t="str">
        <f>"14"</f>
        <v>14</v>
      </c>
      <c r="J262" s="2" t="str">
        <f>"528"</f>
        <v>528</v>
      </c>
      <c r="K262" s="3">
        <v>46118</v>
      </c>
      <c r="L262" s="3">
        <v>46132</v>
      </c>
      <c r="M262" s="1" t="s">
        <v>11851</v>
      </c>
      <c r="N262" s="1" t="s">
        <v>654</v>
      </c>
    </row>
    <row r="263" spans="1:14" s="1" customFormat="1" x14ac:dyDescent="0.35">
      <c r="A263" s="1" t="s">
        <v>5171</v>
      </c>
      <c r="B263" s="1" t="s">
        <v>506</v>
      </c>
      <c r="C263" s="1" t="s">
        <v>538</v>
      </c>
      <c r="D263" s="1" t="s">
        <v>11850</v>
      </c>
      <c r="E263" s="1" t="str">
        <f>"8465"</f>
        <v>8465</v>
      </c>
      <c r="F263" s="1" t="str">
        <f>"016036613"</f>
        <v>016036613</v>
      </c>
      <c r="G263" s="1" t="s">
        <v>1236</v>
      </c>
      <c r="H263" s="1" t="s">
        <v>16</v>
      </c>
      <c r="I263" s="4" t="str">
        <f>"15"</f>
        <v>15</v>
      </c>
      <c r="J263" s="2">
        <v>395.65</v>
      </c>
      <c r="K263" s="3">
        <v>46118</v>
      </c>
      <c r="L263" s="3">
        <v>46134</v>
      </c>
      <c r="M263" s="1" t="s">
        <v>11849</v>
      </c>
      <c r="N263" s="1" t="s">
        <v>654</v>
      </c>
    </row>
    <row r="264" spans="1:14" s="1" customFormat="1" x14ac:dyDescent="0.35">
      <c r="A264" s="1" t="s">
        <v>5171</v>
      </c>
      <c r="B264" s="1" t="s">
        <v>506</v>
      </c>
      <c r="C264" s="1" t="s">
        <v>538</v>
      </c>
      <c r="D264" s="1" t="s">
        <v>11848</v>
      </c>
      <c r="E264" s="1" t="str">
        <f>"7110"</f>
        <v>7110</v>
      </c>
      <c r="F264" s="1" t="s">
        <v>1053</v>
      </c>
      <c r="G264" s="1" t="s">
        <v>1054</v>
      </c>
      <c r="H264" s="1" t="s">
        <v>16</v>
      </c>
      <c r="I264" s="4" t="str">
        <f>"3"</f>
        <v>3</v>
      </c>
      <c r="J264" s="2" t="str">
        <f>"1000"</f>
        <v>1000</v>
      </c>
      <c r="K264" s="3">
        <v>46118</v>
      </c>
      <c r="L264" s="3">
        <v>46134</v>
      </c>
      <c r="M264" s="1" t="s">
        <v>11847</v>
      </c>
      <c r="N264" s="1" t="s">
        <v>11842</v>
      </c>
    </row>
    <row r="265" spans="1:14" s="1" customFormat="1" x14ac:dyDescent="0.35">
      <c r="A265" s="1" t="s">
        <v>5171</v>
      </c>
      <c r="B265" s="1" t="s">
        <v>506</v>
      </c>
      <c r="C265" s="1" t="s">
        <v>538</v>
      </c>
      <c r="D265" s="1" t="s">
        <v>11846</v>
      </c>
      <c r="E265" s="1" t="str">
        <f>"7125"</f>
        <v>7125</v>
      </c>
      <c r="F265" s="1" t="s">
        <v>111</v>
      </c>
      <c r="G265" s="1" t="s">
        <v>112</v>
      </c>
      <c r="H265" s="1" t="s">
        <v>16</v>
      </c>
      <c r="I265" s="4" t="str">
        <f>"2"</f>
        <v>2</v>
      </c>
      <c r="J265" s="2" t="str">
        <f>"450"</f>
        <v>450</v>
      </c>
      <c r="K265" s="3">
        <v>46118</v>
      </c>
      <c r="L265" s="3">
        <v>46134</v>
      </c>
      <c r="M265" s="1" t="s">
        <v>11845</v>
      </c>
      <c r="N265" s="1" t="s">
        <v>11842</v>
      </c>
    </row>
    <row r="266" spans="1:14" s="1" customFormat="1" x14ac:dyDescent="0.35">
      <c r="A266" s="1" t="s">
        <v>5171</v>
      </c>
      <c r="B266" s="1" t="s">
        <v>506</v>
      </c>
      <c r="C266" s="1" t="s">
        <v>538</v>
      </c>
      <c r="D266" s="1" t="s">
        <v>11844</v>
      </c>
      <c r="E266" s="1" t="str">
        <f>"8115"</f>
        <v>8115</v>
      </c>
      <c r="F266" s="1" t="s">
        <v>483</v>
      </c>
      <c r="G266" s="1" t="s">
        <v>484</v>
      </c>
      <c r="H266" s="1" t="s">
        <v>16</v>
      </c>
      <c r="I266" s="4" t="str">
        <f>"2"</f>
        <v>2</v>
      </c>
      <c r="J266" s="2" t="str">
        <f>"1000"</f>
        <v>1000</v>
      </c>
      <c r="K266" s="3">
        <v>46118</v>
      </c>
      <c r="L266" s="3">
        <v>46134</v>
      </c>
      <c r="M266" s="1" t="s">
        <v>11843</v>
      </c>
      <c r="N266" s="1" t="s">
        <v>11842</v>
      </c>
    </row>
    <row r="267" spans="1:14" s="1" customFormat="1" x14ac:dyDescent="0.35">
      <c r="A267" s="1" t="s">
        <v>5230</v>
      </c>
      <c r="B267" s="1" t="s">
        <v>506</v>
      </c>
      <c r="C267" s="1" t="s">
        <v>538</v>
      </c>
      <c r="D267" s="1" t="s">
        <v>11841</v>
      </c>
      <c r="E267" s="1" t="str">
        <f>"8420"</f>
        <v>8420</v>
      </c>
      <c r="F267" s="1" t="s">
        <v>622</v>
      </c>
      <c r="G267" s="1" t="s">
        <v>623</v>
      </c>
      <c r="H267" s="1" t="s">
        <v>16</v>
      </c>
      <c r="I267" s="4" t="str">
        <f>"300"</f>
        <v>300</v>
      </c>
      <c r="J267" s="2" t="str">
        <f>"115"</f>
        <v>115</v>
      </c>
      <c r="K267" s="3">
        <v>46139</v>
      </c>
      <c r="L267" s="3">
        <v>46139</v>
      </c>
      <c r="N267" s="1" t="s">
        <v>624</v>
      </c>
    </row>
    <row r="268" spans="1:14" s="1" customFormat="1" x14ac:dyDescent="0.35">
      <c r="A268" s="1" t="s">
        <v>5216</v>
      </c>
      <c r="B268" s="1" t="s">
        <v>506</v>
      </c>
      <c r="C268" s="1" t="s">
        <v>11808</v>
      </c>
      <c r="D268" s="1" t="s">
        <v>11840</v>
      </c>
      <c r="E268" s="1" t="str">
        <f>"8145"</f>
        <v>8145</v>
      </c>
      <c r="F268" s="1" t="str">
        <f>"016779592"</f>
        <v>016779592</v>
      </c>
      <c r="G268" s="1" t="s">
        <v>3195</v>
      </c>
      <c r="H268" s="1" t="s">
        <v>16</v>
      </c>
      <c r="I268" s="4" t="str">
        <f>"5"</f>
        <v>5</v>
      </c>
      <c r="J268" s="2" t="str">
        <f>"13891"</f>
        <v>13891</v>
      </c>
      <c r="K268" s="3">
        <v>46136</v>
      </c>
      <c r="L268" s="3">
        <v>46139</v>
      </c>
      <c r="M268" s="1" t="s">
        <v>7703</v>
      </c>
      <c r="N268" s="1" t="s">
        <v>11803</v>
      </c>
    </row>
    <row r="269" spans="1:14" s="1" customFormat="1" x14ac:dyDescent="0.35">
      <c r="A269" s="1" t="s">
        <v>5171</v>
      </c>
      <c r="B269" s="1" t="s">
        <v>506</v>
      </c>
      <c r="C269" s="1" t="s">
        <v>693</v>
      </c>
      <c r="D269" s="1" t="s">
        <v>11839</v>
      </c>
      <c r="E269" s="1" t="str">
        <f>"6230"</f>
        <v>6230</v>
      </c>
      <c r="F269" s="1" t="str">
        <f>"015308890"</f>
        <v>015308890</v>
      </c>
      <c r="G269" s="1" t="s">
        <v>3215</v>
      </c>
      <c r="H269" s="1" t="s">
        <v>16</v>
      </c>
      <c r="I269" s="4" t="str">
        <f>"2"</f>
        <v>2</v>
      </c>
      <c r="J269" s="2" t="str">
        <f>"12000"</f>
        <v>12000</v>
      </c>
      <c r="K269" s="3">
        <v>46128</v>
      </c>
      <c r="L269" s="3">
        <v>46139</v>
      </c>
      <c r="M269" s="1" t="s">
        <v>11838</v>
      </c>
      <c r="N269" s="1" t="s">
        <v>11837</v>
      </c>
    </row>
    <row r="270" spans="1:14" s="1" customFormat="1" x14ac:dyDescent="0.35">
      <c r="A270" s="1" t="s">
        <v>5171</v>
      </c>
      <c r="B270" s="1" t="s">
        <v>506</v>
      </c>
      <c r="C270" s="1" t="s">
        <v>693</v>
      </c>
      <c r="D270" s="1" t="s">
        <v>11836</v>
      </c>
      <c r="E270" s="1" t="str">
        <f>"5130"</f>
        <v>5130</v>
      </c>
      <c r="F270" s="1" t="str">
        <f>"015197108"</f>
        <v>015197108</v>
      </c>
      <c r="G270" s="1" t="s">
        <v>11758</v>
      </c>
      <c r="H270" s="1" t="s">
        <v>215</v>
      </c>
      <c r="I270" s="4" t="str">
        <f>"2"</f>
        <v>2</v>
      </c>
      <c r="J270" s="2">
        <v>106.08</v>
      </c>
      <c r="K270" s="3">
        <v>46132</v>
      </c>
      <c r="L270" s="3">
        <v>46139</v>
      </c>
      <c r="M270" s="1" t="s">
        <v>11835</v>
      </c>
      <c r="N270" s="1" t="s">
        <v>11834</v>
      </c>
    </row>
    <row r="271" spans="1:14" s="1" customFormat="1" x14ac:dyDescent="0.35">
      <c r="A271" s="1" t="s">
        <v>5171</v>
      </c>
      <c r="B271" s="1" t="s">
        <v>506</v>
      </c>
      <c r="C271" s="1" t="s">
        <v>538</v>
      </c>
      <c r="D271" s="1" t="s">
        <v>11833</v>
      </c>
      <c r="E271" s="1" t="str">
        <f>"6230"</f>
        <v>6230</v>
      </c>
      <c r="F271" s="1" t="str">
        <f>"016134312"</f>
        <v>016134312</v>
      </c>
      <c r="G271" s="1" t="s">
        <v>230</v>
      </c>
      <c r="H271" s="1" t="s">
        <v>16</v>
      </c>
      <c r="I271" s="4" t="str">
        <f>"36"</f>
        <v>36</v>
      </c>
      <c r="J271" s="2">
        <v>92.96</v>
      </c>
      <c r="K271" s="3">
        <v>46139</v>
      </c>
      <c r="L271" s="3">
        <v>46142</v>
      </c>
      <c r="M271" s="1" t="s">
        <v>11832</v>
      </c>
      <c r="N271" s="1" t="s">
        <v>11831</v>
      </c>
    </row>
    <row r="272" spans="1:14" s="1" customFormat="1" x14ac:dyDescent="0.35">
      <c r="A272" s="1" t="s">
        <v>5171</v>
      </c>
      <c r="B272" s="1" t="s">
        <v>506</v>
      </c>
      <c r="C272" s="1" t="s">
        <v>693</v>
      </c>
      <c r="D272" s="1" t="s">
        <v>11830</v>
      </c>
      <c r="E272" s="1" t="str">
        <f>"5450"</f>
        <v>5450</v>
      </c>
      <c r="F272" s="1" t="str">
        <f>"014368431"</f>
        <v>014368431</v>
      </c>
      <c r="G272" s="1" t="s">
        <v>11823</v>
      </c>
      <c r="H272" s="1" t="s">
        <v>16</v>
      </c>
      <c r="I272" s="4" t="str">
        <f>"5"</f>
        <v>5</v>
      </c>
      <c r="J272" s="2">
        <v>495.66</v>
      </c>
      <c r="K272" s="3">
        <v>46132</v>
      </c>
      <c r="L272" s="3">
        <v>46142</v>
      </c>
      <c r="M272" s="1" t="s">
        <v>11829</v>
      </c>
      <c r="N272" s="1" t="s">
        <v>11828</v>
      </c>
    </row>
    <row r="273" spans="1:14" s="1" customFormat="1" x14ac:dyDescent="0.35">
      <c r="A273" s="1" t="s">
        <v>5171</v>
      </c>
      <c r="B273" s="1" t="s">
        <v>506</v>
      </c>
      <c r="C273" s="1" t="s">
        <v>693</v>
      </c>
      <c r="D273" s="1" t="s">
        <v>11827</v>
      </c>
      <c r="E273" s="1" t="str">
        <f>"5450"</f>
        <v>5450</v>
      </c>
      <c r="F273" s="1" t="str">
        <f>"014368432"</f>
        <v>014368432</v>
      </c>
      <c r="G273" s="1" t="s">
        <v>11819</v>
      </c>
      <c r="H273" s="1" t="s">
        <v>16</v>
      </c>
      <c r="I273" s="4" t="str">
        <f>"10"</f>
        <v>10</v>
      </c>
      <c r="J273" s="2">
        <v>227.51</v>
      </c>
      <c r="K273" s="3">
        <v>46132</v>
      </c>
      <c r="L273" s="3">
        <v>46142</v>
      </c>
      <c r="M273" s="1" t="s">
        <v>11826</v>
      </c>
      <c r="N273" s="1" t="s">
        <v>11825</v>
      </c>
    </row>
    <row r="274" spans="1:14" s="1" customFormat="1" x14ac:dyDescent="0.35">
      <c r="A274" s="1" t="s">
        <v>5171</v>
      </c>
      <c r="B274" s="1" t="s">
        <v>506</v>
      </c>
      <c r="C274" s="1" t="s">
        <v>693</v>
      </c>
      <c r="D274" s="1" t="s">
        <v>11824</v>
      </c>
      <c r="E274" s="1" t="str">
        <f>"5450"</f>
        <v>5450</v>
      </c>
      <c r="F274" s="1" t="str">
        <f>"014368431"</f>
        <v>014368431</v>
      </c>
      <c r="G274" s="1" t="s">
        <v>11823</v>
      </c>
      <c r="H274" s="1" t="s">
        <v>16</v>
      </c>
      <c r="I274" s="4" t="str">
        <f>"39"</f>
        <v>39</v>
      </c>
      <c r="J274" s="2">
        <v>495.66</v>
      </c>
      <c r="K274" s="3">
        <v>46133</v>
      </c>
      <c r="L274" s="3">
        <v>46142</v>
      </c>
      <c r="M274" s="1" t="s">
        <v>11822</v>
      </c>
      <c r="N274" s="1" t="s">
        <v>11821</v>
      </c>
    </row>
    <row r="275" spans="1:14" s="1" customFormat="1" x14ac:dyDescent="0.35">
      <c r="A275" s="1" t="s">
        <v>5171</v>
      </c>
      <c r="B275" s="1" t="s">
        <v>506</v>
      </c>
      <c r="C275" s="1" t="s">
        <v>693</v>
      </c>
      <c r="D275" s="1" t="s">
        <v>11820</v>
      </c>
      <c r="E275" s="1" t="str">
        <f>"5450"</f>
        <v>5450</v>
      </c>
      <c r="F275" s="1" t="str">
        <f>"014368432"</f>
        <v>014368432</v>
      </c>
      <c r="G275" s="1" t="s">
        <v>11819</v>
      </c>
      <c r="H275" s="1" t="s">
        <v>16</v>
      </c>
      <c r="I275" s="4" t="str">
        <f>"45"</f>
        <v>45</v>
      </c>
      <c r="J275" s="2">
        <v>227.51</v>
      </c>
      <c r="K275" s="3">
        <v>46133</v>
      </c>
      <c r="L275" s="3">
        <v>46142</v>
      </c>
      <c r="M275" s="1" t="s">
        <v>11818</v>
      </c>
      <c r="N275" s="1" t="s">
        <v>11817</v>
      </c>
    </row>
    <row r="276" spans="1:14" s="1" customFormat="1" x14ac:dyDescent="0.35">
      <c r="A276" s="1" t="s">
        <v>5171</v>
      </c>
      <c r="B276" s="1" t="s">
        <v>506</v>
      </c>
      <c r="C276" s="1" t="s">
        <v>11736</v>
      </c>
      <c r="D276" s="1" t="s">
        <v>11816</v>
      </c>
      <c r="E276" s="1" t="str">
        <f>"1240"</f>
        <v>1240</v>
      </c>
      <c r="F276" s="1" t="s">
        <v>1800</v>
      </c>
      <c r="G276" s="1" t="s">
        <v>1801</v>
      </c>
      <c r="H276" s="1" t="s">
        <v>16</v>
      </c>
      <c r="I276" s="4" t="str">
        <f>"6"</f>
        <v>6</v>
      </c>
      <c r="J276" s="2" t="str">
        <f>"2499"</f>
        <v>2499</v>
      </c>
      <c r="K276" s="3">
        <v>46141</v>
      </c>
      <c r="L276" s="3">
        <v>46144</v>
      </c>
      <c r="M276" s="1" t="s">
        <v>5469</v>
      </c>
      <c r="N276" s="1" t="s">
        <v>11815</v>
      </c>
    </row>
    <row r="277" spans="1:14" s="1" customFormat="1" x14ac:dyDescent="0.35">
      <c r="A277" s="1" t="s">
        <v>5171</v>
      </c>
      <c r="B277" s="1" t="s">
        <v>506</v>
      </c>
      <c r="C277" s="1" t="s">
        <v>693</v>
      </c>
      <c r="D277" s="1" t="s">
        <v>11814</v>
      </c>
      <c r="E277" s="1" t="str">
        <f>"5180"</f>
        <v>5180</v>
      </c>
      <c r="F277" s="1" t="str">
        <f>"012014979"</f>
        <v>012014979</v>
      </c>
      <c r="G277" s="1" t="s">
        <v>11813</v>
      </c>
      <c r="H277" s="1" t="s">
        <v>215</v>
      </c>
      <c r="I277" s="4" t="str">
        <f>"1"</f>
        <v>1</v>
      </c>
      <c r="J277" s="2">
        <v>2473.6799999999998</v>
      </c>
      <c r="K277" s="3">
        <v>46142</v>
      </c>
      <c r="L277" s="3">
        <v>46144</v>
      </c>
      <c r="M277" s="1" t="s">
        <v>5167</v>
      </c>
      <c r="N277" s="1" t="s">
        <v>11812</v>
      </c>
    </row>
    <row r="278" spans="1:14" s="1" customFormat="1" x14ac:dyDescent="0.35">
      <c r="A278" s="1" t="s">
        <v>5171</v>
      </c>
      <c r="B278" s="1" t="s">
        <v>506</v>
      </c>
      <c r="C278" s="1" t="s">
        <v>538</v>
      </c>
      <c r="D278" s="1" t="s">
        <v>11811</v>
      </c>
      <c r="E278" s="1" t="str">
        <f>"2320"</f>
        <v>2320</v>
      </c>
      <c r="F278" s="1" t="s">
        <v>975</v>
      </c>
      <c r="G278" s="1" t="s">
        <v>976</v>
      </c>
      <c r="H278" s="1" t="s">
        <v>16</v>
      </c>
      <c r="I278" s="4" t="str">
        <f>"1"</f>
        <v>1</v>
      </c>
      <c r="J278" s="2" t="str">
        <f>"25000"</f>
        <v>25000</v>
      </c>
      <c r="K278" s="3">
        <v>46132</v>
      </c>
      <c r="L278" s="3">
        <v>46146</v>
      </c>
      <c r="M278" s="1" t="s">
        <v>11810</v>
      </c>
      <c r="N278" s="1" t="s">
        <v>11809</v>
      </c>
    </row>
    <row r="279" spans="1:14" s="1" customFormat="1" x14ac:dyDescent="0.35">
      <c r="A279" s="1" t="s">
        <v>5171</v>
      </c>
      <c r="B279" s="1" t="s">
        <v>506</v>
      </c>
      <c r="C279" s="1" t="s">
        <v>11808</v>
      </c>
      <c r="D279" s="1" t="s">
        <v>11807</v>
      </c>
      <c r="E279" s="1" t="str">
        <f>"8150"</f>
        <v>8150</v>
      </c>
      <c r="F279" s="1" t="s">
        <v>11806</v>
      </c>
      <c r="G279" s="1" t="s">
        <v>11805</v>
      </c>
      <c r="H279" s="1" t="s">
        <v>16</v>
      </c>
      <c r="I279" s="4" t="str">
        <f>"1"</f>
        <v>1</v>
      </c>
      <c r="J279" s="2" t="str">
        <f>"5900"</f>
        <v>5900</v>
      </c>
      <c r="K279" s="3">
        <v>46136</v>
      </c>
      <c r="L279" s="3">
        <v>46146</v>
      </c>
      <c r="M279" s="1" t="s">
        <v>11804</v>
      </c>
      <c r="N279" s="1" t="s">
        <v>11803</v>
      </c>
    </row>
    <row r="280" spans="1:14" s="1" customFormat="1" x14ac:dyDescent="0.35">
      <c r="A280" s="1" t="s">
        <v>5171</v>
      </c>
      <c r="B280" s="1" t="s">
        <v>506</v>
      </c>
      <c r="C280" s="1" t="s">
        <v>507</v>
      </c>
      <c r="D280" s="1" t="s">
        <v>11802</v>
      </c>
      <c r="E280" s="1" t="str">
        <f>"6130"</f>
        <v>6130</v>
      </c>
      <c r="F280" s="1" t="str">
        <f>"014952839"</f>
        <v>014952839</v>
      </c>
      <c r="G280" s="1" t="s">
        <v>227</v>
      </c>
      <c r="H280" s="1" t="s">
        <v>16</v>
      </c>
      <c r="I280" s="4" t="str">
        <f>"1"</f>
        <v>1</v>
      </c>
      <c r="J280" s="2" t="str">
        <f>"4393"</f>
        <v>4393</v>
      </c>
      <c r="K280" s="3">
        <v>46140</v>
      </c>
      <c r="L280" s="3">
        <v>46149</v>
      </c>
      <c r="M280" s="1" t="s">
        <v>11801</v>
      </c>
      <c r="N280" s="1" t="s">
        <v>11800</v>
      </c>
    </row>
    <row r="281" spans="1:14" s="1" customFormat="1" x14ac:dyDescent="0.35">
      <c r="A281" s="1" t="s">
        <v>5171</v>
      </c>
      <c r="B281" s="1" t="s">
        <v>506</v>
      </c>
      <c r="C281" s="1" t="s">
        <v>538</v>
      </c>
      <c r="D281" s="1" t="s">
        <v>11799</v>
      </c>
      <c r="E281" s="1" t="str">
        <f>"8415"</f>
        <v>8415</v>
      </c>
      <c r="F281" s="1" t="str">
        <f>"015553967"</f>
        <v>015553967</v>
      </c>
      <c r="G281" s="1" t="s">
        <v>1224</v>
      </c>
      <c r="H281" s="1" t="s">
        <v>16</v>
      </c>
      <c r="I281" s="4" t="str">
        <f>"335"</f>
        <v>335</v>
      </c>
      <c r="J281" s="2">
        <v>91.94</v>
      </c>
      <c r="K281" s="3">
        <v>46139</v>
      </c>
      <c r="L281" s="3">
        <v>46149</v>
      </c>
      <c r="M281" s="1" t="s">
        <v>11798</v>
      </c>
      <c r="N281" s="1" t="s">
        <v>624</v>
      </c>
    </row>
    <row r="282" spans="1:14" s="1" customFormat="1" x14ac:dyDescent="0.35">
      <c r="A282" s="1" t="s">
        <v>5171</v>
      </c>
      <c r="B282" s="1" t="s">
        <v>506</v>
      </c>
      <c r="C282" s="1" t="s">
        <v>538</v>
      </c>
      <c r="D282" s="1" t="s">
        <v>11797</v>
      </c>
      <c r="E282" s="1" t="str">
        <f>"8415"</f>
        <v>8415</v>
      </c>
      <c r="F282" s="1" t="str">
        <f>"016072220"</f>
        <v>016072220</v>
      </c>
      <c r="G282" s="1" t="s">
        <v>1883</v>
      </c>
      <c r="H282" s="1" t="s">
        <v>16</v>
      </c>
      <c r="I282" s="4" t="str">
        <f>"88"</f>
        <v>88</v>
      </c>
      <c r="J282" s="2">
        <v>148.71</v>
      </c>
      <c r="K282" s="3">
        <v>46139</v>
      </c>
      <c r="L282" s="3">
        <v>46149</v>
      </c>
      <c r="M282" s="1" t="s">
        <v>11796</v>
      </c>
      <c r="N282" s="1" t="s">
        <v>624</v>
      </c>
    </row>
    <row r="283" spans="1:14" s="1" customFormat="1" x14ac:dyDescent="0.35">
      <c r="A283" s="1" t="s">
        <v>5171</v>
      </c>
      <c r="B283" s="1" t="s">
        <v>506</v>
      </c>
      <c r="C283" s="1" t="s">
        <v>538</v>
      </c>
      <c r="D283" s="1" t="s">
        <v>11795</v>
      </c>
      <c r="E283" s="1" t="str">
        <f>"8420"</f>
        <v>8420</v>
      </c>
      <c r="F283" s="1" t="s">
        <v>622</v>
      </c>
      <c r="G283" s="1" t="s">
        <v>623</v>
      </c>
      <c r="H283" s="1" t="s">
        <v>16</v>
      </c>
      <c r="I283" s="4" t="str">
        <f>"300"</f>
        <v>300</v>
      </c>
      <c r="J283" s="2" t="str">
        <f>"115"</f>
        <v>115</v>
      </c>
      <c r="K283" s="3">
        <v>46139</v>
      </c>
      <c r="L283" s="3">
        <v>46149</v>
      </c>
      <c r="M283" s="1" t="s">
        <v>11794</v>
      </c>
      <c r="N283" s="1" t="s">
        <v>624</v>
      </c>
    </row>
    <row r="284" spans="1:14" s="1" customFormat="1" x14ac:dyDescent="0.35">
      <c r="A284" s="1" t="s">
        <v>5171</v>
      </c>
      <c r="B284" s="1" t="s">
        <v>506</v>
      </c>
      <c r="C284" s="1" t="s">
        <v>693</v>
      </c>
      <c r="D284" s="1" t="s">
        <v>11793</v>
      </c>
      <c r="E284" s="1" t="str">
        <f>"3990"</f>
        <v>3990</v>
      </c>
      <c r="F284" s="1" t="str">
        <f>"014405975"</f>
        <v>014405975</v>
      </c>
      <c r="G284" s="1" t="s">
        <v>11792</v>
      </c>
      <c r="H284" s="1" t="s">
        <v>16</v>
      </c>
      <c r="I284" s="4" t="str">
        <f>"12"</f>
        <v>12</v>
      </c>
      <c r="J284" s="2">
        <v>179.15</v>
      </c>
      <c r="K284" s="3">
        <v>46139</v>
      </c>
      <c r="L284" s="3">
        <v>46149</v>
      </c>
      <c r="M284" s="1" t="s">
        <v>11791</v>
      </c>
      <c r="N284" s="1" t="s">
        <v>11790</v>
      </c>
    </row>
    <row r="285" spans="1:14" s="1" customFormat="1" x14ac:dyDescent="0.35">
      <c r="A285" s="1" t="s">
        <v>5171</v>
      </c>
      <c r="B285" s="1" t="s">
        <v>506</v>
      </c>
      <c r="C285" s="1" t="s">
        <v>693</v>
      </c>
      <c r="D285" s="1" t="s">
        <v>11789</v>
      </c>
      <c r="E285" s="1" t="str">
        <f>"3940"</f>
        <v>3940</v>
      </c>
      <c r="F285" s="1" t="str">
        <f>"015736482"</f>
        <v>015736482</v>
      </c>
      <c r="G285" s="1" t="s">
        <v>11788</v>
      </c>
      <c r="H285" s="1" t="s">
        <v>16</v>
      </c>
      <c r="I285" s="4" t="str">
        <f>"1"</f>
        <v>1</v>
      </c>
      <c r="J285" s="2">
        <v>987.23</v>
      </c>
      <c r="K285" s="3">
        <v>46139</v>
      </c>
      <c r="L285" s="3">
        <v>46149</v>
      </c>
      <c r="M285" s="1" t="s">
        <v>11787</v>
      </c>
      <c r="N285" s="1" t="s">
        <v>11786</v>
      </c>
    </row>
    <row r="286" spans="1:14" s="1" customFormat="1" x14ac:dyDescent="0.35">
      <c r="A286" s="1" t="s">
        <v>5171</v>
      </c>
      <c r="B286" s="1" t="s">
        <v>506</v>
      </c>
      <c r="C286" s="1" t="s">
        <v>518</v>
      </c>
      <c r="D286" s="1" t="s">
        <v>11785</v>
      </c>
      <c r="E286" s="1" t="str">
        <f>"8430"</f>
        <v>8430</v>
      </c>
      <c r="F286" s="1" t="str">
        <f>"013256549"</f>
        <v>013256549</v>
      </c>
      <c r="G286" s="1" t="s">
        <v>526</v>
      </c>
      <c r="H286" s="1" t="s">
        <v>311</v>
      </c>
      <c r="I286" s="4" t="str">
        <f>"1"</f>
        <v>1</v>
      </c>
      <c r="J286" s="2">
        <v>251.06</v>
      </c>
      <c r="K286" s="3">
        <v>46141</v>
      </c>
      <c r="L286" s="3">
        <v>46151</v>
      </c>
      <c r="M286" s="1" t="s">
        <v>11784</v>
      </c>
      <c r="N286" s="1" t="s">
        <v>527</v>
      </c>
    </row>
    <row r="287" spans="1:14" s="1" customFormat="1" x14ac:dyDescent="0.35">
      <c r="A287" s="1" t="s">
        <v>5171</v>
      </c>
      <c r="B287" s="1" t="s">
        <v>506</v>
      </c>
      <c r="C287" s="1" t="s">
        <v>693</v>
      </c>
      <c r="D287" s="1" t="s">
        <v>11783</v>
      </c>
      <c r="E287" s="1" t="str">
        <f>"5180"</f>
        <v>5180</v>
      </c>
      <c r="F287" s="1" t="s">
        <v>88</v>
      </c>
      <c r="G287" s="1" t="s">
        <v>89</v>
      </c>
      <c r="H287" s="1" t="s">
        <v>16</v>
      </c>
      <c r="I287" s="4" t="str">
        <f>"1"</f>
        <v>1</v>
      </c>
      <c r="J287" s="2" t="str">
        <f>"1000"</f>
        <v>1000</v>
      </c>
      <c r="K287" s="3">
        <v>46139</v>
      </c>
      <c r="L287" s="3">
        <v>46151</v>
      </c>
      <c r="M287" s="1" t="s">
        <v>11782</v>
      </c>
      <c r="N287" s="1" t="s">
        <v>780</v>
      </c>
    </row>
    <row r="288" spans="1:14" s="1" customFormat="1" x14ac:dyDescent="0.35">
      <c r="A288" s="1" t="s">
        <v>5171</v>
      </c>
      <c r="B288" s="1" t="s">
        <v>506</v>
      </c>
      <c r="C288" s="1" t="s">
        <v>538</v>
      </c>
      <c r="D288" s="1" t="s">
        <v>11781</v>
      </c>
      <c r="E288" s="1" t="str">
        <f>"1240"</f>
        <v>1240</v>
      </c>
      <c r="F288" s="1" t="str">
        <f>"015349198"</f>
        <v>015349198</v>
      </c>
      <c r="G288" s="1" t="s">
        <v>11780</v>
      </c>
      <c r="H288" s="1" t="s">
        <v>3041</v>
      </c>
      <c r="I288" s="4" t="str">
        <f>"306"</f>
        <v>306</v>
      </c>
      <c r="J288" s="2">
        <v>78.790000000000006</v>
      </c>
      <c r="K288" s="3">
        <v>46153</v>
      </c>
      <c r="L288" s="3">
        <v>46154</v>
      </c>
      <c r="M288" s="1" t="s">
        <v>11779</v>
      </c>
      <c r="N288" s="1" t="s">
        <v>11778</v>
      </c>
    </row>
    <row r="289" spans="1:14" s="1" customFormat="1" x14ac:dyDescent="0.35">
      <c r="A289" s="1" t="s">
        <v>5171</v>
      </c>
      <c r="B289" s="1" t="s">
        <v>506</v>
      </c>
      <c r="C289" s="1" t="s">
        <v>538</v>
      </c>
      <c r="D289" s="1" t="s">
        <v>11777</v>
      </c>
      <c r="E289" s="1" t="str">
        <f>"8440"</f>
        <v>8440</v>
      </c>
      <c r="F289" s="1" t="s">
        <v>11776</v>
      </c>
      <c r="G289" s="1" t="s">
        <v>11775</v>
      </c>
      <c r="H289" s="1" t="s">
        <v>16</v>
      </c>
      <c r="I289" s="4" t="str">
        <f>"134"</f>
        <v>134</v>
      </c>
      <c r="J289" s="2" t="str">
        <f>"3"</f>
        <v>3</v>
      </c>
      <c r="K289" s="3">
        <v>46132</v>
      </c>
      <c r="L289" s="3">
        <v>46156</v>
      </c>
      <c r="M289" s="1" t="s">
        <v>11774</v>
      </c>
      <c r="N289" s="1" t="s">
        <v>11773</v>
      </c>
    </row>
    <row r="290" spans="1:14" s="1" customFormat="1" x14ac:dyDescent="0.35">
      <c r="A290" s="1" t="s">
        <v>5171</v>
      </c>
      <c r="B290" s="1" t="s">
        <v>506</v>
      </c>
      <c r="C290" s="1" t="s">
        <v>693</v>
      </c>
      <c r="D290" s="1" t="s">
        <v>11772</v>
      </c>
      <c r="E290" s="1" t="str">
        <f>"3920"</f>
        <v>3920</v>
      </c>
      <c r="F290" s="1" t="str">
        <f>"016298728"</f>
        <v>016298728</v>
      </c>
      <c r="G290" s="1" t="s">
        <v>3170</v>
      </c>
      <c r="H290" s="1" t="s">
        <v>215</v>
      </c>
      <c r="I290" s="4" t="str">
        <f>"1"</f>
        <v>1</v>
      </c>
      <c r="J290" s="2">
        <v>6569.23</v>
      </c>
      <c r="K290" s="3">
        <v>46132</v>
      </c>
      <c r="L290" s="3">
        <v>46157</v>
      </c>
      <c r="M290" s="1" t="s">
        <v>11771</v>
      </c>
      <c r="N290" s="1" t="s">
        <v>11770</v>
      </c>
    </row>
    <row r="291" spans="1:14" s="1" customFormat="1" x14ac:dyDescent="0.35">
      <c r="A291" s="1" t="s">
        <v>5171</v>
      </c>
      <c r="B291" s="1" t="s">
        <v>506</v>
      </c>
      <c r="C291" s="1" t="s">
        <v>538</v>
      </c>
      <c r="D291" s="1" t="s">
        <v>11769</v>
      </c>
      <c r="E291" s="1" t="str">
        <f>"2330"</f>
        <v>2330</v>
      </c>
      <c r="F291" s="1" t="s">
        <v>70</v>
      </c>
      <c r="G291" s="1" t="s">
        <v>71</v>
      </c>
      <c r="H291" s="1" t="s">
        <v>16</v>
      </c>
      <c r="I291" s="4" t="str">
        <f>"1"</f>
        <v>1</v>
      </c>
      <c r="J291" s="2" t="str">
        <f>"14555"</f>
        <v>14555</v>
      </c>
      <c r="K291" s="3">
        <v>46146</v>
      </c>
      <c r="L291" s="3">
        <v>46158</v>
      </c>
      <c r="M291" s="1" t="s">
        <v>11768</v>
      </c>
      <c r="N291" s="1" t="s">
        <v>11767</v>
      </c>
    </row>
    <row r="292" spans="1:14" s="1" customFormat="1" x14ac:dyDescent="0.35">
      <c r="A292" s="1" t="s">
        <v>5171</v>
      </c>
      <c r="B292" s="1" t="s">
        <v>506</v>
      </c>
      <c r="C292" s="1" t="s">
        <v>538</v>
      </c>
      <c r="D292" s="1" t="s">
        <v>11766</v>
      </c>
      <c r="E292" s="1" t="str">
        <f>"8405"</f>
        <v>8405</v>
      </c>
      <c r="F292" s="1" t="str">
        <f>"011000976"</f>
        <v>011000976</v>
      </c>
      <c r="G292" s="1" t="s">
        <v>615</v>
      </c>
      <c r="H292" s="1" t="s">
        <v>16</v>
      </c>
      <c r="I292" s="4" t="str">
        <f>"85"</f>
        <v>85</v>
      </c>
      <c r="J292" s="2">
        <v>48.9</v>
      </c>
      <c r="K292" s="3">
        <v>46134</v>
      </c>
      <c r="L292" s="3">
        <v>46161</v>
      </c>
      <c r="M292" s="1" t="s">
        <v>11765</v>
      </c>
      <c r="N292" s="1" t="s">
        <v>639</v>
      </c>
    </row>
    <row r="293" spans="1:14" s="1" customFormat="1" x14ac:dyDescent="0.35">
      <c r="A293" s="1" t="s">
        <v>5171</v>
      </c>
      <c r="B293" s="1" t="s">
        <v>506</v>
      </c>
      <c r="C293" s="1" t="s">
        <v>538</v>
      </c>
      <c r="D293" s="1" t="s">
        <v>11764</v>
      </c>
      <c r="E293" s="1" t="str">
        <f>"8145"</f>
        <v>8145</v>
      </c>
      <c r="F293" s="1" t="str">
        <f>"014423343"</f>
        <v>014423343</v>
      </c>
      <c r="G293" s="1" t="s">
        <v>423</v>
      </c>
      <c r="H293" s="1" t="s">
        <v>16</v>
      </c>
      <c r="I293" s="4" t="str">
        <f>"1"</f>
        <v>1</v>
      </c>
      <c r="J293" s="2">
        <v>5473.26</v>
      </c>
      <c r="K293" s="3">
        <v>46161</v>
      </c>
      <c r="L293" s="3">
        <v>46162</v>
      </c>
      <c r="M293" s="1" t="s">
        <v>11763</v>
      </c>
      <c r="N293" s="1" t="s">
        <v>11760</v>
      </c>
    </row>
    <row r="294" spans="1:14" s="1" customFormat="1" x14ac:dyDescent="0.35">
      <c r="A294" s="1" t="s">
        <v>5171</v>
      </c>
      <c r="B294" s="1" t="s">
        <v>506</v>
      </c>
      <c r="C294" s="1" t="s">
        <v>538</v>
      </c>
      <c r="D294" s="1" t="s">
        <v>11762</v>
      </c>
      <c r="E294" s="1" t="str">
        <f>"8145"</f>
        <v>8145</v>
      </c>
      <c r="F294" s="1" t="str">
        <f>"014423343"</f>
        <v>014423343</v>
      </c>
      <c r="G294" s="1" t="s">
        <v>423</v>
      </c>
      <c r="H294" s="1" t="s">
        <v>16</v>
      </c>
      <c r="I294" s="4" t="str">
        <f>"1"</f>
        <v>1</v>
      </c>
      <c r="J294" s="2">
        <v>5473.26</v>
      </c>
      <c r="K294" s="3">
        <v>46161</v>
      </c>
      <c r="L294" s="3">
        <v>46162</v>
      </c>
      <c r="M294" s="1" t="s">
        <v>11761</v>
      </c>
      <c r="N294" s="1" t="s">
        <v>11760</v>
      </c>
    </row>
    <row r="295" spans="1:14" s="1" customFormat="1" x14ac:dyDescent="0.35">
      <c r="A295" s="1" t="s">
        <v>5171</v>
      </c>
      <c r="B295" s="1" t="s">
        <v>506</v>
      </c>
      <c r="C295" s="1" t="s">
        <v>693</v>
      </c>
      <c r="D295" s="1" t="s">
        <v>11759</v>
      </c>
      <c r="E295" s="1" t="str">
        <f>"5130"</f>
        <v>5130</v>
      </c>
      <c r="F295" s="1" t="str">
        <f>"015197108"</f>
        <v>015197108</v>
      </c>
      <c r="G295" s="1" t="s">
        <v>11758</v>
      </c>
      <c r="H295" s="1" t="s">
        <v>215</v>
      </c>
      <c r="I295" s="4" t="str">
        <f>"2"</f>
        <v>2</v>
      </c>
      <c r="J295" s="2">
        <v>106.08</v>
      </c>
      <c r="K295" s="3">
        <v>46163</v>
      </c>
      <c r="L295" s="3">
        <v>46165</v>
      </c>
      <c r="M295" s="1" t="s">
        <v>11757</v>
      </c>
      <c r="N295" s="1" t="s">
        <v>11756</v>
      </c>
    </row>
    <row r="296" spans="1:14" s="1" customFormat="1" x14ac:dyDescent="0.35">
      <c r="A296" s="1" t="s">
        <v>5171</v>
      </c>
      <c r="B296" s="1" t="s">
        <v>506</v>
      </c>
      <c r="C296" s="1" t="s">
        <v>693</v>
      </c>
      <c r="D296" s="1" t="s">
        <v>11755</v>
      </c>
      <c r="E296" s="1" t="str">
        <f>"5140"</f>
        <v>5140</v>
      </c>
      <c r="F296" s="1" t="s">
        <v>761</v>
      </c>
      <c r="G296" s="1" t="s">
        <v>762</v>
      </c>
      <c r="H296" s="1" t="s">
        <v>16</v>
      </c>
      <c r="I296" s="4" t="str">
        <f>"1"</f>
        <v>1</v>
      </c>
      <c r="J296" s="2" t="str">
        <f>"1064"</f>
        <v>1064</v>
      </c>
      <c r="K296" s="3">
        <v>46155</v>
      </c>
      <c r="L296" s="3">
        <v>46165</v>
      </c>
      <c r="M296" s="1" t="s">
        <v>11754</v>
      </c>
      <c r="N296" s="1" t="s">
        <v>763</v>
      </c>
    </row>
    <row r="297" spans="1:14" s="1" customFormat="1" x14ac:dyDescent="0.35">
      <c r="A297" s="1" t="s">
        <v>5171</v>
      </c>
      <c r="B297" s="1" t="s">
        <v>506</v>
      </c>
      <c r="C297" s="1" t="s">
        <v>693</v>
      </c>
      <c r="D297" s="1" t="s">
        <v>11753</v>
      </c>
      <c r="E297" s="1" t="str">
        <f>"4240"</f>
        <v>4240</v>
      </c>
      <c r="F297" s="1" t="str">
        <f>"013422853"</f>
        <v>013422853</v>
      </c>
      <c r="G297" s="1" t="s">
        <v>722</v>
      </c>
      <c r="H297" s="1" t="s">
        <v>352</v>
      </c>
      <c r="I297" s="4" t="str">
        <f>"3"</f>
        <v>3</v>
      </c>
      <c r="J297" s="2">
        <v>399.34</v>
      </c>
      <c r="K297" s="3">
        <v>46155</v>
      </c>
      <c r="L297" s="3">
        <v>46169</v>
      </c>
      <c r="M297" s="1" t="s">
        <v>11752</v>
      </c>
      <c r="N297" s="1" t="s">
        <v>11751</v>
      </c>
    </row>
    <row r="298" spans="1:14" s="1" customFormat="1" x14ac:dyDescent="0.35">
      <c r="A298" s="1" t="s">
        <v>5171</v>
      </c>
      <c r="B298" s="1" t="s">
        <v>506</v>
      </c>
      <c r="C298" s="1" t="s">
        <v>538</v>
      </c>
      <c r="D298" s="1" t="s">
        <v>11750</v>
      </c>
      <c r="E298" s="1" t="str">
        <f>"1385"</f>
        <v>1385</v>
      </c>
      <c r="F298" s="1" t="str">
        <f>"015736046"</f>
        <v>015736046</v>
      </c>
      <c r="G298" s="1" t="s">
        <v>540</v>
      </c>
      <c r="H298" s="1" t="s">
        <v>16</v>
      </c>
      <c r="I298" s="4" t="str">
        <f>"1"</f>
        <v>1</v>
      </c>
      <c r="J298" s="2">
        <v>284528.08</v>
      </c>
      <c r="K298" s="3">
        <v>46170</v>
      </c>
      <c r="L298" s="3">
        <v>46172</v>
      </c>
      <c r="M298" s="1" t="s">
        <v>11749</v>
      </c>
      <c r="N298" s="1" t="s">
        <v>11748</v>
      </c>
    </row>
    <row r="299" spans="1:14" s="1" customFormat="1" x14ac:dyDescent="0.35">
      <c r="A299" s="1" t="s">
        <v>5171</v>
      </c>
      <c r="B299" s="1" t="s">
        <v>506</v>
      </c>
      <c r="C299" s="1" t="s">
        <v>693</v>
      </c>
      <c r="D299" s="1" t="s">
        <v>11747</v>
      </c>
      <c r="E299" s="1" t="str">
        <f>"8150"</f>
        <v>8150</v>
      </c>
      <c r="F299" s="1" t="s">
        <v>11746</v>
      </c>
      <c r="G299" s="1" t="s">
        <v>11745</v>
      </c>
      <c r="H299" s="1" t="s">
        <v>16</v>
      </c>
      <c r="I299" s="4" t="str">
        <f>"1"</f>
        <v>1</v>
      </c>
      <c r="J299" s="2" t="str">
        <f>"5000"</f>
        <v>5000</v>
      </c>
      <c r="K299" s="3">
        <v>46168</v>
      </c>
      <c r="L299" s="3">
        <v>46172</v>
      </c>
      <c r="M299" s="1" t="s">
        <v>11744</v>
      </c>
      <c r="N299" s="1" t="s">
        <v>11743</v>
      </c>
    </row>
    <row r="300" spans="1:14" s="1" customFormat="1" x14ac:dyDescent="0.35">
      <c r="A300" s="1" t="s">
        <v>5171</v>
      </c>
      <c r="B300" s="1" t="s">
        <v>506</v>
      </c>
      <c r="C300" s="1" t="s">
        <v>538</v>
      </c>
      <c r="D300" s="1" t="s">
        <v>11742</v>
      </c>
      <c r="E300" s="1" t="str">
        <f>"8415"</f>
        <v>8415</v>
      </c>
      <c r="F300" s="1" t="str">
        <f>"015801336"</f>
        <v>015801336</v>
      </c>
      <c r="G300" s="1" t="s">
        <v>493</v>
      </c>
      <c r="H300" s="1" t="s">
        <v>16</v>
      </c>
      <c r="I300" s="4" t="str">
        <f>"23"</f>
        <v>23</v>
      </c>
      <c r="J300" s="2">
        <v>80.94</v>
      </c>
      <c r="K300" s="3">
        <v>46174</v>
      </c>
      <c r="L300" s="3">
        <v>46176</v>
      </c>
      <c r="M300" s="1" t="s">
        <v>11741</v>
      </c>
      <c r="N300" s="1" t="s">
        <v>618</v>
      </c>
    </row>
    <row r="301" spans="1:14" s="1" customFormat="1" x14ac:dyDescent="0.35">
      <c r="A301" s="1" t="s">
        <v>5171</v>
      </c>
      <c r="B301" s="1" t="s">
        <v>506</v>
      </c>
      <c r="C301" s="1" t="s">
        <v>538</v>
      </c>
      <c r="D301" s="1" t="s">
        <v>11740</v>
      </c>
      <c r="E301" s="1" t="str">
        <f>"8415"</f>
        <v>8415</v>
      </c>
      <c r="F301" s="1" t="str">
        <f>"015801341"</f>
        <v>015801341</v>
      </c>
      <c r="G301" s="1" t="s">
        <v>493</v>
      </c>
      <c r="H301" s="1" t="s">
        <v>16</v>
      </c>
      <c r="I301" s="4" t="str">
        <f>"24"</f>
        <v>24</v>
      </c>
      <c r="J301" s="2">
        <v>80.94</v>
      </c>
      <c r="K301" s="3">
        <v>46174</v>
      </c>
      <c r="L301" s="3">
        <v>46176</v>
      </c>
      <c r="M301" s="1" t="s">
        <v>11739</v>
      </c>
      <c r="N301" s="1" t="s">
        <v>618</v>
      </c>
    </row>
    <row r="302" spans="1:14" s="1" customFormat="1" x14ac:dyDescent="0.35">
      <c r="A302" s="1" t="s">
        <v>5171</v>
      </c>
      <c r="B302" s="1" t="s">
        <v>506</v>
      </c>
      <c r="C302" s="1" t="s">
        <v>538</v>
      </c>
      <c r="D302" s="1" t="s">
        <v>11738</v>
      </c>
      <c r="E302" s="1" t="str">
        <f>"8415"</f>
        <v>8415</v>
      </c>
      <c r="F302" s="1" t="str">
        <f>"015801341"</f>
        <v>015801341</v>
      </c>
      <c r="G302" s="1" t="s">
        <v>493</v>
      </c>
      <c r="H302" s="1" t="s">
        <v>16</v>
      </c>
      <c r="I302" s="4" t="str">
        <f>"15"</f>
        <v>15</v>
      </c>
      <c r="J302" s="2">
        <v>80.94</v>
      </c>
      <c r="K302" s="3">
        <v>46174</v>
      </c>
      <c r="L302" s="3">
        <v>46176</v>
      </c>
      <c r="M302" s="1" t="s">
        <v>11737</v>
      </c>
      <c r="N302" s="1" t="s">
        <v>618</v>
      </c>
    </row>
    <row r="303" spans="1:14" s="1" customFormat="1" x14ac:dyDescent="0.35">
      <c r="A303" s="1" t="s">
        <v>5171</v>
      </c>
      <c r="B303" s="1" t="s">
        <v>506</v>
      </c>
      <c r="C303" s="1" t="s">
        <v>11736</v>
      </c>
      <c r="D303" s="1" t="s">
        <v>11735</v>
      </c>
      <c r="E303" s="1" t="str">
        <f>"5855"</f>
        <v>5855</v>
      </c>
      <c r="F303" s="1" t="str">
        <f>"015485687"</f>
        <v>015485687</v>
      </c>
      <c r="G303" s="1" t="s">
        <v>1921</v>
      </c>
      <c r="H303" s="1" t="s">
        <v>16</v>
      </c>
      <c r="I303" s="4" t="str">
        <f>"30"</f>
        <v>30</v>
      </c>
      <c r="J303" s="2" t="str">
        <f>"10402"</f>
        <v>10402</v>
      </c>
      <c r="K303" s="3">
        <v>46043</v>
      </c>
      <c r="L303" s="3">
        <v>46176</v>
      </c>
      <c r="M303" s="1" t="s">
        <v>11734</v>
      </c>
      <c r="N303" s="1" t="s">
        <v>11733</v>
      </c>
    </row>
    <row r="304" spans="1:14" s="1" customFormat="1" x14ac:dyDescent="0.35">
      <c r="A304" s="1" t="s">
        <v>5171</v>
      </c>
      <c r="B304" s="1" t="s">
        <v>506</v>
      </c>
      <c r="C304" s="1" t="s">
        <v>538</v>
      </c>
      <c r="D304" s="1" t="s">
        <v>11732</v>
      </c>
      <c r="E304" s="1" t="str">
        <f>"8465"</f>
        <v>8465</v>
      </c>
      <c r="F304" s="1" t="str">
        <f>"016007938"</f>
        <v>016007938</v>
      </c>
      <c r="G304" s="1" t="s">
        <v>11727</v>
      </c>
      <c r="H304" s="1" t="s">
        <v>16</v>
      </c>
      <c r="I304" s="4" t="str">
        <f>"166"</f>
        <v>166</v>
      </c>
      <c r="J304" s="2">
        <v>67.41</v>
      </c>
      <c r="K304" s="3">
        <v>46177</v>
      </c>
      <c r="L304" s="3">
        <v>46182</v>
      </c>
      <c r="M304" s="1" t="s">
        <v>11731</v>
      </c>
      <c r="N304" s="1" t="s">
        <v>11725</v>
      </c>
    </row>
    <row r="305" spans="1:14" s="1" customFormat="1" x14ac:dyDescent="0.35">
      <c r="A305" s="1" t="s">
        <v>5171</v>
      </c>
      <c r="B305" s="1" t="s">
        <v>506</v>
      </c>
      <c r="C305" s="1" t="s">
        <v>538</v>
      </c>
      <c r="D305" s="1" t="s">
        <v>11730</v>
      </c>
      <c r="E305" s="1" t="str">
        <f>"8465"</f>
        <v>8465</v>
      </c>
      <c r="F305" s="1" t="str">
        <f>"016007938"</f>
        <v>016007938</v>
      </c>
      <c r="G305" s="1" t="s">
        <v>11727</v>
      </c>
      <c r="H305" s="1" t="s">
        <v>16</v>
      </c>
      <c r="I305" s="4" t="str">
        <f>"179"</f>
        <v>179</v>
      </c>
      <c r="J305" s="2">
        <v>67.41</v>
      </c>
      <c r="K305" s="3">
        <v>46177</v>
      </c>
      <c r="L305" s="3">
        <v>46182</v>
      </c>
      <c r="M305" s="1" t="s">
        <v>11729</v>
      </c>
      <c r="N305" s="1" t="s">
        <v>11725</v>
      </c>
    </row>
    <row r="306" spans="1:14" s="1" customFormat="1" x14ac:dyDescent="0.35">
      <c r="A306" s="1" t="s">
        <v>5171</v>
      </c>
      <c r="B306" s="1" t="s">
        <v>506</v>
      </c>
      <c r="C306" s="1" t="s">
        <v>538</v>
      </c>
      <c r="D306" s="1" t="s">
        <v>11728</v>
      </c>
      <c r="E306" s="1" t="str">
        <f>"8465"</f>
        <v>8465</v>
      </c>
      <c r="F306" s="1" t="str">
        <f>"016007938"</f>
        <v>016007938</v>
      </c>
      <c r="G306" s="1" t="s">
        <v>11727</v>
      </c>
      <c r="H306" s="1" t="s">
        <v>16</v>
      </c>
      <c r="I306" s="4" t="str">
        <f>"113"</f>
        <v>113</v>
      </c>
      <c r="J306" s="2">
        <v>67.41</v>
      </c>
      <c r="K306" s="3">
        <v>46177</v>
      </c>
      <c r="L306" s="3">
        <v>46182</v>
      </c>
      <c r="M306" s="1" t="s">
        <v>11726</v>
      </c>
      <c r="N306" s="1" t="s">
        <v>11725</v>
      </c>
    </row>
    <row r="307" spans="1:14" s="1" customFormat="1" x14ac:dyDescent="0.35">
      <c r="A307" s="1" t="s">
        <v>5171</v>
      </c>
      <c r="B307" s="1" t="s">
        <v>506</v>
      </c>
      <c r="C307" s="1" t="s">
        <v>693</v>
      </c>
      <c r="D307" s="1" t="s">
        <v>11724</v>
      </c>
      <c r="E307" s="1" t="str">
        <f>"3930"</f>
        <v>3930</v>
      </c>
      <c r="F307" s="1" t="s">
        <v>1476</v>
      </c>
      <c r="G307" s="1" t="s">
        <v>1477</v>
      </c>
      <c r="H307" s="1" t="s">
        <v>16</v>
      </c>
      <c r="I307" s="4" t="str">
        <f>"1"</f>
        <v>1</v>
      </c>
      <c r="J307" s="2" t="str">
        <f>"4000"</f>
        <v>4000</v>
      </c>
      <c r="K307" s="3">
        <v>46168</v>
      </c>
      <c r="L307" s="3">
        <v>46184</v>
      </c>
      <c r="M307" s="1" t="s">
        <v>11723</v>
      </c>
      <c r="N307" s="1" t="s">
        <v>11722</v>
      </c>
    </row>
    <row r="308" spans="1:14" s="1" customFormat="1" x14ac:dyDescent="0.35">
      <c r="A308" s="1" t="s">
        <v>5171</v>
      </c>
      <c r="B308" s="1" t="s">
        <v>506</v>
      </c>
      <c r="C308" s="1" t="s">
        <v>538</v>
      </c>
      <c r="D308" s="1" t="s">
        <v>11721</v>
      </c>
      <c r="E308" s="1" t="str">
        <f>"8420"</f>
        <v>8420</v>
      </c>
      <c r="F308" s="1" t="s">
        <v>622</v>
      </c>
      <c r="G308" s="1" t="s">
        <v>623</v>
      </c>
      <c r="H308" s="1" t="s">
        <v>16</v>
      </c>
      <c r="I308" s="4" t="str">
        <f>"730"</f>
        <v>730</v>
      </c>
      <c r="J308" s="2" t="str">
        <f>"115"</f>
        <v>115</v>
      </c>
      <c r="K308" s="3">
        <v>46156</v>
      </c>
      <c r="L308" s="3">
        <v>46185</v>
      </c>
      <c r="M308" s="1" t="s">
        <v>11720</v>
      </c>
      <c r="N308" s="1" t="s">
        <v>626</v>
      </c>
    </row>
    <row r="309" spans="1:14" s="1" customFormat="1" x14ac:dyDescent="0.35">
      <c r="A309" s="1" t="s">
        <v>5171</v>
      </c>
      <c r="B309" s="1" t="s">
        <v>506</v>
      </c>
      <c r="C309" s="1" t="s">
        <v>538</v>
      </c>
      <c r="D309" s="1" t="s">
        <v>11719</v>
      </c>
      <c r="E309" s="1" t="str">
        <f>"8420"</f>
        <v>8420</v>
      </c>
      <c r="F309" s="1" t="s">
        <v>622</v>
      </c>
      <c r="G309" s="1" t="s">
        <v>623</v>
      </c>
      <c r="H309" s="1" t="s">
        <v>16</v>
      </c>
      <c r="I309" s="4" t="str">
        <f>"400"</f>
        <v>400</v>
      </c>
      <c r="J309" s="2" t="str">
        <f>"115"</f>
        <v>115</v>
      </c>
      <c r="K309" s="3">
        <v>46156</v>
      </c>
      <c r="L309" s="3">
        <v>46185</v>
      </c>
      <c r="M309" s="1" t="s">
        <v>11718</v>
      </c>
      <c r="N309" s="1" t="s">
        <v>626</v>
      </c>
    </row>
    <row r="310" spans="1:14" s="1" customFormat="1" x14ac:dyDescent="0.35">
      <c r="A310" s="1" t="s">
        <v>5171</v>
      </c>
      <c r="B310" s="1" t="s">
        <v>506</v>
      </c>
      <c r="C310" s="1" t="s">
        <v>538</v>
      </c>
      <c r="D310" s="1" t="s">
        <v>11717</v>
      </c>
      <c r="E310" s="1" t="str">
        <f>"8415"</f>
        <v>8415</v>
      </c>
      <c r="F310" s="1" t="str">
        <f>"015801355"</f>
        <v>015801355</v>
      </c>
      <c r="G310" s="1" t="s">
        <v>493</v>
      </c>
      <c r="H310" s="1" t="s">
        <v>16</v>
      </c>
      <c r="I310" s="4" t="str">
        <f>"35"</f>
        <v>35</v>
      </c>
      <c r="J310" s="2">
        <v>80.94</v>
      </c>
      <c r="K310" s="3">
        <v>46174</v>
      </c>
      <c r="L310" s="3">
        <v>46185</v>
      </c>
      <c r="M310" s="1" t="s">
        <v>11716</v>
      </c>
      <c r="N310" s="1" t="s">
        <v>618</v>
      </c>
    </row>
    <row r="311" spans="1:14" s="1" customFormat="1" x14ac:dyDescent="0.35">
      <c r="A311" s="1" t="s">
        <v>5171</v>
      </c>
      <c r="B311" s="1" t="s">
        <v>506</v>
      </c>
      <c r="C311" s="1" t="s">
        <v>11715</v>
      </c>
      <c r="D311" s="1" t="s">
        <v>11714</v>
      </c>
      <c r="E311" s="1" t="str">
        <f>"1385"</f>
        <v>1385</v>
      </c>
      <c r="F311" s="1" t="str">
        <f>"015736046"</f>
        <v>015736046</v>
      </c>
      <c r="G311" s="1" t="s">
        <v>540</v>
      </c>
      <c r="H311" s="1" t="s">
        <v>16</v>
      </c>
      <c r="I311" s="4" t="str">
        <f>"1"</f>
        <v>1</v>
      </c>
      <c r="J311" s="2">
        <v>284528.08</v>
      </c>
      <c r="K311" s="3">
        <v>46182</v>
      </c>
      <c r="L311" s="3">
        <v>46186</v>
      </c>
      <c r="M311" s="1" t="s">
        <v>5167</v>
      </c>
      <c r="N311" s="1" t="s">
        <v>11713</v>
      </c>
    </row>
    <row r="312" spans="1:14" s="1" customFormat="1" x14ac:dyDescent="0.35">
      <c r="A312" s="1" t="s">
        <v>5216</v>
      </c>
      <c r="B312" s="1" t="s">
        <v>506</v>
      </c>
      <c r="C312" s="1" t="s">
        <v>518</v>
      </c>
      <c r="D312" s="1" t="s">
        <v>11712</v>
      </c>
      <c r="E312" s="1" t="str">
        <f>"4030"</f>
        <v>4030</v>
      </c>
      <c r="F312" s="1" t="str">
        <f>"015003805"</f>
        <v>015003805</v>
      </c>
      <c r="G312" s="1" t="s">
        <v>8460</v>
      </c>
      <c r="H312" s="1" t="s">
        <v>16</v>
      </c>
      <c r="I312" s="4" t="str">
        <f>"35"</f>
        <v>35</v>
      </c>
      <c r="J312" s="2">
        <v>109.36</v>
      </c>
      <c r="K312" s="3">
        <v>46185</v>
      </c>
      <c r="L312" s="3">
        <v>46188</v>
      </c>
      <c r="M312" s="1" t="s">
        <v>11711</v>
      </c>
      <c r="N312" s="1" t="s">
        <v>11710</v>
      </c>
    </row>
    <row r="313" spans="1:14" s="1" customFormat="1" x14ac:dyDescent="0.35">
      <c r="A313" s="1" t="s">
        <v>5171</v>
      </c>
      <c r="B313" s="1" t="s">
        <v>506</v>
      </c>
      <c r="C313" s="1" t="s">
        <v>693</v>
      </c>
      <c r="D313" s="1" t="s">
        <v>11709</v>
      </c>
      <c r="E313" s="1" t="str">
        <f>"6150"</f>
        <v>6150</v>
      </c>
      <c r="F313" s="1" t="str">
        <f>"014428586"</f>
        <v>014428586</v>
      </c>
      <c r="G313" s="1" t="s">
        <v>11708</v>
      </c>
      <c r="H313" s="1" t="s">
        <v>16</v>
      </c>
      <c r="I313" s="4" t="str">
        <f>"40"</f>
        <v>40</v>
      </c>
      <c r="J313" s="2">
        <v>142.28</v>
      </c>
      <c r="K313" s="3">
        <v>46181</v>
      </c>
      <c r="L313" s="3">
        <v>46190</v>
      </c>
      <c r="M313" s="1" t="s">
        <v>11707</v>
      </c>
      <c r="N313" s="1" t="s">
        <v>11706</v>
      </c>
    </row>
    <row r="314" spans="1:14" s="1" customFormat="1" x14ac:dyDescent="0.35">
      <c r="A314" s="1" t="s">
        <v>5171</v>
      </c>
      <c r="B314" s="1" t="s">
        <v>506</v>
      </c>
      <c r="C314" s="1" t="s">
        <v>518</v>
      </c>
      <c r="D314" s="1" t="s">
        <v>11705</v>
      </c>
      <c r="E314" s="1" t="str">
        <f>"3930"</f>
        <v>3930</v>
      </c>
      <c r="F314" s="1" t="str">
        <f>"016626535"</f>
        <v>016626535</v>
      </c>
      <c r="G314" s="1" t="s">
        <v>11704</v>
      </c>
      <c r="H314" s="1" t="s">
        <v>16</v>
      </c>
      <c r="I314" s="4" t="str">
        <f>"1"</f>
        <v>1</v>
      </c>
      <c r="J314" s="2" t="str">
        <f>"123678"</f>
        <v>123678</v>
      </c>
      <c r="K314" s="3">
        <v>46185</v>
      </c>
      <c r="L314" s="3">
        <v>46191</v>
      </c>
      <c r="M314" s="1" t="s">
        <v>11703</v>
      </c>
      <c r="N314" s="1" t="s">
        <v>11702</v>
      </c>
    </row>
    <row r="315" spans="1:14" s="1" customFormat="1" x14ac:dyDescent="0.35">
      <c r="A315" s="1" t="s">
        <v>5171</v>
      </c>
      <c r="B315" s="1" t="s">
        <v>506</v>
      </c>
      <c r="C315" s="1" t="s">
        <v>518</v>
      </c>
      <c r="D315" s="1" t="s">
        <v>11701</v>
      </c>
      <c r="E315" s="1" t="str">
        <f>"4940"</f>
        <v>4940</v>
      </c>
      <c r="F315" s="1" t="str">
        <f>"016635328"</f>
        <v>016635328</v>
      </c>
      <c r="G315" s="1" t="s">
        <v>1312</v>
      </c>
      <c r="H315" s="1" t="s">
        <v>16</v>
      </c>
      <c r="I315" s="4" t="str">
        <f>"1"</f>
        <v>1</v>
      </c>
      <c r="J315" s="2" t="str">
        <f>"169216"</f>
        <v>169216</v>
      </c>
      <c r="K315" s="3">
        <v>46185</v>
      </c>
      <c r="L315" s="3">
        <v>46197</v>
      </c>
      <c r="M315" s="1" t="s">
        <v>11700</v>
      </c>
      <c r="N315" s="1" t="s">
        <v>11699</v>
      </c>
    </row>
    <row r="316" spans="1:14" s="1" customFormat="1" x14ac:dyDescent="0.35">
      <c r="A316" s="1" t="s">
        <v>5171</v>
      </c>
      <c r="B316" s="1" t="s">
        <v>506</v>
      </c>
      <c r="C316" s="1" t="s">
        <v>666</v>
      </c>
      <c r="D316" s="1" t="s">
        <v>11698</v>
      </c>
      <c r="E316" s="1" t="str">
        <f>"8415"</f>
        <v>8415</v>
      </c>
      <c r="F316" s="1" t="str">
        <f>"015778493"</f>
        <v>015778493</v>
      </c>
      <c r="G316" s="1" t="s">
        <v>675</v>
      </c>
      <c r="H316" s="1" t="s">
        <v>16</v>
      </c>
      <c r="I316" s="4" t="str">
        <f>"1"</f>
        <v>1</v>
      </c>
      <c r="J316" s="2">
        <v>134.36000000000001</v>
      </c>
      <c r="K316" s="3">
        <v>46196</v>
      </c>
      <c r="L316" s="3">
        <v>46198</v>
      </c>
      <c r="M316" s="1" t="s">
        <v>11697</v>
      </c>
      <c r="N316" s="1" t="s">
        <v>676</v>
      </c>
    </row>
    <row r="317" spans="1:14" s="1" customFormat="1" x14ac:dyDescent="0.35">
      <c r="A317" s="1" t="s">
        <v>5171</v>
      </c>
      <c r="B317" s="1" t="s">
        <v>506</v>
      </c>
      <c r="C317" s="1" t="s">
        <v>666</v>
      </c>
      <c r="D317" s="1" t="s">
        <v>11698</v>
      </c>
      <c r="E317" s="1" t="str">
        <f>"8415"</f>
        <v>8415</v>
      </c>
      <c r="F317" s="1" t="str">
        <f>"015778493"</f>
        <v>015778493</v>
      </c>
      <c r="G317" s="1" t="s">
        <v>675</v>
      </c>
      <c r="H317" s="1" t="s">
        <v>16</v>
      </c>
      <c r="I317" s="4" t="str">
        <f>"1"</f>
        <v>1</v>
      </c>
      <c r="J317" s="2">
        <v>134.36000000000001</v>
      </c>
      <c r="K317" s="3">
        <v>46196</v>
      </c>
      <c r="L317" s="3">
        <v>46198</v>
      </c>
      <c r="M317" s="1" t="s">
        <v>11697</v>
      </c>
      <c r="N317" s="1" t="s">
        <v>676</v>
      </c>
    </row>
    <row r="318" spans="1:14" s="1" customFormat="1" x14ac:dyDescent="0.35">
      <c r="A318" s="1" t="s">
        <v>5171</v>
      </c>
      <c r="B318" s="1" t="s">
        <v>506</v>
      </c>
      <c r="C318" s="1" t="s">
        <v>538</v>
      </c>
      <c r="D318" s="1" t="s">
        <v>11696</v>
      </c>
      <c r="E318" s="1" t="str">
        <f>"6230"</f>
        <v>6230</v>
      </c>
      <c r="F318" s="1" t="str">
        <f>"016134312"</f>
        <v>016134312</v>
      </c>
      <c r="G318" s="1" t="s">
        <v>230</v>
      </c>
      <c r="H318" s="1" t="s">
        <v>16</v>
      </c>
      <c r="I318" s="4" t="str">
        <f>"32"</f>
        <v>32</v>
      </c>
      <c r="J318" s="2">
        <v>92.96</v>
      </c>
      <c r="K318" s="3">
        <v>46196</v>
      </c>
      <c r="L318" s="3">
        <v>46200</v>
      </c>
      <c r="M318" s="1" t="s">
        <v>11695</v>
      </c>
      <c r="N318" s="1" t="s">
        <v>11694</v>
      </c>
    </row>
    <row r="319" spans="1:14" s="1" customFormat="1" x14ac:dyDescent="0.35">
      <c r="A319" s="1" t="s">
        <v>5171</v>
      </c>
      <c r="B319" s="1" t="s">
        <v>506</v>
      </c>
      <c r="C319" s="1" t="s">
        <v>666</v>
      </c>
      <c r="D319" s="1" t="s">
        <v>11693</v>
      </c>
      <c r="E319" s="1" t="str">
        <f>"8415"</f>
        <v>8415</v>
      </c>
      <c r="F319" s="1" t="str">
        <f>"016410911"</f>
        <v>016410911</v>
      </c>
      <c r="G319" s="1" t="s">
        <v>1729</v>
      </c>
      <c r="H319" s="1" t="s">
        <v>311</v>
      </c>
      <c r="I319" s="4" t="str">
        <f>"1"</f>
        <v>1</v>
      </c>
      <c r="J319" s="2">
        <v>20.04</v>
      </c>
      <c r="K319" s="3">
        <v>46190</v>
      </c>
      <c r="L319" s="3">
        <v>46200</v>
      </c>
      <c r="M319" s="1" t="s">
        <v>11692</v>
      </c>
      <c r="N319" s="1" t="s">
        <v>11691</v>
      </c>
    </row>
    <row r="320" spans="1:14" s="1" customFormat="1" x14ac:dyDescent="0.35">
      <c r="A320" s="1" t="s">
        <v>5171</v>
      </c>
      <c r="B320" s="1" t="s">
        <v>506</v>
      </c>
      <c r="C320" s="1" t="s">
        <v>693</v>
      </c>
      <c r="D320" s="1" t="s">
        <v>11690</v>
      </c>
      <c r="E320" s="1" t="str">
        <f>"7920"</f>
        <v>7920</v>
      </c>
      <c r="F320" s="1" t="str">
        <f>"007218884"</f>
        <v>007218884</v>
      </c>
      <c r="G320" s="1" t="s">
        <v>11689</v>
      </c>
      <c r="H320" s="1" t="s">
        <v>352</v>
      </c>
      <c r="I320" s="4" t="str">
        <f>"2"</f>
        <v>2</v>
      </c>
      <c r="J320" s="2">
        <v>163.38999999999999</v>
      </c>
      <c r="K320" s="3">
        <v>46200</v>
      </c>
      <c r="L320" s="3">
        <v>46203</v>
      </c>
      <c r="M320" s="1" t="s">
        <v>11688</v>
      </c>
      <c r="N320" s="1" t="s">
        <v>11687</v>
      </c>
    </row>
    <row r="321" spans="1:14" s="1" customFormat="1" x14ac:dyDescent="0.35">
      <c r="A321" s="1" t="s">
        <v>5171</v>
      </c>
      <c r="B321" s="1" t="s">
        <v>506</v>
      </c>
      <c r="C321" s="1" t="s">
        <v>693</v>
      </c>
      <c r="D321" s="1" t="s">
        <v>11686</v>
      </c>
      <c r="E321" s="1" t="str">
        <f>"7810"</f>
        <v>7810</v>
      </c>
      <c r="F321" s="1" t="s">
        <v>2712</v>
      </c>
      <c r="G321" s="1" t="s">
        <v>2713</v>
      </c>
      <c r="H321" s="1" t="s">
        <v>16</v>
      </c>
      <c r="I321" s="4" t="str">
        <f>"1"</f>
        <v>1</v>
      </c>
      <c r="J321" s="2" t="str">
        <f>"1195"</f>
        <v>1195</v>
      </c>
      <c r="K321" s="3">
        <v>46200</v>
      </c>
      <c r="L321" s="3">
        <v>46203</v>
      </c>
      <c r="M321" s="1" t="s">
        <v>11685</v>
      </c>
      <c r="N321" s="1" t="s">
        <v>11684</v>
      </c>
    </row>
    <row r="322" spans="1:14" s="1" customFormat="1" x14ac:dyDescent="0.35">
      <c r="A322" s="1" t="s">
        <v>5171</v>
      </c>
      <c r="B322" s="1" t="s">
        <v>962</v>
      </c>
      <c r="C322" s="1" t="s">
        <v>1098</v>
      </c>
      <c r="D322" s="1" t="s">
        <v>11683</v>
      </c>
      <c r="E322" s="1" t="str">
        <f>"6130"</f>
        <v>6130</v>
      </c>
      <c r="F322" s="1" t="str">
        <f>"014952839"</f>
        <v>014952839</v>
      </c>
      <c r="G322" s="1" t="s">
        <v>227</v>
      </c>
      <c r="H322" s="1" t="s">
        <v>16</v>
      </c>
      <c r="I322" s="4" t="str">
        <f>"1"</f>
        <v>1</v>
      </c>
      <c r="J322" s="2" t="str">
        <f>"4393"</f>
        <v>4393</v>
      </c>
      <c r="K322" s="3">
        <v>46111</v>
      </c>
      <c r="L322" s="3">
        <v>46114</v>
      </c>
      <c r="M322" s="1" t="s">
        <v>11682</v>
      </c>
      <c r="N322" s="1" t="s">
        <v>11681</v>
      </c>
    </row>
    <row r="323" spans="1:14" s="1" customFormat="1" x14ac:dyDescent="0.35">
      <c r="A323" s="1" t="s">
        <v>5171</v>
      </c>
      <c r="B323" s="1" t="s">
        <v>962</v>
      </c>
      <c r="C323" s="1" t="s">
        <v>1098</v>
      </c>
      <c r="D323" s="1" t="s">
        <v>11680</v>
      </c>
      <c r="E323" s="1" t="str">
        <f>"7021"</f>
        <v>7021</v>
      </c>
      <c r="F323" s="1" t="str">
        <f>"016820429"</f>
        <v>016820429</v>
      </c>
      <c r="G323" s="1" t="s">
        <v>4767</v>
      </c>
      <c r="H323" s="1" t="s">
        <v>16</v>
      </c>
      <c r="I323" s="4" t="str">
        <f>"10"</f>
        <v>10</v>
      </c>
      <c r="J323" s="2">
        <v>454.77</v>
      </c>
      <c r="K323" s="3">
        <v>46107</v>
      </c>
      <c r="L323" s="3">
        <v>46115</v>
      </c>
      <c r="M323" s="1" t="s">
        <v>11679</v>
      </c>
      <c r="N323" s="1" t="s">
        <v>11678</v>
      </c>
    </row>
    <row r="324" spans="1:14" s="1" customFormat="1" x14ac:dyDescent="0.35">
      <c r="A324" s="1" t="s">
        <v>5171</v>
      </c>
      <c r="B324" s="1" t="s">
        <v>962</v>
      </c>
      <c r="C324" s="1" t="s">
        <v>963</v>
      </c>
      <c r="D324" s="1" t="s">
        <v>11677</v>
      </c>
      <c r="E324" s="1" t="str">
        <f>"7105"</f>
        <v>7105</v>
      </c>
      <c r="F324" s="1" t="s">
        <v>11676</v>
      </c>
      <c r="G324" s="1" t="s">
        <v>11675</v>
      </c>
      <c r="H324" s="1" t="s">
        <v>16</v>
      </c>
      <c r="I324" s="4" t="str">
        <f>"138"</f>
        <v>138</v>
      </c>
      <c r="J324" s="2" t="str">
        <f>"25"</f>
        <v>25</v>
      </c>
      <c r="K324" s="3">
        <v>46105</v>
      </c>
      <c r="L324" s="3">
        <v>46116</v>
      </c>
      <c r="M324" s="1" t="s">
        <v>11674</v>
      </c>
      <c r="N324" s="1" t="s">
        <v>11673</v>
      </c>
    </row>
    <row r="325" spans="1:14" s="1" customFormat="1" x14ac:dyDescent="0.35">
      <c r="A325" s="1" t="s">
        <v>5171</v>
      </c>
      <c r="B325" s="1" t="s">
        <v>962</v>
      </c>
      <c r="C325" s="1" t="s">
        <v>963</v>
      </c>
      <c r="D325" s="1" t="s">
        <v>11672</v>
      </c>
      <c r="E325" s="1" t="str">
        <f>"8465"</f>
        <v>8465</v>
      </c>
      <c r="F325" s="1" t="str">
        <f>"016975703"</f>
        <v>016975703</v>
      </c>
      <c r="G325" s="1" t="s">
        <v>1059</v>
      </c>
      <c r="H325" s="1" t="s">
        <v>16</v>
      </c>
      <c r="I325" s="4" t="str">
        <f>"2"</f>
        <v>2</v>
      </c>
      <c r="J325" s="2">
        <v>37.33</v>
      </c>
      <c r="K325" s="3">
        <v>46105</v>
      </c>
      <c r="L325" s="3">
        <v>46116</v>
      </c>
      <c r="M325" s="1" t="s">
        <v>11671</v>
      </c>
      <c r="N325" s="1" t="s">
        <v>1060</v>
      </c>
    </row>
    <row r="326" spans="1:14" s="1" customFormat="1" x14ac:dyDescent="0.35">
      <c r="A326" s="1" t="s">
        <v>5171</v>
      </c>
      <c r="B326" s="1" t="s">
        <v>962</v>
      </c>
      <c r="C326" s="1" t="s">
        <v>963</v>
      </c>
      <c r="D326" s="1" t="s">
        <v>11670</v>
      </c>
      <c r="E326" s="1" t="str">
        <f>"8465"</f>
        <v>8465</v>
      </c>
      <c r="F326" s="1" t="str">
        <f>"016976098"</f>
        <v>016976098</v>
      </c>
      <c r="G326" s="1" t="s">
        <v>1059</v>
      </c>
      <c r="H326" s="1" t="s">
        <v>16</v>
      </c>
      <c r="I326" s="4" t="str">
        <f>"3"</f>
        <v>3</v>
      </c>
      <c r="J326" s="2">
        <v>37.33</v>
      </c>
      <c r="K326" s="3">
        <v>46105</v>
      </c>
      <c r="L326" s="3">
        <v>46116</v>
      </c>
      <c r="M326" s="1" t="s">
        <v>11669</v>
      </c>
      <c r="N326" s="1" t="s">
        <v>1060</v>
      </c>
    </row>
    <row r="327" spans="1:14" s="1" customFormat="1" x14ac:dyDescent="0.35">
      <c r="A327" s="1" t="s">
        <v>5216</v>
      </c>
      <c r="B327" s="1" t="s">
        <v>962</v>
      </c>
      <c r="C327" s="1" t="s">
        <v>963</v>
      </c>
      <c r="D327" s="1" t="s">
        <v>11668</v>
      </c>
      <c r="E327" s="1" t="str">
        <f>"2320"</f>
        <v>2320</v>
      </c>
      <c r="F327" s="1" t="s">
        <v>971</v>
      </c>
      <c r="G327" s="1" t="s">
        <v>972</v>
      </c>
      <c r="H327" s="1" t="s">
        <v>16</v>
      </c>
      <c r="I327" s="4" t="str">
        <f>"1"</f>
        <v>1</v>
      </c>
      <c r="J327" s="2" t="str">
        <f>"15000"</f>
        <v>15000</v>
      </c>
      <c r="K327" s="3">
        <v>46117</v>
      </c>
      <c r="L327" s="3">
        <v>46118</v>
      </c>
      <c r="M327" s="1" t="s">
        <v>11663</v>
      </c>
      <c r="N327" s="1" t="s">
        <v>11667</v>
      </c>
    </row>
    <row r="328" spans="1:14" s="1" customFormat="1" x14ac:dyDescent="0.35">
      <c r="A328" s="1" t="s">
        <v>5216</v>
      </c>
      <c r="B328" s="1" t="s">
        <v>962</v>
      </c>
      <c r="C328" s="1" t="s">
        <v>963</v>
      </c>
      <c r="D328" s="1" t="s">
        <v>11666</v>
      </c>
      <c r="E328" s="1" t="str">
        <f>"2610"</f>
        <v>2610</v>
      </c>
      <c r="F328" s="1" t="str">
        <f>"002628677"</f>
        <v>002628677</v>
      </c>
      <c r="G328" s="1" t="s">
        <v>466</v>
      </c>
      <c r="H328" s="1" t="s">
        <v>16</v>
      </c>
      <c r="I328" s="4" t="str">
        <f>"1"</f>
        <v>1</v>
      </c>
      <c r="J328" s="2">
        <v>333.21</v>
      </c>
      <c r="K328" s="3">
        <v>46117</v>
      </c>
      <c r="L328" s="3">
        <v>46118</v>
      </c>
      <c r="M328" s="1" t="s">
        <v>11663</v>
      </c>
      <c r="N328" s="1" t="s">
        <v>11662</v>
      </c>
    </row>
    <row r="329" spans="1:14" s="1" customFormat="1" x14ac:dyDescent="0.35">
      <c r="A329" s="1" t="s">
        <v>5216</v>
      </c>
      <c r="B329" s="1" t="s">
        <v>962</v>
      </c>
      <c r="C329" s="1" t="s">
        <v>963</v>
      </c>
      <c r="D329" s="1" t="s">
        <v>11665</v>
      </c>
      <c r="E329" s="1" t="str">
        <f>"2610"</f>
        <v>2610</v>
      </c>
      <c r="F329" s="1" t="str">
        <f>"015075317"</f>
        <v>015075317</v>
      </c>
      <c r="G329" s="1" t="s">
        <v>466</v>
      </c>
      <c r="H329" s="1" t="s">
        <v>16</v>
      </c>
      <c r="I329" s="4" t="str">
        <f>"1"</f>
        <v>1</v>
      </c>
      <c r="J329" s="2">
        <v>219.23</v>
      </c>
      <c r="K329" s="3">
        <v>46117</v>
      </c>
      <c r="L329" s="3">
        <v>46118</v>
      </c>
      <c r="M329" s="1" t="s">
        <v>11663</v>
      </c>
      <c r="N329" s="1" t="s">
        <v>11662</v>
      </c>
    </row>
    <row r="330" spans="1:14" s="1" customFormat="1" x14ac:dyDescent="0.35">
      <c r="A330" s="1" t="s">
        <v>5216</v>
      </c>
      <c r="B330" s="1" t="s">
        <v>962</v>
      </c>
      <c r="C330" s="1" t="s">
        <v>963</v>
      </c>
      <c r="D330" s="1" t="s">
        <v>11664</v>
      </c>
      <c r="E330" s="1" t="str">
        <f>"2610"</f>
        <v>2610</v>
      </c>
      <c r="F330" s="1" t="str">
        <f>"015330485"</f>
        <v>015330485</v>
      </c>
      <c r="G330" s="1" t="s">
        <v>466</v>
      </c>
      <c r="H330" s="1" t="s">
        <v>16</v>
      </c>
      <c r="I330" s="4" t="str">
        <f>"1"</f>
        <v>1</v>
      </c>
      <c r="J330" s="2">
        <v>458.46</v>
      </c>
      <c r="K330" s="3">
        <v>46117</v>
      </c>
      <c r="L330" s="3">
        <v>46118</v>
      </c>
      <c r="M330" s="1" t="s">
        <v>11663</v>
      </c>
      <c r="N330" s="1" t="s">
        <v>11662</v>
      </c>
    </row>
    <row r="331" spans="1:14" s="1" customFormat="1" x14ac:dyDescent="0.35">
      <c r="A331" s="1" t="s">
        <v>5171</v>
      </c>
      <c r="B331" s="1" t="s">
        <v>962</v>
      </c>
      <c r="C331" s="1" t="s">
        <v>1101</v>
      </c>
      <c r="D331" s="1" t="s">
        <v>11661</v>
      </c>
      <c r="E331" s="1" t="str">
        <f>"2340"</f>
        <v>2340</v>
      </c>
      <c r="F331" s="1" t="str">
        <f>"015746673"</f>
        <v>015746673</v>
      </c>
      <c r="G331" s="1" t="s">
        <v>1435</v>
      </c>
      <c r="H331" s="1" t="s">
        <v>16</v>
      </c>
      <c r="I331" s="4" t="str">
        <f>"1"</f>
        <v>1</v>
      </c>
      <c r="J331" s="2" t="str">
        <f>"11365"</f>
        <v>11365</v>
      </c>
      <c r="K331" s="3">
        <v>46118</v>
      </c>
      <c r="L331" s="3">
        <v>46119</v>
      </c>
      <c r="M331" s="1" t="s">
        <v>11660</v>
      </c>
      <c r="N331" s="1" t="s">
        <v>11659</v>
      </c>
    </row>
    <row r="332" spans="1:14" s="1" customFormat="1" x14ac:dyDescent="0.35">
      <c r="A332" s="1" t="s">
        <v>5171</v>
      </c>
      <c r="B332" s="1" t="s">
        <v>962</v>
      </c>
      <c r="C332" s="1" t="s">
        <v>1101</v>
      </c>
      <c r="D332" s="1" t="s">
        <v>11658</v>
      </c>
      <c r="E332" s="1" t="str">
        <f>"1550"</f>
        <v>1550</v>
      </c>
      <c r="F332" s="1" t="str">
        <f>"016777229"</f>
        <v>016777229</v>
      </c>
      <c r="G332" s="1" t="s">
        <v>6297</v>
      </c>
      <c r="H332" s="1" t="s">
        <v>16</v>
      </c>
      <c r="I332" s="4" t="str">
        <f>"1"</f>
        <v>1</v>
      </c>
      <c r="J332" s="2">
        <v>169670.33</v>
      </c>
      <c r="K332" s="3">
        <v>46120</v>
      </c>
      <c r="L332" s="3">
        <v>46121</v>
      </c>
      <c r="M332" s="1" t="s">
        <v>5167</v>
      </c>
      <c r="N332" s="1" t="s">
        <v>11657</v>
      </c>
    </row>
    <row r="333" spans="1:14" s="1" customFormat="1" x14ac:dyDescent="0.35">
      <c r="A333" s="1" t="s">
        <v>5171</v>
      </c>
      <c r="B333" s="1" t="s">
        <v>962</v>
      </c>
      <c r="C333" s="1" t="s">
        <v>1067</v>
      </c>
      <c r="D333" s="1" t="s">
        <v>11656</v>
      </c>
      <c r="E333" s="1" t="str">
        <f>"7830"</f>
        <v>7830</v>
      </c>
      <c r="F333" s="1" t="s">
        <v>453</v>
      </c>
      <c r="G333" s="1" t="s">
        <v>454</v>
      </c>
      <c r="H333" s="1" t="s">
        <v>16</v>
      </c>
      <c r="I333" s="4" t="str">
        <f>"1"</f>
        <v>1</v>
      </c>
      <c r="J333" s="2" t="str">
        <f>"11995"</f>
        <v>11995</v>
      </c>
      <c r="K333" s="3">
        <v>46128</v>
      </c>
      <c r="L333" s="3">
        <v>46130</v>
      </c>
      <c r="M333" s="1" t="s">
        <v>5167</v>
      </c>
      <c r="N333" s="1" t="s">
        <v>1082</v>
      </c>
    </row>
    <row r="334" spans="1:14" s="1" customFormat="1" x14ac:dyDescent="0.35">
      <c r="A334" s="1" t="s">
        <v>5171</v>
      </c>
      <c r="B334" s="1" t="s">
        <v>962</v>
      </c>
      <c r="C334" s="1" t="s">
        <v>1101</v>
      </c>
      <c r="D334" s="1" t="s">
        <v>11655</v>
      </c>
      <c r="E334" s="1" t="str">
        <f>"2330"</f>
        <v>2330</v>
      </c>
      <c r="F334" s="1" t="s">
        <v>70</v>
      </c>
      <c r="G334" s="1" t="s">
        <v>71</v>
      </c>
      <c r="H334" s="1" t="s">
        <v>16</v>
      </c>
      <c r="I334" s="4" t="str">
        <f>"1"</f>
        <v>1</v>
      </c>
      <c r="J334" s="2" t="str">
        <f>"13750"</f>
        <v>13750</v>
      </c>
      <c r="K334" s="3">
        <v>46126</v>
      </c>
      <c r="L334" s="3">
        <v>46130</v>
      </c>
      <c r="M334" s="1" t="s">
        <v>11654</v>
      </c>
      <c r="N334" s="1" t="s">
        <v>11653</v>
      </c>
    </row>
    <row r="335" spans="1:14" s="1" customFormat="1" x14ac:dyDescent="0.35">
      <c r="A335" s="1" t="s">
        <v>5216</v>
      </c>
      <c r="B335" s="1" t="s">
        <v>962</v>
      </c>
      <c r="C335" s="1" t="s">
        <v>1067</v>
      </c>
      <c r="D335" s="1" t="s">
        <v>11652</v>
      </c>
      <c r="E335" s="1" t="str">
        <f>"5440"</f>
        <v>5440</v>
      </c>
      <c r="F335" s="1" t="s">
        <v>142</v>
      </c>
      <c r="G335" s="1" t="s">
        <v>143</v>
      </c>
      <c r="H335" s="1" t="s">
        <v>16</v>
      </c>
      <c r="I335" s="4" t="str">
        <f>"1"</f>
        <v>1</v>
      </c>
      <c r="J335" s="2">
        <v>229.52</v>
      </c>
      <c r="K335" s="3">
        <v>46131</v>
      </c>
      <c r="L335" s="3">
        <v>46139</v>
      </c>
      <c r="M335" s="1" t="s">
        <v>7703</v>
      </c>
      <c r="N335" s="1" t="s">
        <v>11651</v>
      </c>
    </row>
    <row r="336" spans="1:14" s="1" customFormat="1" x14ac:dyDescent="0.35">
      <c r="A336" s="1" t="s">
        <v>5216</v>
      </c>
      <c r="B336" s="1" t="s">
        <v>962</v>
      </c>
      <c r="C336" s="1" t="s">
        <v>1101</v>
      </c>
      <c r="D336" s="1" t="s">
        <v>11650</v>
      </c>
      <c r="E336" s="1" t="str">
        <f>"8465"</f>
        <v>8465</v>
      </c>
      <c r="F336" s="1" t="str">
        <f>"016413485"</f>
        <v>016413485</v>
      </c>
      <c r="G336" s="1" t="s">
        <v>11649</v>
      </c>
      <c r="H336" s="1" t="s">
        <v>458</v>
      </c>
      <c r="I336" s="4" t="str">
        <f>"5"</f>
        <v>5</v>
      </c>
      <c r="J336" s="2">
        <v>452.76</v>
      </c>
      <c r="K336" s="3">
        <v>46133</v>
      </c>
      <c r="L336" s="3">
        <v>46139</v>
      </c>
      <c r="M336" s="1" t="s">
        <v>11648</v>
      </c>
      <c r="N336" s="1" t="s">
        <v>11647</v>
      </c>
    </row>
    <row r="337" spans="1:14" s="1" customFormat="1" x14ac:dyDescent="0.35">
      <c r="A337" s="1" t="s">
        <v>11646</v>
      </c>
      <c r="B337" s="1" t="s">
        <v>962</v>
      </c>
      <c r="C337" s="1" t="s">
        <v>1067</v>
      </c>
      <c r="D337" s="1" t="s">
        <v>11645</v>
      </c>
      <c r="E337" s="1" t="str">
        <f>"8145"</f>
        <v>8145</v>
      </c>
      <c r="F337" s="1" t="s">
        <v>489</v>
      </c>
      <c r="G337" s="1" t="s">
        <v>490</v>
      </c>
      <c r="H337" s="1" t="s">
        <v>16</v>
      </c>
      <c r="I337" s="4" t="str">
        <f>"30"</f>
        <v>30</v>
      </c>
      <c r="J337" s="2" t="str">
        <f>"250"</f>
        <v>250</v>
      </c>
      <c r="K337" s="3">
        <v>46128</v>
      </c>
      <c r="L337" s="3">
        <v>46139</v>
      </c>
      <c r="N337" s="1" t="s">
        <v>11644</v>
      </c>
    </row>
    <row r="338" spans="1:14" s="1" customFormat="1" x14ac:dyDescent="0.35">
      <c r="A338" s="1" t="s">
        <v>5171</v>
      </c>
      <c r="B338" s="1" t="s">
        <v>962</v>
      </c>
      <c r="C338" s="1" t="s">
        <v>1101</v>
      </c>
      <c r="D338" s="1" t="s">
        <v>11643</v>
      </c>
      <c r="E338" s="1" t="str">
        <f>"5855"</f>
        <v>5855</v>
      </c>
      <c r="F338" s="1" t="str">
        <f>"014333157"</f>
        <v>014333157</v>
      </c>
      <c r="G338" s="1" t="s">
        <v>1770</v>
      </c>
      <c r="H338" s="1" t="s">
        <v>16</v>
      </c>
      <c r="I338" s="4" t="str">
        <f>"1"</f>
        <v>1</v>
      </c>
      <c r="J338" s="2" t="str">
        <f>"6392"</f>
        <v>6392</v>
      </c>
      <c r="K338" s="3">
        <v>46139</v>
      </c>
      <c r="L338" s="3">
        <v>46140</v>
      </c>
      <c r="M338" s="1" t="s">
        <v>11642</v>
      </c>
      <c r="N338" s="1" t="s">
        <v>11639</v>
      </c>
    </row>
    <row r="339" spans="1:14" s="1" customFormat="1" x14ac:dyDescent="0.35">
      <c r="A339" s="1" t="s">
        <v>5171</v>
      </c>
      <c r="B339" s="1" t="s">
        <v>962</v>
      </c>
      <c r="C339" s="1" t="s">
        <v>1101</v>
      </c>
      <c r="D339" s="1" t="s">
        <v>11641</v>
      </c>
      <c r="E339" s="1" t="str">
        <f>"5855"</f>
        <v>5855</v>
      </c>
      <c r="F339" s="1" t="str">
        <f>"014333157"</f>
        <v>014333157</v>
      </c>
      <c r="G339" s="1" t="s">
        <v>1770</v>
      </c>
      <c r="H339" s="1" t="s">
        <v>16</v>
      </c>
      <c r="I339" s="4" t="str">
        <f>"1"</f>
        <v>1</v>
      </c>
      <c r="J339" s="2" t="str">
        <f>"6392"</f>
        <v>6392</v>
      </c>
      <c r="K339" s="3">
        <v>46139</v>
      </c>
      <c r="L339" s="3">
        <v>46140</v>
      </c>
      <c r="M339" s="1" t="s">
        <v>11640</v>
      </c>
      <c r="N339" s="1" t="s">
        <v>11639</v>
      </c>
    </row>
    <row r="340" spans="1:14" s="1" customFormat="1" x14ac:dyDescent="0.35">
      <c r="A340" s="1" t="s">
        <v>5171</v>
      </c>
      <c r="B340" s="1" t="s">
        <v>962</v>
      </c>
      <c r="C340" s="1" t="s">
        <v>1067</v>
      </c>
      <c r="D340" s="1" t="s">
        <v>11638</v>
      </c>
      <c r="E340" s="1" t="str">
        <f>"7830"</f>
        <v>7830</v>
      </c>
      <c r="F340" s="1" t="s">
        <v>14</v>
      </c>
      <c r="G340" s="1" t="s">
        <v>15</v>
      </c>
      <c r="H340" s="1" t="s">
        <v>16</v>
      </c>
      <c r="I340" s="4" t="str">
        <f>"1"</f>
        <v>1</v>
      </c>
      <c r="J340" s="2" t="str">
        <f>"1200"</f>
        <v>1200</v>
      </c>
      <c r="K340" s="3">
        <v>46142</v>
      </c>
      <c r="L340" s="3">
        <v>46144</v>
      </c>
      <c r="M340" s="1" t="s">
        <v>11637</v>
      </c>
      <c r="N340" s="1" t="s">
        <v>1082</v>
      </c>
    </row>
    <row r="341" spans="1:14" s="1" customFormat="1" x14ac:dyDescent="0.35">
      <c r="A341" s="1" t="s">
        <v>5230</v>
      </c>
      <c r="B341" s="1" t="s">
        <v>962</v>
      </c>
      <c r="C341" s="1" t="s">
        <v>1098</v>
      </c>
      <c r="D341" s="1" t="s">
        <v>11636</v>
      </c>
      <c r="E341" s="1" t="str">
        <f>"6130"</f>
        <v>6130</v>
      </c>
      <c r="F341" s="1" t="str">
        <f>"015272726"</f>
        <v>015272726</v>
      </c>
      <c r="G341" s="1" t="s">
        <v>227</v>
      </c>
      <c r="H341" s="1" t="s">
        <v>16</v>
      </c>
      <c r="I341" s="4" t="str">
        <f>"2"</f>
        <v>2</v>
      </c>
      <c r="J341" s="2" t="str">
        <f>"2441"</f>
        <v>2441</v>
      </c>
      <c r="K341" s="3">
        <v>46146</v>
      </c>
      <c r="L341" s="3">
        <v>46147</v>
      </c>
      <c r="N341" s="1" t="s">
        <v>11635</v>
      </c>
    </row>
    <row r="342" spans="1:14" s="1" customFormat="1" x14ac:dyDescent="0.35">
      <c r="A342" s="1" t="s">
        <v>5171</v>
      </c>
      <c r="B342" s="1" t="s">
        <v>962</v>
      </c>
      <c r="C342" s="1" t="s">
        <v>1067</v>
      </c>
      <c r="D342" s="1" t="s">
        <v>11634</v>
      </c>
      <c r="E342" s="1" t="str">
        <f>"7830"</f>
        <v>7830</v>
      </c>
      <c r="F342" s="1" t="s">
        <v>11622</v>
      </c>
      <c r="G342" s="1" t="s">
        <v>11621</v>
      </c>
      <c r="H342" s="1" t="s">
        <v>16</v>
      </c>
      <c r="I342" s="4" t="str">
        <f>"1"</f>
        <v>1</v>
      </c>
      <c r="J342" s="2" t="str">
        <f>"2650"</f>
        <v>2650</v>
      </c>
      <c r="K342" s="3">
        <v>46146</v>
      </c>
      <c r="L342" s="3">
        <v>46147</v>
      </c>
      <c r="M342" s="1" t="s">
        <v>11633</v>
      </c>
      <c r="N342" s="1" t="s">
        <v>1082</v>
      </c>
    </row>
    <row r="343" spans="1:14" s="1" customFormat="1" x14ac:dyDescent="0.35">
      <c r="A343" s="1" t="s">
        <v>5171</v>
      </c>
      <c r="B343" s="1" t="s">
        <v>962</v>
      </c>
      <c r="C343" s="1" t="s">
        <v>1067</v>
      </c>
      <c r="D343" s="1" t="s">
        <v>11632</v>
      </c>
      <c r="E343" s="1" t="str">
        <f>"3920"</f>
        <v>3920</v>
      </c>
      <c r="F343" s="1" t="s">
        <v>11631</v>
      </c>
      <c r="G343" s="1" t="s">
        <v>11630</v>
      </c>
      <c r="H343" s="1" t="s">
        <v>16</v>
      </c>
      <c r="I343" s="4" t="str">
        <f>"2"</f>
        <v>2</v>
      </c>
      <c r="J343" s="2">
        <v>403.78</v>
      </c>
      <c r="K343" s="3">
        <v>46146</v>
      </c>
      <c r="L343" s="3">
        <v>46147</v>
      </c>
      <c r="M343" s="1" t="s">
        <v>11629</v>
      </c>
      <c r="N343" s="1" t="s">
        <v>11628</v>
      </c>
    </row>
    <row r="344" spans="1:14" s="1" customFormat="1" x14ac:dyDescent="0.35">
      <c r="A344" s="1" t="s">
        <v>5171</v>
      </c>
      <c r="B344" s="1" t="s">
        <v>962</v>
      </c>
      <c r="C344" s="1" t="s">
        <v>1098</v>
      </c>
      <c r="D344" s="1" t="s">
        <v>11627</v>
      </c>
      <c r="E344" s="1" t="str">
        <f>"7025"</f>
        <v>7025</v>
      </c>
      <c r="F344" s="1" t="s">
        <v>1128</v>
      </c>
      <c r="G344" s="1" t="s">
        <v>1129</v>
      </c>
      <c r="H344" s="1" t="s">
        <v>16</v>
      </c>
      <c r="I344" s="4" t="str">
        <f>"11"</f>
        <v>11</v>
      </c>
      <c r="J344" s="2">
        <v>305.97000000000003</v>
      </c>
      <c r="K344" s="3">
        <v>46146</v>
      </c>
      <c r="L344" s="3">
        <v>46147</v>
      </c>
      <c r="M344" s="1" t="s">
        <v>5167</v>
      </c>
      <c r="N344" s="1" t="s">
        <v>11626</v>
      </c>
    </row>
    <row r="345" spans="1:14" s="1" customFormat="1" x14ac:dyDescent="0.35">
      <c r="A345" s="1" t="s">
        <v>5171</v>
      </c>
      <c r="B345" s="1" t="s">
        <v>962</v>
      </c>
      <c r="C345" s="1" t="s">
        <v>1067</v>
      </c>
      <c r="D345" s="1" t="s">
        <v>11625</v>
      </c>
      <c r="E345" s="1" t="str">
        <f>"7830"</f>
        <v>7830</v>
      </c>
      <c r="F345" s="1" t="s">
        <v>11622</v>
      </c>
      <c r="G345" s="1" t="s">
        <v>11621</v>
      </c>
      <c r="H345" s="1" t="s">
        <v>16</v>
      </c>
      <c r="I345" s="4" t="str">
        <f>"1"</f>
        <v>1</v>
      </c>
      <c r="J345" s="2" t="str">
        <f>"2000"</f>
        <v>2000</v>
      </c>
      <c r="K345" s="3">
        <v>46146</v>
      </c>
      <c r="L345" s="3">
        <v>46148</v>
      </c>
      <c r="M345" s="1" t="s">
        <v>11624</v>
      </c>
      <c r="N345" s="1" t="s">
        <v>1082</v>
      </c>
    </row>
    <row r="346" spans="1:14" s="1" customFormat="1" x14ac:dyDescent="0.35">
      <c r="A346" s="1" t="s">
        <v>5171</v>
      </c>
      <c r="B346" s="1" t="s">
        <v>962</v>
      </c>
      <c r="C346" s="1" t="s">
        <v>1067</v>
      </c>
      <c r="D346" s="1" t="s">
        <v>11623</v>
      </c>
      <c r="E346" s="1" t="str">
        <f>"7830"</f>
        <v>7830</v>
      </c>
      <c r="F346" s="1" t="s">
        <v>11622</v>
      </c>
      <c r="G346" s="1" t="s">
        <v>11621</v>
      </c>
      <c r="H346" s="1" t="s">
        <v>16</v>
      </c>
      <c r="I346" s="4" t="str">
        <f>"1"</f>
        <v>1</v>
      </c>
      <c r="J346" s="2" t="str">
        <f>"2000"</f>
        <v>2000</v>
      </c>
      <c r="K346" s="3">
        <v>46146</v>
      </c>
      <c r="L346" s="3">
        <v>46148</v>
      </c>
      <c r="M346" s="1" t="s">
        <v>11620</v>
      </c>
      <c r="N346" s="1" t="s">
        <v>1082</v>
      </c>
    </row>
    <row r="347" spans="1:14" s="1" customFormat="1" x14ac:dyDescent="0.35">
      <c r="A347" s="1" t="s">
        <v>5171</v>
      </c>
      <c r="B347" s="1" t="s">
        <v>962</v>
      </c>
      <c r="C347" s="1" t="s">
        <v>1098</v>
      </c>
      <c r="D347" s="1" t="s">
        <v>11619</v>
      </c>
      <c r="E347" s="1" t="str">
        <f>"6130"</f>
        <v>6130</v>
      </c>
      <c r="F347" s="1" t="str">
        <f>"014430970"</f>
        <v>014430970</v>
      </c>
      <c r="G347" s="1" t="s">
        <v>227</v>
      </c>
      <c r="H347" s="1" t="s">
        <v>16</v>
      </c>
      <c r="I347" s="4" t="str">
        <f>"4"</f>
        <v>4</v>
      </c>
      <c r="J347" s="2" t="str">
        <f>"4393"</f>
        <v>4393</v>
      </c>
      <c r="K347" s="3">
        <v>46125</v>
      </c>
      <c r="L347" s="3">
        <v>46148</v>
      </c>
      <c r="M347" s="1" t="s">
        <v>11618</v>
      </c>
      <c r="N347" s="1" t="s">
        <v>11617</v>
      </c>
    </row>
    <row r="348" spans="1:14" s="1" customFormat="1" x14ac:dyDescent="0.35">
      <c r="A348" s="1" t="s">
        <v>5171</v>
      </c>
      <c r="B348" s="1" t="s">
        <v>962</v>
      </c>
      <c r="C348" s="1" t="s">
        <v>1067</v>
      </c>
      <c r="D348" s="1" t="s">
        <v>11616</v>
      </c>
      <c r="E348" s="1" t="str">
        <f>"5140"</f>
        <v>5140</v>
      </c>
      <c r="F348" s="1" t="s">
        <v>761</v>
      </c>
      <c r="G348" s="1" t="s">
        <v>762</v>
      </c>
      <c r="H348" s="1" t="s">
        <v>16</v>
      </c>
      <c r="I348" s="4" t="str">
        <f>"2"</f>
        <v>2</v>
      </c>
      <c r="J348" s="2" t="str">
        <f>"300"</f>
        <v>300</v>
      </c>
      <c r="K348" s="3">
        <v>46146</v>
      </c>
      <c r="L348" s="3">
        <v>46149</v>
      </c>
      <c r="M348" s="1" t="s">
        <v>11615</v>
      </c>
      <c r="N348" s="1" t="s">
        <v>11614</v>
      </c>
    </row>
    <row r="349" spans="1:14" s="1" customFormat="1" x14ac:dyDescent="0.35">
      <c r="A349" s="1" t="s">
        <v>5171</v>
      </c>
      <c r="B349" s="1" t="s">
        <v>962</v>
      </c>
      <c r="C349" s="1" t="s">
        <v>1067</v>
      </c>
      <c r="D349" s="1" t="s">
        <v>11613</v>
      </c>
      <c r="E349" s="1" t="str">
        <f>"3825"</f>
        <v>3825</v>
      </c>
      <c r="F349" s="1" t="str">
        <f>"002270488"</f>
        <v>002270488</v>
      </c>
      <c r="G349" s="1" t="s">
        <v>11612</v>
      </c>
      <c r="H349" s="1" t="s">
        <v>16</v>
      </c>
      <c r="I349" s="4" t="str">
        <f>"1"</f>
        <v>1</v>
      </c>
      <c r="J349" s="2">
        <v>1289.2</v>
      </c>
      <c r="K349" s="3">
        <v>46146</v>
      </c>
      <c r="L349" s="3">
        <v>46151</v>
      </c>
      <c r="M349" s="1" t="s">
        <v>11611</v>
      </c>
      <c r="N349" s="1" t="s">
        <v>11610</v>
      </c>
    </row>
    <row r="350" spans="1:14" s="1" customFormat="1" x14ac:dyDescent="0.35">
      <c r="A350" s="1" t="s">
        <v>5171</v>
      </c>
      <c r="B350" s="1" t="s">
        <v>962</v>
      </c>
      <c r="C350" s="1" t="s">
        <v>963</v>
      </c>
      <c r="D350" s="1" t="s">
        <v>11609</v>
      </c>
      <c r="E350" s="1" t="str">
        <f>"4910"</f>
        <v>4910</v>
      </c>
      <c r="F350" s="1" t="str">
        <f>"014906453"</f>
        <v>014906453</v>
      </c>
      <c r="G350" s="1" t="s">
        <v>4482</v>
      </c>
      <c r="H350" s="1" t="s">
        <v>458</v>
      </c>
      <c r="I350" s="4" t="str">
        <f>"1"</f>
        <v>1</v>
      </c>
      <c r="J350" s="2" t="str">
        <f>"210000"</f>
        <v>210000</v>
      </c>
      <c r="K350" s="3">
        <v>46149</v>
      </c>
      <c r="L350" s="3">
        <v>46162</v>
      </c>
      <c r="M350" s="1" t="s">
        <v>11608</v>
      </c>
      <c r="N350" s="1" t="s">
        <v>11607</v>
      </c>
    </row>
    <row r="351" spans="1:14" s="1" customFormat="1" x14ac:dyDescent="0.35">
      <c r="A351" s="1" t="s">
        <v>5171</v>
      </c>
      <c r="B351" s="1" t="s">
        <v>962</v>
      </c>
      <c r="C351" s="1" t="s">
        <v>963</v>
      </c>
      <c r="D351" s="1" t="s">
        <v>11606</v>
      </c>
      <c r="E351" s="1" t="str">
        <f>"1095"</f>
        <v>1095</v>
      </c>
      <c r="F351" s="1" t="str">
        <f>"015186832"</f>
        <v>015186832</v>
      </c>
      <c r="G351" s="1" t="s">
        <v>6567</v>
      </c>
      <c r="H351" s="1" t="s">
        <v>16</v>
      </c>
      <c r="I351" s="4" t="str">
        <f>"33"</f>
        <v>33</v>
      </c>
      <c r="J351" s="2">
        <v>240.3</v>
      </c>
      <c r="K351" s="3">
        <v>46161</v>
      </c>
      <c r="L351" s="3">
        <v>46162</v>
      </c>
      <c r="M351" s="1" t="s">
        <v>5167</v>
      </c>
      <c r="N351" s="1" t="s">
        <v>11605</v>
      </c>
    </row>
    <row r="352" spans="1:14" s="1" customFormat="1" x14ac:dyDescent="0.35">
      <c r="A352" s="1" t="s">
        <v>5171</v>
      </c>
      <c r="B352" s="1" t="s">
        <v>962</v>
      </c>
      <c r="C352" s="1" t="s">
        <v>1067</v>
      </c>
      <c r="D352" s="1" t="s">
        <v>11604</v>
      </c>
      <c r="E352" s="1" t="str">
        <f>"2340"</f>
        <v>2340</v>
      </c>
      <c r="F352" s="1" t="s">
        <v>84</v>
      </c>
      <c r="G352" s="1" t="s">
        <v>85</v>
      </c>
      <c r="H352" s="1" t="s">
        <v>16</v>
      </c>
      <c r="I352" s="4" t="str">
        <f>"1"</f>
        <v>1</v>
      </c>
      <c r="J352" s="2" t="str">
        <f>"6500"</f>
        <v>6500</v>
      </c>
      <c r="K352" s="3">
        <v>46163</v>
      </c>
      <c r="L352" s="3">
        <v>46164</v>
      </c>
      <c r="M352" s="1" t="s">
        <v>5167</v>
      </c>
      <c r="N352" s="1" t="s">
        <v>11603</v>
      </c>
    </row>
    <row r="353" spans="1:14" s="1" customFormat="1" x14ac:dyDescent="0.35">
      <c r="A353" s="1" t="s">
        <v>5171</v>
      </c>
      <c r="B353" s="1" t="s">
        <v>962</v>
      </c>
      <c r="C353" s="1" t="s">
        <v>11544</v>
      </c>
      <c r="D353" s="1" t="s">
        <v>11602</v>
      </c>
      <c r="E353" s="1" t="str">
        <f>"5855"</f>
        <v>5855</v>
      </c>
      <c r="F353" s="1" t="str">
        <f>"015481555"</f>
        <v>015481555</v>
      </c>
      <c r="G353" s="1" t="s">
        <v>175</v>
      </c>
      <c r="H353" s="1" t="s">
        <v>16</v>
      </c>
      <c r="I353" s="4" t="str">
        <f>"1"</f>
        <v>1</v>
      </c>
      <c r="J353" s="2">
        <v>9366.36</v>
      </c>
      <c r="K353" s="3">
        <v>46166</v>
      </c>
      <c r="L353" s="3">
        <v>46166</v>
      </c>
      <c r="M353" s="1" t="s">
        <v>5167</v>
      </c>
      <c r="N353" s="1" t="s">
        <v>11601</v>
      </c>
    </row>
    <row r="354" spans="1:14" s="1" customFormat="1" x14ac:dyDescent="0.35">
      <c r="A354" s="1" t="s">
        <v>5171</v>
      </c>
      <c r="B354" s="1" t="s">
        <v>962</v>
      </c>
      <c r="C354" s="1" t="s">
        <v>11544</v>
      </c>
      <c r="D354" s="1" t="s">
        <v>11600</v>
      </c>
      <c r="E354" s="1" t="str">
        <f>"5855"</f>
        <v>5855</v>
      </c>
      <c r="F354" s="1" t="str">
        <f>"016162721"</f>
        <v>016162721</v>
      </c>
      <c r="G354" s="1" t="s">
        <v>1817</v>
      </c>
      <c r="H354" s="1" t="s">
        <v>16</v>
      </c>
      <c r="I354" s="4" t="str">
        <f>"4"</f>
        <v>4</v>
      </c>
      <c r="J354" s="2" t="str">
        <f>"15561"</f>
        <v>15561</v>
      </c>
      <c r="K354" s="3">
        <v>46166</v>
      </c>
      <c r="L354" s="3">
        <v>46168</v>
      </c>
      <c r="M354" s="1" t="s">
        <v>5469</v>
      </c>
      <c r="N354" s="1" t="s">
        <v>11599</v>
      </c>
    </row>
    <row r="355" spans="1:14" s="1" customFormat="1" x14ac:dyDescent="0.35">
      <c r="A355" s="1" t="s">
        <v>5216</v>
      </c>
      <c r="B355" s="1" t="s">
        <v>962</v>
      </c>
      <c r="C355" s="1" t="s">
        <v>963</v>
      </c>
      <c r="D355" s="1" t="s">
        <v>11598</v>
      </c>
      <c r="E355" s="1" t="str">
        <f>"5450"</f>
        <v>5450</v>
      </c>
      <c r="F355" s="1" t="str">
        <f>"014302081"</f>
        <v>014302081</v>
      </c>
      <c r="G355" s="1" t="s">
        <v>11597</v>
      </c>
      <c r="H355" s="1" t="s">
        <v>16</v>
      </c>
      <c r="I355" s="4" t="str">
        <f>"2"</f>
        <v>2</v>
      </c>
      <c r="J355" s="2">
        <v>456.97</v>
      </c>
      <c r="K355" s="3">
        <v>46154</v>
      </c>
      <c r="L355" s="3">
        <v>46169</v>
      </c>
      <c r="M355" s="1" t="s">
        <v>11582</v>
      </c>
      <c r="N355" s="1" t="s">
        <v>11596</v>
      </c>
    </row>
    <row r="356" spans="1:14" s="1" customFormat="1" x14ac:dyDescent="0.35">
      <c r="A356" s="1" t="s">
        <v>5216</v>
      </c>
      <c r="B356" s="1" t="s">
        <v>962</v>
      </c>
      <c r="C356" s="1" t="s">
        <v>963</v>
      </c>
      <c r="D356" s="1" t="s">
        <v>11595</v>
      </c>
      <c r="E356" s="1" t="str">
        <f>"6115"</f>
        <v>6115</v>
      </c>
      <c r="F356" s="1" t="str">
        <f>"015933959"</f>
        <v>015933959</v>
      </c>
      <c r="G356" s="1" t="s">
        <v>224</v>
      </c>
      <c r="H356" s="1" t="s">
        <v>458</v>
      </c>
      <c r="I356" s="4" t="str">
        <f>"1"</f>
        <v>1</v>
      </c>
      <c r="J356" s="2" t="str">
        <f>"130000"</f>
        <v>130000</v>
      </c>
      <c r="K356" s="3">
        <v>46155</v>
      </c>
      <c r="L356" s="3">
        <v>46169</v>
      </c>
      <c r="M356" s="1" t="s">
        <v>11582</v>
      </c>
      <c r="N356" s="1" t="s">
        <v>11594</v>
      </c>
    </row>
    <row r="357" spans="1:14" s="1" customFormat="1" x14ac:dyDescent="0.35">
      <c r="A357" s="1" t="s">
        <v>5216</v>
      </c>
      <c r="B357" s="1" t="s">
        <v>962</v>
      </c>
      <c r="C357" s="1" t="s">
        <v>963</v>
      </c>
      <c r="D357" s="1" t="s">
        <v>11593</v>
      </c>
      <c r="E357" s="1" t="str">
        <f>"2320"</f>
        <v>2320</v>
      </c>
      <c r="F357" s="1" t="s">
        <v>975</v>
      </c>
      <c r="G357" s="1" t="s">
        <v>976</v>
      </c>
      <c r="H357" s="1" t="s">
        <v>16</v>
      </c>
      <c r="I357" s="4" t="str">
        <f>"1"</f>
        <v>1</v>
      </c>
      <c r="J357" s="2" t="str">
        <f>"8000"</f>
        <v>8000</v>
      </c>
      <c r="K357" s="3">
        <v>46154</v>
      </c>
      <c r="L357" s="3">
        <v>46169</v>
      </c>
      <c r="M357" s="1" t="s">
        <v>11582</v>
      </c>
      <c r="N357" s="1" t="s">
        <v>11589</v>
      </c>
    </row>
    <row r="358" spans="1:14" s="1" customFormat="1" x14ac:dyDescent="0.35">
      <c r="A358" s="1" t="s">
        <v>5216</v>
      </c>
      <c r="B358" s="1" t="s">
        <v>962</v>
      </c>
      <c r="C358" s="1" t="s">
        <v>963</v>
      </c>
      <c r="D358" s="1" t="s">
        <v>11592</v>
      </c>
      <c r="E358" s="1" t="str">
        <f>"2420"</f>
        <v>2420</v>
      </c>
      <c r="F358" s="1" t="s">
        <v>501</v>
      </c>
      <c r="G358" s="1" t="s">
        <v>502</v>
      </c>
      <c r="H358" s="1" t="s">
        <v>16</v>
      </c>
      <c r="I358" s="4" t="str">
        <f>"1"</f>
        <v>1</v>
      </c>
      <c r="J358" s="2" t="str">
        <f>"10000"</f>
        <v>10000</v>
      </c>
      <c r="K358" s="3">
        <v>46154</v>
      </c>
      <c r="L358" s="3">
        <v>46169</v>
      </c>
      <c r="M358" s="1" t="s">
        <v>11582</v>
      </c>
      <c r="N358" s="1" t="s">
        <v>11591</v>
      </c>
    </row>
    <row r="359" spans="1:14" s="1" customFormat="1" x14ac:dyDescent="0.35">
      <c r="A359" s="1" t="s">
        <v>5216</v>
      </c>
      <c r="B359" s="1" t="s">
        <v>962</v>
      </c>
      <c r="C359" s="1" t="s">
        <v>963</v>
      </c>
      <c r="D359" s="1" t="s">
        <v>11590</v>
      </c>
      <c r="E359" s="1" t="str">
        <f>"2420"</f>
        <v>2420</v>
      </c>
      <c r="F359" s="1" t="s">
        <v>501</v>
      </c>
      <c r="G359" s="1" t="s">
        <v>502</v>
      </c>
      <c r="H359" s="1" t="s">
        <v>16</v>
      </c>
      <c r="I359" s="4" t="str">
        <f>"1"</f>
        <v>1</v>
      </c>
      <c r="J359" s="2" t="str">
        <f>"119000"</f>
        <v>119000</v>
      </c>
      <c r="K359" s="3">
        <v>46154</v>
      </c>
      <c r="L359" s="3">
        <v>46169</v>
      </c>
      <c r="M359" s="1" t="s">
        <v>11582</v>
      </c>
      <c r="N359" s="1" t="s">
        <v>11589</v>
      </c>
    </row>
    <row r="360" spans="1:14" s="1" customFormat="1" x14ac:dyDescent="0.35">
      <c r="A360" s="1" t="s">
        <v>5216</v>
      </c>
      <c r="B360" s="1" t="s">
        <v>962</v>
      </c>
      <c r="C360" s="1" t="s">
        <v>963</v>
      </c>
      <c r="D360" s="1" t="s">
        <v>11588</v>
      </c>
      <c r="E360" s="1" t="str">
        <f>"3830"</f>
        <v>3830</v>
      </c>
      <c r="F360" s="1" t="s">
        <v>75</v>
      </c>
      <c r="G360" s="1" t="s">
        <v>76</v>
      </c>
      <c r="H360" s="1" t="s">
        <v>16</v>
      </c>
      <c r="I360" s="4" t="str">
        <f>"1"</f>
        <v>1</v>
      </c>
      <c r="J360" s="2" t="str">
        <f>"692"</f>
        <v>692</v>
      </c>
      <c r="K360" s="3">
        <v>46154</v>
      </c>
      <c r="L360" s="3">
        <v>46169</v>
      </c>
      <c r="M360" s="1" t="s">
        <v>11582</v>
      </c>
      <c r="N360" s="1" t="s">
        <v>11587</v>
      </c>
    </row>
    <row r="361" spans="1:14" s="1" customFormat="1" x14ac:dyDescent="0.35">
      <c r="A361" s="1" t="s">
        <v>5216</v>
      </c>
      <c r="B361" s="1" t="s">
        <v>962</v>
      </c>
      <c r="C361" s="1" t="s">
        <v>963</v>
      </c>
      <c r="D361" s="1" t="s">
        <v>11586</v>
      </c>
      <c r="E361" s="1" t="str">
        <f>"5410"</f>
        <v>5410</v>
      </c>
      <c r="F361" s="1" t="str">
        <f>"014410266"</f>
        <v>014410266</v>
      </c>
      <c r="G361" s="1" t="s">
        <v>11585</v>
      </c>
      <c r="H361" s="1" t="s">
        <v>16</v>
      </c>
      <c r="I361" s="4" t="str">
        <f>"1"</f>
        <v>1</v>
      </c>
      <c r="J361" s="2">
        <v>5639.69</v>
      </c>
      <c r="K361" s="3">
        <v>46154</v>
      </c>
      <c r="L361" s="3">
        <v>46169</v>
      </c>
      <c r="M361" s="1" t="s">
        <v>11582</v>
      </c>
      <c r="N361" s="1" t="s">
        <v>11584</v>
      </c>
    </row>
    <row r="362" spans="1:14" s="1" customFormat="1" x14ac:dyDescent="0.35">
      <c r="A362" s="1" t="s">
        <v>5216</v>
      </c>
      <c r="B362" s="1" t="s">
        <v>962</v>
      </c>
      <c r="C362" s="1" t="s">
        <v>963</v>
      </c>
      <c r="D362" s="1" t="s">
        <v>11583</v>
      </c>
      <c r="E362" s="1" t="str">
        <f>"6115"</f>
        <v>6115</v>
      </c>
      <c r="F362" s="1" t="str">
        <f>"016122549"</f>
        <v>016122549</v>
      </c>
      <c r="G362" s="1" t="s">
        <v>2431</v>
      </c>
      <c r="H362" s="1" t="s">
        <v>16</v>
      </c>
      <c r="I362" s="4" t="str">
        <f>"3"</f>
        <v>3</v>
      </c>
      <c r="J362" s="2" t="str">
        <f>"7873"</f>
        <v>7873</v>
      </c>
      <c r="K362" s="3">
        <v>46155</v>
      </c>
      <c r="L362" s="3">
        <v>46169</v>
      </c>
      <c r="M362" s="1" t="s">
        <v>11582</v>
      </c>
      <c r="N362" s="1" t="s">
        <v>11581</v>
      </c>
    </row>
    <row r="363" spans="1:14" s="1" customFormat="1" x14ac:dyDescent="0.35">
      <c r="A363" s="1" t="s">
        <v>5216</v>
      </c>
      <c r="B363" s="1" t="s">
        <v>962</v>
      </c>
      <c r="C363" s="1" t="s">
        <v>963</v>
      </c>
      <c r="D363" s="1" t="s">
        <v>11580</v>
      </c>
      <c r="E363" s="1" t="str">
        <f>"8430"</f>
        <v>8430</v>
      </c>
      <c r="F363" s="1" t="s">
        <v>11579</v>
      </c>
      <c r="G363" s="1" t="s">
        <v>11578</v>
      </c>
      <c r="H363" s="1" t="s">
        <v>16</v>
      </c>
      <c r="I363" s="4" t="str">
        <f>"100"</f>
        <v>100</v>
      </c>
      <c r="J363" s="2">
        <v>4.5</v>
      </c>
      <c r="K363" s="3">
        <v>46158</v>
      </c>
      <c r="L363" s="3">
        <v>46169</v>
      </c>
      <c r="M363" s="1" t="s">
        <v>11577</v>
      </c>
      <c r="N363" s="1" t="s">
        <v>11576</v>
      </c>
    </row>
    <row r="364" spans="1:14" s="1" customFormat="1" x14ac:dyDescent="0.35">
      <c r="A364" s="1" t="s">
        <v>5216</v>
      </c>
      <c r="B364" s="1" t="s">
        <v>962</v>
      </c>
      <c r="C364" s="1" t="s">
        <v>963</v>
      </c>
      <c r="D364" s="1" t="s">
        <v>11575</v>
      </c>
      <c r="E364" s="1" t="str">
        <f>"2410"</f>
        <v>2410</v>
      </c>
      <c r="F364" s="1" t="str">
        <f>"012237261"</f>
        <v>012237261</v>
      </c>
      <c r="G364" s="1" t="s">
        <v>989</v>
      </c>
      <c r="H364" s="1" t="s">
        <v>16</v>
      </c>
      <c r="I364" s="4" t="str">
        <f>"1"</f>
        <v>1</v>
      </c>
      <c r="J364" s="2" t="str">
        <f>"90375"</f>
        <v>90375</v>
      </c>
      <c r="K364" s="3">
        <v>46168</v>
      </c>
      <c r="L364" s="3">
        <v>46169</v>
      </c>
      <c r="M364" s="1" t="s">
        <v>9436</v>
      </c>
      <c r="N364" s="1" t="s">
        <v>11574</v>
      </c>
    </row>
    <row r="365" spans="1:14" s="1" customFormat="1" x14ac:dyDescent="0.35">
      <c r="A365" s="1" t="s">
        <v>5171</v>
      </c>
      <c r="B365" s="1" t="s">
        <v>962</v>
      </c>
      <c r="C365" s="1" t="s">
        <v>963</v>
      </c>
      <c r="D365" s="1" t="s">
        <v>11573</v>
      </c>
      <c r="E365" s="1" t="str">
        <f>"1240"</f>
        <v>1240</v>
      </c>
      <c r="F365" s="1" t="str">
        <f>"014925264"</f>
        <v>014925264</v>
      </c>
      <c r="G365" s="1" t="s">
        <v>7304</v>
      </c>
      <c r="H365" s="1" t="s">
        <v>16</v>
      </c>
      <c r="I365" s="4" t="str">
        <f>"7"</f>
        <v>7</v>
      </c>
      <c r="J365" s="2">
        <v>608.29</v>
      </c>
      <c r="K365" s="3">
        <v>46155</v>
      </c>
      <c r="L365" s="3">
        <v>46169</v>
      </c>
      <c r="M365" s="1" t="s">
        <v>5167</v>
      </c>
      <c r="N365" s="1" t="s">
        <v>11572</v>
      </c>
    </row>
    <row r="366" spans="1:14" s="1" customFormat="1" x14ac:dyDescent="0.35">
      <c r="A366" s="1" t="s">
        <v>5171</v>
      </c>
      <c r="B366" s="1" t="s">
        <v>962</v>
      </c>
      <c r="C366" s="1" t="s">
        <v>963</v>
      </c>
      <c r="D366" s="1" t="s">
        <v>11571</v>
      </c>
      <c r="E366" s="1" t="str">
        <f>"1240"</f>
        <v>1240</v>
      </c>
      <c r="F366" s="1" t="str">
        <f>"014925264"</f>
        <v>014925264</v>
      </c>
      <c r="G366" s="1" t="s">
        <v>7304</v>
      </c>
      <c r="H366" s="1" t="s">
        <v>16</v>
      </c>
      <c r="I366" s="4" t="str">
        <f>"7"</f>
        <v>7</v>
      </c>
      <c r="J366" s="2">
        <v>608.29</v>
      </c>
      <c r="K366" s="3">
        <v>46168</v>
      </c>
      <c r="L366" s="3">
        <v>46169</v>
      </c>
      <c r="M366" s="1" t="s">
        <v>5167</v>
      </c>
      <c r="N366" s="1" t="s">
        <v>11570</v>
      </c>
    </row>
    <row r="367" spans="1:14" s="1" customFormat="1" x14ac:dyDescent="0.35">
      <c r="A367" s="1" t="s">
        <v>5171</v>
      </c>
      <c r="B367" s="1" t="s">
        <v>962</v>
      </c>
      <c r="C367" s="1" t="s">
        <v>1067</v>
      </c>
      <c r="D367" s="1" t="s">
        <v>11569</v>
      </c>
      <c r="E367" s="1" t="str">
        <f>"3431"</f>
        <v>3431</v>
      </c>
      <c r="F367" s="1" t="s">
        <v>4301</v>
      </c>
      <c r="G367" s="1" t="s">
        <v>4302</v>
      </c>
      <c r="H367" s="1" t="s">
        <v>16</v>
      </c>
      <c r="I367" s="4" t="str">
        <f>"1"</f>
        <v>1</v>
      </c>
      <c r="J367" s="2" t="str">
        <f>"725"</f>
        <v>725</v>
      </c>
      <c r="K367" s="3">
        <v>46163</v>
      </c>
      <c r="L367" s="3">
        <v>46169</v>
      </c>
      <c r="M367" s="1" t="s">
        <v>11568</v>
      </c>
      <c r="N367" s="1" t="s">
        <v>11567</v>
      </c>
    </row>
    <row r="368" spans="1:14" s="1" customFormat="1" x14ac:dyDescent="0.35">
      <c r="A368" s="1" t="s">
        <v>5171</v>
      </c>
      <c r="B368" s="1" t="s">
        <v>962</v>
      </c>
      <c r="C368" s="1" t="s">
        <v>1098</v>
      </c>
      <c r="D368" s="1" t="s">
        <v>11566</v>
      </c>
      <c r="E368" s="1" t="str">
        <f>"2310"</f>
        <v>2310</v>
      </c>
      <c r="F368" s="1" t="s">
        <v>178</v>
      </c>
      <c r="G368" s="1" t="s">
        <v>179</v>
      </c>
      <c r="H368" s="1" t="s">
        <v>16</v>
      </c>
      <c r="I368" s="4" t="str">
        <f>"1"</f>
        <v>1</v>
      </c>
      <c r="J368" s="2" t="str">
        <f>"24000"</f>
        <v>24000</v>
      </c>
      <c r="K368" s="3">
        <v>46168</v>
      </c>
      <c r="L368" s="3">
        <v>46170</v>
      </c>
      <c r="M368" s="1" t="s">
        <v>11565</v>
      </c>
      <c r="N368" s="1" t="s">
        <v>11564</v>
      </c>
    </row>
    <row r="369" spans="1:14" s="1" customFormat="1" x14ac:dyDescent="0.35">
      <c r="A369" s="1" t="s">
        <v>5171</v>
      </c>
      <c r="B369" s="1" t="s">
        <v>962</v>
      </c>
      <c r="C369" s="1" t="s">
        <v>11563</v>
      </c>
      <c r="D369" s="1" t="s">
        <v>11562</v>
      </c>
      <c r="E369" s="1" t="str">
        <f>"2340"</f>
        <v>2340</v>
      </c>
      <c r="F369" s="1" t="s">
        <v>84</v>
      </c>
      <c r="G369" s="1" t="s">
        <v>85</v>
      </c>
      <c r="H369" s="1" t="s">
        <v>16</v>
      </c>
      <c r="I369" s="4" t="str">
        <f>"1"</f>
        <v>1</v>
      </c>
      <c r="J369" s="2" t="str">
        <f>"6500"</f>
        <v>6500</v>
      </c>
      <c r="K369" s="3">
        <v>46169</v>
      </c>
      <c r="L369" s="3">
        <v>46170</v>
      </c>
      <c r="M369" s="1" t="s">
        <v>5167</v>
      </c>
      <c r="N369" s="1" t="s">
        <v>11561</v>
      </c>
    </row>
    <row r="370" spans="1:14" s="1" customFormat="1" x14ac:dyDescent="0.35">
      <c r="A370" s="1" t="s">
        <v>5171</v>
      </c>
      <c r="B370" s="1" t="s">
        <v>962</v>
      </c>
      <c r="C370" s="1" t="s">
        <v>963</v>
      </c>
      <c r="D370" s="1" t="s">
        <v>11560</v>
      </c>
      <c r="E370" s="1" t="str">
        <f>"2330"</f>
        <v>2330</v>
      </c>
      <c r="F370" s="1" t="s">
        <v>70</v>
      </c>
      <c r="G370" s="1" t="s">
        <v>71</v>
      </c>
      <c r="H370" s="1" t="s">
        <v>16</v>
      </c>
      <c r="I370" s="4" t="str">
        <f>"1"</f>
        <v>1</v>
      </c>
      <c r="J370" s="2" t="str">
        <f>"3918"</f>
        <v>3918</v>
      </c>
      <c r="K370" s="3">
        <v>46161</v>
      </c>
      <c r="L370" s="3">
        <v>46172</v>
      </c>
      <c r="M370" s="1" t="s">
        <v>11559</v>
      </c>
      <c r="N370" s="1" t="s">
        <v>11558</v>
      </c>
    </row>
    <row r="371" spans="1:14" s="1" customFormat="1" x14ac:dyDescent="0.35">
      <c r="A371" s="1" t="s">
        <v>5171</v>
      </c>
      <c r="B371" s="1" t="s">
        <v>962</v>
      </c>
      <c r="C371" s="1" t="s">
        <v>963</v>
      </c>
      <c r="D371" s="1" t="s">
        <v>11557</v>
      </c>
      <c r="E371" s="1" t="str">
        <f>"5140"</f>
        <v>5140</v>
      </c>
      <c r="F371" s="1" t="str">
        <f>"013673683"</f>
        <v>013673683</v>
      </c>
      <c r="G371" s="1" t="s">
        <v>1659</v>
      </c>
      <c r="H371" s="1" t="s">
        <v>16</v>
      </c>
      <c r="I371" s="4" t="str">
        <f>"5"</f>
        <v>5</v>
      </c>
      <c r="J371" s="2">
        <v>780.82</v>
      </c>
      <c r="K371" s="3">
        <v>46173</v>
      </c>
      <c r="L371" s="3">
        <v>46174</v>
      </c>
      <c r="M371" s="1" t="s">
        <v>11556</v>
      </c>
      <c r="N371" s="1" t="s">
        <v>11555</v>
      </c>
    </row>
    <row r="372" spans="1:14" s="1" customFormat="1" x14ac:dyDescent="0.35">
      <c r="A372" s="1" t="s">
        <v>5171</v>
      </c>
      <c r="B372" s="1" t="s">
        <v>962</v>
      </c>
      <c r="C372" s="1" t="s">
        <v>963</v>
      </c>
      <c r="D372" s="1" t="s">
        <v>11557</v>
      </c>
      <c r="E372" s="1" t="str">
        <f>"5140"</f>
        <v>5140</v>
      </c>
      <c r="F372" s="1" t="str">
        <f>"013673683"</f>
        <v>013673683</v>
      </c>
      <c r="G372" s="1" t="s">
        <v>1659</v>
      </c>
      <c r="H372" s="1" t="s">
        <v>16</v>
      </c>
      <c r="I372" s="4" t="str">
        <f>"5"</f>
        <v>5</v>
      </c>
      <c r="J372" s="2">
        <v>780.82</v>
      </c>
      <c r="K372" s="3">
        <v>46173</v>
      </c>
      <c r="L372" s="3">
        <v>46174</v>
      </c>
      <c r="M372" s="1" t="s">
        <v>11556</v>
      </c>
      <c r="N372" s="1" t="s">
        <v>11555</v>
      </c>
    </row>
    <row r="373" spans="1:14" s="1" customFormat="1" x14ac:dyDescent="0.35">
      <c r="A373" s="1" t="s">
        <v>5171</v>
      </c>
      <c r="B373" s="1" t="s">
        <v>962</v>
      </c>
      <c r="C373" s="1" t="s">
        <v>963</v>
      </c>
      <c r="D373" s="1" t="s">
        <v>11554</v>
      </c>
      <c r="E373" s="1" t="str">
        <f>"1740"</f>
        <v>1740</v>
      </c>
      <c r="F373" s="1" t="str">
        <f>"014685158"</f>
        <v>014685158</v>
      </c>
      <c r="G373" s="1" t="s">
        <v>11553</v>
      </c>
      <c r="H373" s="1" t="s">
        <v>16</v>
      </c>
      <c r="I373" s="4" t="str">
        <f>"1"</f>
        <v>1</v>
      </c>
      <c r="J373" s="2" t="str">
        <f>"32982"</f>
        <v>32982</v>
      </c>
      <c r="K373" s="3">
        <v>46161</v>
      </c>
      <c r="L373" s="3">
        <v>46175</v>
      </c>
      <c r="M373" s="1" t="s">
        <v>11552</v>
      </c>
      <c r="N373" s="1" t="s">
        <v>11551</v>
      </c>
    </row>
    <row r="374" spans="1:14" s="1" customFormat="1" x14ac:dyDescent="0.35">
      <c r="A374" s="1" t="s">
        <v>5171</v>
      </c>
      <c r="B374" s="1" t="s">
        <v>962</v>
      </c>
      <c r="C374" s="1" t="s">
        <v>963</v>
      </c>
      <c r="D374" s="1" t="s">
        <v>11550</v>
      </c>
      <c r="E374" s="1" t="str">
        <f>"3805"</f>
        <v>3805</v>
      </c>
      <c r="F374" s="1" t="str">
        <f>"012422560"</f>
        <v>012422560</v>
      </c>
      <c r="G374" s="1" t="s">
        <v>132</v>
      </c>
      <c r="H374" s="1" t="s">
        <v>16</v>
      </c>
      <c r="I374" s="4" t="str">
        <f>"1"</f>
        <v>1</v>
      </c>
      <c r="J374" s="2" t="str">
        <f>"192420"</f>
        <v>192420</v>
      </c>
      <c r="K374" s="3">
        <v>46168</v>
      </c>
      <c r="L374" s="3">
        <v>46179</v>
      </c>
      <c r="M374" s="1" t="s">
        <v>11549</v>
      </c>
      <c r="N374" s="1" t="s">
        <v>11548</v>
      </c>
    </row>
    <row r="375" spans="1:14" s="1" customFormat="1" x14ac:dyDescent="0.35">
      <c r="A375" s="1" t="s">
        <v>5171</v>
      </c>
      <c r="B375" s="1" t="s">
        <v>962</v>
      </c>
      <c r="C375" s="1" t="s">
        <v>11544</v>
      </c>
      <c r="D375" s="1" t="s">
        <v>11547</v>
      </c>
      <c r="E375" s="1" t="str">
        <f>"5855"</f>
        <v>5855</v>
      </c>
      <c r="F375" s="1" t="str">
        <f>"014502333"</f>
        <v>014502333</v>
      </c>
      <c r="G375" s="1" t="s">
        <v>7066</v>
      </c>
      <c r="H375" s="1" t="s">
        <v>16</v>
      </c>
      <c r="I375" s="4" t="str">
        <f>"1"</f>
        <v>1</v>
      </c>
      <c r="J375" s="2">
        <v>10295.540000000001</v>
      </c>
      <c r="K375" s="3">
        <v>46166</v>
      </c>
      <c r="L375" s="3">
        <v>46179</v>
      </c>
      <c r="M375" s="1" t="s">
        <v>11546</v>
      </c>
      <c r="N375" s="1" t="s">
        <v>11545</v>
      </c>
    </row>
    <row r="376" spans="1:14" s="1" customFormat="1" x14ac:dyDescent="0.35">
      <c r="A376" s="1" t="s">
        <v>5171</v>
      </c>
      <c r="B376" s="1" t="s">
        <v>962</v>
      </c>
      <c r="C376" s="1" t="s">
        <v>11544</v>
      </c>
      <c r="D376" s="1" t="s">
        <v>11543</v>
      </c>
      <c r="E376" s="1" t="str">
        <f>"1550"</f>
        <v>1550</v>
      </c>
      <c r="F376" s="1" t="str">
        <f>"015389256"</f>
        <v>015389256</v>
      </c>
      <c r="G376" s="1" t="s">
        <v>203</v>
      </c>
      <c r="H376" s="1" t="s">
        <v>16</v>
      </c>
      <c r="I376" s="4" t="str">
        <f>"1"</f>
        <v>1</v>
      </c>
      <c r="J376" s="2" t="str">
        <f>"100000"</f>
        <v>100000</v>
      </c>
      <c r="K376" s="3">
        <v>46179</v>
      </c>
      <c r="L376" s="3">
        <v>46180</v>
      </c>
      <c r="M376" s="1" t="s">
        <v>5167</v>
      </c>
      <c r="N376" s="1" t="s">
        <v>11542</v>
      </c>
    </row>
    <row r="377" spans="1:14" s="1" customFormat="1" x14ac:dyDescent="0.35">
      <c r="A377" s="1" t="s">
        <v>5171</v>
      </c>
      <c r="B377" s="1" t="s">
        <v>962</v>
      </c>
      <c r="C377" s="1" t="s">
        <v>1098</v>
      </c>
      <c r="D377" s="1" t="s">
        <v>11541</v>
      </c>
      <c r="E377" s="1" t="str">
        <f>"5836"</f>
        <v>5836</v>
      </c>
      <c r="F377" s="1" t="str">
        <f>"016928951"</f>
        <v>016928951</v>
      </c>
      <c r="G377" s="1" t="s">
        <v>5485</v>
      </c>
      <c r="H377" s="1" t="s">
        <v>16</v>
      </c>
      <c r="I377" s="4" t="str">
        <f>"1"</f>
        <v>1</v>
      </c>
      <c r="J377" s="2" t="str">
        <f>"4307"</f>
        <v>4307</v>
      </c>
      <c r="K377" s="3">
        <v>46181</v>
      </c>
      <c r="L377" s="3">
        <v>46183</v>
      </c>
      <c r="M377" s="1" t="s">
        <v>5167</v>
      </c>
      <c r="N377" s="1" t="s">
        <v>11540</v>
      </c>
    </row>
    <row r="378" spans="1:14" s="1" customFormat="1" x14ac:dyDescent="0.35">
      <c r="A378" s="1" t="s">
        <v>5171</v>
      </c>
      <c r="B378" s="1" t="s">
        <v>962</v>
      </c>
      <c r="C378" s="1" t="s">
        <v>1101</v>
      </c>
      <c r="D378" s="1" t="s">
        <v>11539</v>
      </c>
      <c r="E378" s="1" t="str">
        <f>"6910"</f>
        <v>6910</v>
      </c>
      <c r="F378" s="1" t="str">
        <f>"016052207"</f>
        <v>016052207</v>
      </c>
      <c r="G378" s="1" t="s">
        <v>11538</v>
      </c>
      <c r="H378" s="1" t="s">
        <v>16</v>
      </c>
      <c r="I378" s="4" t="str">
        <f>"3"</f>
        <v>3</v>
      </c>
      <c r="J378" s="2">
        <v>1220.8</v>
      </c>
      <c r="K378" s="3">
        <v>46182</v>
      </c>
      <c r="L378" s="3">
        <v>46189</v>
      </c>
      <c r="M378" s="1" t="s">
        <v>11537</v>
      </c>
      <c r="N378" s="1" t="s">
        <v>11536</v>
      </c>
    </row>
    <row r="379" spans="1:14" s="1" customFormat="1" x14ac:dyDescent="0.35">
      <c r="A379" s="1" t="s">
        <v>5171</v>
      </c>
      <c r="B379" s="1" t="s">
        <v>962</v>
      </c>
      <c r="C379" s="1" t="s">
        <v>963</v>
      </c>
      <c r="D379" s="1" t="s">
        <v>11535</v>
      </c>
      <c r="E379" s="1" t="str">
        <f>"2330"</f>
        <v>2330</v>
      </c>
      <c r="F379" s="1" t="s">
        <v>70</v>
      </c>
      <c r="G379" s="1" t="s">
        <v>71</v>
      </c>
      <c r="H379" s="1" t="s">
        <v>16</v>
      </c>
      <c r="I379" s="4" t="str">
        <f>"1"</f>
        <v>1</v>
      </c>
      <c r="J379" s="2" t="str">
        <f>"10054"</f>
        <v>10054</v>
      </c>
      <c r="K379" s="3">
        <v>46181</v>
      </c>
      <c r="L379" s="3">
        <v>46191</v>
      </c>
      <c r="M379" s="1" t="s">
        <v>11534</v>
      </c>
      <c r="N379" s="1" t="s">
        <v>11533</v>
      </c>
    </row>
    <row r="380" spans="1:14" s="1" customFormat="1" x14ac:dyDescent="0.35">
      <c r="A380" s="1" t="s">
        <v>5171</v>
      </c>
      <c r="B380" s="1" t="s">
        <v>962</v>
      </c>
      <c r="C380" s="1" t="s">
        <v>1101</v>
      </c>
      <c r="D380" s="1" t="s">
        <v>11532</v>
      </c>
      <c r="E380" s="1" t="str">
        <f>"5855"</f>
        <v>5855</v>
      </c>
      <c r="F380" s="1" t="str">
        <f>"015294726"</f>
        <v>015294726</v>
      </c>
      <c r="G380" s="1" t="s">
        <v>1379</v>
      </c>
      <c r="H380" s="1" t="s">
        <v>16</v>
      </c>
      <c r="I380" s="4" t="str">
        <f>"4"</f>
        <v>4</v>
      </c>
      <c r="J380" s="2" t="str">
        <f>"1200"</f>
        <v>1200</v>
      </c>
      <c r="K380" s="3">
        <v>46188</v>
      </c>
      <c r="L380" s="3">
        <v>46191</v>
      </c>
      <c r="M380" s="1" t="s">
        <v>11531</v>
      </c>
      <c r="N380" s="1" t="s">
        <v>11530</v>
      </c>
    </row>
    <row r="381" spans="1:14" s="1" customFormat="1" x14ac:dyDescent="0.35">
      <c r="A381" s="1" t="s">
        <v>5171</v>
      </c>
      <c r="B381" s="1" t="s">
        <v>962</v>
      </c>
      <c r="C381" s="1" t="s">
        <v>1101</v>
      </c>
      <c r="D381" s="1" t="s">
        <v>11529</v>
      </c>
      <c r="E381" s="1" t="str">
        <f>"1240"</f>
        <v>1240</v>
      </c>
      <c r="F381" s="1" t="s">
        <v>1800</v>
      </c>
      <c r="G381" s="1" t="s">
        <v>1801</v>
      </c>
      <c r="H381" s="1" t="s">
        <v>16</v>
      </c>
      <c r="I381" s="4" t="str">
        <f>"2"</f>
        <v>2</v>
      </c>
      <c r="J381" s="2" t="str">
        <f>"1456"</f>
        <v>1456</v>
      </c>
      <c r="K381" s="3">
        <v>46188</v>
      </c>
      <c r="L381" s="3">
        <v>46192</v>
      </c>
      <c r="M381" s="1" t="s">
        <v>11528</v>
      </c>
      <c r="N381" s="1" t="s">
        <v>11524</v>
      </c>
    </row>
    <row r="382" spans="1:14" s="1" customFormat="1" x14ac:dyDescent="0.35">
      <c r="A382" s="1" t="s">
        <v>5171</v>
      </c>
      <c r="B382" s="1" t="s">
        <v>962</v>
      </c>
      <c r="C382" s="1" t="s">
        <v>1101</v>
      </c>
      <c r="D382" s="1" t="s">
        <v>11527</v>
      </c>
      <c r="E382" s="1" t="str">
        <f>"1240"</f>
        <v>1240</v>
      </c>
      <c r="F382" s="1" t="str">
        <f>"014706548"</f>
        <v>014706548</v>
      </c>
      <c r="G382" s="1" t="s">
        <v>11526</v>
      </c>
      <c r="H382" s="1" t="s">
        <v>16</v>
      </c>
      <c r="I382" s="4" t="str">
        <f>"2"</f>
        <v>2</v>
      </c>
      <c r="J382" s="2">
        <v>1629.46</v>
      </c>
      <c r="K382" s="3">
        <v>46188</v>
      </c>
      <c r="L382" s="3">
        <v>46192</v>
      </c>
      <c r="M382" s="1" t="s">
        <v>11525</v>
      </c>
      <c r="N382" s="1" t="s">
        <v>11524</v>
      </c>
    </row>
    <row r="383" spans="1:14" s="1" customFormat="1" x14ac:dyDescent="0.35">
      <c r="A383" s="1" t="s">
        <v>5171</v>
      </c>
      <c r="B383" s="1" t="s">
        <v>962</v>
      </c>
      <c r="C383" s="1" t="s">
        <v>963</v>
      </c>
      <c r="D383" s="1" t="s">
        <v>11523</v>
      </c>
      <c r="E383" s="1" t="str">
        <f>"2330"</f>
        <v>2330</v>
      </c>
      <c r="F383" s="1" t="str">
        <f>"012073533"</f>
        <v>012073533</v>
      </c>
      <c r="G383" s="1" t="s">
        <v>6365</v>
      </c>
      <c r="H383" s="1" t="s">
        <v>16</v>
      </c>
      <c r="I383" s="4" t="str">
        <f>"1"</f>
        <v>1</v>
      </c>
      <c r="J383" s="2" t="str">
        <f>"14423"</f>
        <v>14423</v>
      </c>
      <c r="K383" s="3">
        <v>46168</v>
      </c>
      <c r="L383" s="3">
        <v>46195</v>
      </c>
      <c r="M383" s="1" t="s">
        <v>11522</v>
      </c>
      <c r="N383" s="1" t="s">
        <v>11521</v>
      </c>
    </row>
    <row r="384" spans="1:14" s="1" customFormat="1" x14ac:dyDescent="0.35">
      <c r="A384" s="1" t="s">
        <v>5171</v>
      </c>
      <c r="B384" s="1" t="s">
        <v>962</v>
      </c>
      <c r="C384" s="1" t="s">
        <v>963</v>
      </c>
      <c r="D384" s="1" t="s">
        <v>11520</v>
      </c>
      <c r="E384" s="1" t="str">
        <f>"2310"</f>
        <v>2310</v>
      </c>
      <c r="F384" s="1" t="str">
        <f>"010907739"</f>
        <v>010907739</v>
      </c>
      <c r="G384" s="1" t="s">
        <v>1489</v>
      </c>
      <c r="H384" s="1" t="s">
        <v>16</v>
      </c>
      <c r="I384" s="4" t="str">
        <f>"1"</f>
        <v>1</v>
      </c>
      <c r="J384" s="2" t="str">
        <f>"9176"</f>
        <v>9176</v>
      </c>
      <c r="K384" s="3">
        <v>46168</v>
      </c>
      <c r="L384" s="3">
        <v>46195</v>
      </c>
      <c r="M384" s="1" t="s">
        <v>11519</v>
      </c>
      <c r="N384" s="1" t="s">
        <v>11518</v>
      </c>
    </row>
    <row r="385" spans="1:14" s="1" customFormat="1" x14ac:dyDescent="0.35">
      <c r="A385" s="1" t="s">
        <v>5171</v>
      </c>
      <c r="B385" s="1" t="s">
        <v>962</v>
      </c>
      <c r="C385" s="1" t="s">
        <v>963</v>
      </c>
      <c r="D385" s="1" t="s">
        <v>11517</v>
      </c>
      <c r="E385" s="1" t="str">
        <f>"5411"</f>
        <v>5411</v>
      </c>
      <c r="F385" s="1" t="str">
        <f>"013335941"</f>
        <v>013335941</v>
      </c>
      <c r="G385" s="1" t="s">
        <v>1033</v>
      </c>
      <c r="H385" s="1" t="s">
        <v>16</v>
      </c>
      <c r="I385" s="4" t="str">
        <f>"1"</f>
        <v>1</v>
      </c>
      <c r="J385" s="2" t="str">
        <f>"15000"</f>
        <v>15000</v>
      </c>
      <c r="K385" s="3">
        <v>46154</v>
      </c>
      <c r="L385" s="3">
        <v>46195</v>
      </c>
      <c r="M385" s="1" t="s">
        <v>11516</v>
      </c>
      <c r="N385" s="1" t="s">
        <v>11515</v>
      </c>
    </row>
    <row r="386" spans="1:14" s="1" customFormat="1" x14ac:dyDescent="0.35">
      <c r="A386" s="1" t="s">
        <v>5171</v>
      </c>
      <c r="B386" s="1" t="s">
        <v>962</v>
      </c>
      <c r="C386" s="1" t="s">
        <v>963</v>
      </c>
      <c r="D386" s="1" t="s">
        <v>11514</v>
      </c>
      <c r="E386" s="1" t="str">
        <f>"1005"</f>
        <v>1005</v>
      </c>
      <c r="F386" s="1" t="str">
        <f>"000562237"</f>
        <v>000562237</v>
      </c>
      <c r="G386" s="1" t="s">
        <v>183</v>
      </c>
      <c r="H386" s="1" t="s">
        <v>16</v>
      </c>
      <c r="I386" s="4" t="str">
        <f>"56"</f>
        <v>56</v>
      </c>
      <c r="J386" s="2">
        <v>16.170000000000002</v>
      </c>
      <c r="K386" s="3">
        <v>46181</v>
      </c>
      <c r="L386" s="3">
        <v>46195</v>
      </c>
      <c r="M386" s="1" t="s">
        <v>11513</v>
      </c>
      <c r="N386" s="1" t="s">
        <v>11512</v>
      </c>
    </row>
    <row r="387" spans="1:14" s="1" customFormat="1" x14ac:dyDescent="0.35">
      <c r="A387" s="1" t="s">
        <v>5171</v>
      </c>
      <c r="B387" s="1" t="s">
        <v>962</v>
      </c>
      <c r="C387" s="1" t="s">
        <v>963</v>
      </c>
      <c r="D387" s="1" t="s">
        <v>11511</v>
      </c>
      <c r="E387" s="1" t="str">
        <f>"1080"</f>
        <v>1080</v>
      </c>
      <c r="F387" s="1" t="str">
        <f>"014750696"</f>
        <v>014750696</v>
      </c>
      <c r="G387" s="1" t="s">
        <v>1928</v>
      </c>
      <c r="H387" s="1" t="s">
        <v>16</v>
      </c>
      <c r="I387" s="4" t="str">
        <f>"1"</f>
        <v>1</v>
      </c>
      <c r="J387" s="2" t="str">
        <f>"1204"</f>
        <v>1204</v>
      </c>
      <c r="K387" s="3">
        <v>46181</v>
      </c>
      <c r="L387" s="3">
        <v>46195</v>
      </c>
      <c r="M387" s="1" t="s">
        <v>11510</v>
      </c>
      <c r="N387" s="1" t="s">
        <v>11509</v>
      </c>
    </row>
    <row r="388" spans="1:14" s="1" customFormat="1" x14ac:dyDescent="0.35">
      <c r="A388" s="1" t="s">
        <v>5171</v>
      </c>
      <c r="B388" s="1" t="s">
        <v>962</v>
      </c>
      <c r="C388" s="1" t="s">
        <v>11508</v>
      </c>
      <c r="D388" s="1" t="s">
        <v>11507</v>
      </c>
      <c r="E388" s="1" t="str">
        <f>"2340"</f>
        <v>2340</v>
      </c>
      <c r="F388" s="1" t="str">
        <f>"015251656"</f>
        <v>015251656</v>
      </c>
      <c r="G388" s="1" t="s">
        <v>11506</v>
      </c>
      <c r="H388" s="1" t="s">
        <v>16</v>
      </c>
      <c r="I388" s="4" t="str">
        <f>"1"</f>
        <v>1</v>
      </c>
      <c r="J388" s="2" t="str">
        <f>"11507"</f>
        <v>11507</v>
      </c>
      <c r="K388" s="3">
        <v>46188</v>
      </c>
      <c r="L388" s="3">
        <v>46195</v>
      </c>
      <c r="M388" s="1" t="s">
        <v>11505</v>
      </c>
      <c r="N388" s="1" t="s">
        <v>11504</v>
      </c>
    </row>
    <row r="389" spans="1:14" s="1" customFormat="1" x14ac:dyDescent="0.35">
      <c r="A389" s="1" t="s">
        <v>5171</v>
      </c>
      <c r="B389" s="1" t="s">
        <v>962</v>
      </c>
      <c r="C389" s="1" t="s">
        <v>963</v>
      </c>
      <c r="D389" s="1" t="s">
        <v>11503</v>
      </c>
      <c r="E389" s="1" t="str">
        <f>"7021"</f>
        <v>7021</v>
      </c>
      <c r="F389" s="1" t="s">
        <v>11502</v>
      </c>
      <c r="G389" s="1" t="s">
        <v>11501</v>
      </c>
      <c r="H389" s="1" t="s">
        <v>16</v>
      </c>
      <c r="I389" s="4" t="str">
        <f>"9"</f>
        <v>9</v>
      </c>
      <c r="J389" s="2">
        <v>27456.16</v>
      </c>
      <c r="K389" s="3">
        <v>46195</v>
      </c>
      <c r="L389" s="3">
        <v>46199</v>
      </c>
      <c r="M389" s="1" t="s">
        <v>11500</v>
      </c>
      <c r="N389" s="1" t="s">
        <v>11499</v>
      </c>
    </row>
    <row r="390" spans="1:14" s="1" customFormat="1" x14ac:dyDescent="0.35">
      <c r="A390" s="1" t="s">
        <v>5171</v>
      </c>
      <c r="B390" s="1" t="s">
        <v>962</v>
      </c>
      <c r="C390" s="1" t="s">
        <v>963</v>
      </c>
      <c r="D390" s="1" t="s">
        <v>11498</v>
      </c>
      <c r="E390" s="1" t="str">
        <f>"2340"</f>
        <v>2340</v>
      </c>
      <c r="F390" s="1" t="s">
        <v>84</v>
      </c>
      <c r="G390" s="1" t="s">
        <v>85</v>
      </c>
      <c r="H390" s="1" t="s">
        <v>16</v>
      </c>
      <c r="I390" s="4" t="str">
        <f>"1"</f>
        <v>1</v>
      </c>
      <c r="J390" s="2" t="str">
        <f>"6494"</f>
        <v>6494</v>
      </c>
      <c r="K390" s="3">
        <v>46198</v>
      </c>
      <c r="L390" s="3">
        <v>46199</v>
      </c>
      <c r="M390" s="1" t="s">
        <v>5167</v>
      </c>
      <c r="N390" s="1" t="s">
        <v>11496</v>
      </c>
    </row>
    <row r="391" spans="1:14" s="1" customFormat="1" x14ac:dyDescent="0.35">
      <c r="A391" s="1" t="s">
        <v>5171</v>
      </c>
      <c r="B391" s="1" t="s">
        <v>962</v>
      </c>
      <c r="C391" s="1" t="s">
        <v>963</v>
      </c>
      <c r="D391" s="1" t="s">
        <v>11497</v>
      </c>
      <c r="E391" s="1" t="str">
        <f>"2340"</f>
        <v>2340</v>
      </c>
      <c r="F391" s="1" t="s">
        <v>84</v>
      </c>
      <c r="G391" s="1" t="s">
        <v>85</v>
      </c>
      <c r="H391" s="1" t="s">
        <v>16</v>
      </c>
      <c r="I391" s="4" t="str">
        <f>"1"</f>
        <v>1</v>
      </c>
      <c r="J391" s="2" t="str">
        <f>"6494"</f>
        <v>6494</v>
      </c>
      <c r="K391" s="3">
        <v>46198</v>
      </c>
      <c r="L391" s="3">
        <v>46199</v>
      </c>
      <c r="M391" s="1" t="s">
        <v>5167</v>
      </c>
      <c r="N391" s="1" t="s">
        <v>11496</v>
      </c>
    </row>
    <row r="392" spans="1:14" s="1" customFormat="1" x14ac:dyDescent="0.35">
      <c r="A392" s="1" t="s">
        <v>5171</v>
      </c>
      <c r="B392" s="1" t="s">
        <v>962</v>
      </c>
      <c r="C392" s="1" t="s">
        <v>963</v>
      </c>
      <c r="D392" s="1" t="s">
        <v>11495</v>
      </c>
      <c r="E392" s="1" t="str">
        <f>"2610"</f>
        <v>2610</v>
      </c>
      <c r="F392" s="1" t="str">
        <f>"015717217"</f>
        <v>015717217</v>
      </c>
      <c r="G392" s="1" t="s">
        <v>466</v>
      </c>
      <c r="H392" s="1" t="s">
        <v>16</v>
      </c>
      <c r="I392" s="4" t="str">
        <f>"4"</f>
        <v>4</v>
      </c>
      <c r="J392" s="2">
        <v>248.63</v>
      </c>
      <c r="K392" s="3">
        <v>46198</v>
      </c>
      <c r="L392" s="3">
        <v>46200</v>
      </c>
      <c r="M392" s="1" t="s">
        <v>5167</v>
      </c>
      <c r="N392" s="1" t="s">
        <v>11494</v>
      </c>
    </row>
    <row r="393" spans="1:14" s="1" customFormat="1" x14ac:dyDescent="0.35">
      <c r="A393" s="1" t="s">
        <v>5171</v>
      </c>
      <c r="B393" s="1" t="s">
        <v>962</v>
      </c>
      <c r="C393" s="1" t="s">
        <v>963</v>
      </c>
      <c r="D393" s="1" t="s">
        <v>11493</v>
      </c>
      <c r="E393" s="1" t="str">
        <f>"2320"</f>
        <v>2320</v>
      </c>
      <c r="F393" s="1" t="s">
        <v>971</v>
      </c>
      <c r="G393" s="1" t="s">
        <v>972</v>
      </c>
      <c r="H393" s="1" t="s">
        <v>16</v>
      </c>
      <c r="I393" s="4" t="str">
        <f>"1"</f>
        <v>1</v>
      </c>
      <c r="J393" s="2" t="str">
        <f>"22000"</f>
        <v>22000</v>
      </c>
      <c r="K393" s="3">
        <v>46195</v>
      </c>
      <c r="L393" s="3">
        <v>46200</v>
      </c>
      <c r="M393" s="1" t="s">
        <v>11492</v>
      </c>
      <c r="N393" s="1" t="s">
        <v>11491</v>
      </c>
    </row>
    <row r="394" spans="1:14" s="1" customFormat="1" x14ac:dyDescent="0.35">
      <c r="A394" s="1" t="s">
        <v>5171</v>
      </c>
      <c r="B394" s="1" t="s">
        <v>1114</v>
      </c>
      <c r="C394" s="1" t="s">
        <v>1115</v>
      </c>
      <c r="D394" s="1" t="s">
        <v>11490</v>
      </c>
      <c r="E394" s="1" t="str">
        <f>"8415"</f>
        <v>8415</v>
      </c>
      <c r="F394" s="1" t="str">
        <f>"015802904"</f>
        <v>015802904</v>
      </c>
      <c r="G394" s="1" t="s">
        <v>1892</v>
      </c>
      <c r="H394" s="1" t="s">
        <v>16</v>
      </c>
      <c r="I394" s="4" t="str">
        <f>"1"</f>
        <v>1</v>
      </c>
      <c r="J394" s="2">
        <v>150.29</v>
      </c>
      <c r="K394" s="3">
        <v>46082</v>
      </c>
      <c r="L394" s="3">
        <v>46115</v>
      </c>
      <c r="M394" s="1" t="s">
        <v>11489</v>
      </c>
      <c r="N394" s="1" t="s">
        <v>11488</v>
      </c>
    </row>
    <row r="395" spans="1:14" s="1" customFormat="1" x14ac:dyDescent="0.35">
      <c r="A395" s="1" t="s">
        <v>5171</v>
      </c>
      <c r="B395" s="1" t="s">
        <v>1114</v>
      </c>
      <c r="C395" s="1" t="s">
        <v>1115</v>
      </c>
      <c r="D395" s="1" t="s">
        <v>11487</v>
      </c>
      <c r="E395" s="1" t="str">
        <f>"8415"</f>
        <v>8415</v>
      </c>
      <c r="F395" s="1" t="str">
        <f>"015138143"</f>
        <v>015138143</v>
      </c>
      <c r="G395" s="1" t="s">
        <v>3061</v>
      </c>
      <c r="H395" s="1" t="s">
        <v>16</v>
      </c>
      <c r="I395" s="4" t="str">
        <f>"1"</f>
        <v>1</v>
      </c>
      <c r="J395" s="2">
        <v>735.88</v>
      </c>
      <c r="K395" s="3">
        <v>46082</v>
      </c>
      <c r="L395" s="3">
        <v>46115</v>
      </c>
      <c r="M395" s="1" t="s">
        <v>11486</v>
      </c>
      <c r="N395" s="1" t="s">
        <v>11485</v>
      </c>
    </row>
    <row r="396" spans="1:14" s="1" customFormat="1" x14ac:dyDescent="0.35">
      <c r="A396" s="1" t="s">
        <v>5171</v>
      </c>
      <c r="B396" s="1" t="s">
        <v>1114</v>
      </c>
      <c r="C396" s="1" t="s">
        <v>1115</v>
      </c>
      <c r="D396" s="1" t="s">
        <v>11484</v>
      </c>
      <c r="E396" s="1" t="str">
        <f>"8415"</f>
        <v>8415</v>
      </c>
      <c r="F396" s="1" t="str">
        <f>"016795970"</f>
        <v>016795970</v>
      </c>
      <c r="G396" s="1" t="s">
        <v>11483</v>
      </c>
      <c r="H396" s="1" t="s">
        <v>311</v>
      </c>
      <c r="I396" s="4" t="str">
        <f>"1"</f>
        <v>1</v>
      </c>
      <c r="J396" s="2">
        <v>224.56</v>
      </c>
      <c r="K396" s="3">
        <v>46082</v>
      </c>
      <c r="L396" s="3">
        <v>46115</v>
      </c>
      <c r="M396" s="1" t="s">
        <v>11482</v>
      </c>
      <c r="N396" s="1" t="s">
        <v>11479</v>
      </c>
    </row>
    <row r="397" spans="1:14" s="1" customFormat="1" x14ac:dyDescent="0.35">
      <c r="A397" s="1" t="s">
        <v>5171</v>
      </c>
      <c r="B397" s="1" t="s">
        <v>1114</v>
      </c>
      <c r="C397" s="1" t="s">
        <v>1115</v>
      </c>
      <c r="D397" s="1" t="s">
        <v>11481</v>
      </c>
      <c r="E397" s="1" t="str">
        <f>"8415"</f>
        <v>8415</v>
      </c>
      <c r="F397" s="1" t="str">
        <f>"015802856"</f>
        <v>015802856</v>
      </c>
      <c r="G397" s="1" t="s">
        <v>1892</v>
      </c>
      <c r="H397" s="1" t="s">
        <v>16</v>
      </c>
      <c r="I397" s="4" t="str">
        <f>"1"</f>
        <v>1</v>
      </c>
      <c r="J397" s="2">
        <v>146.16</v>
      </c>
      <c r="K397" s="3">
        <v>46082</v>
      </c>
      <c r="L397" s="3">
        <v>46115</v>
      </c>
      <c r="M397" s="1" t="s">
        <v>11480</v>
      </c>
      <c r="N397" s="1" t="s">
        <v>11479</v>
      </c>
    </row>
    <row r="398" spans="1:14" s="1" customFormat="1" x14ac:dyDescent="0.35">
      <c r="A398" s="1" t="s">
        <v>5171</v>
      </c>
      <c r="B398" s="1" t="s">
        <v>1114</v>
      </c>
      <c r="C398" s="1" t="s">
        <v>11478</v>
      </c>
      <c r="D398" s="1" t="s">
        <v>11477</v>
      </c>
      <c r="E398" s="1" t="str">
        <f>"8405"</f>
        <v>8405</v>
      </c>
      <c r="F398" s="1" t="str">
        <f>"015472555"</f>
        <v>015472555</v>
      </c>
      <c r="G398" s="1" t="s">
        <v>615</v>
      </c>
      <c r="H398" s="1" t="s">
        <v>16</v>
      </c>
      <c r="I398" s="4" t="str">
        <f>"30"</f>
        <v>30</v>
      </c>
      <c r="J398" s="2">
        <v>63.02</v>
      </c>
      <c r="K398" s="3">
        <v>46091</v>
      </c>
      <c r="L398" s="3">
        <v>46118</v>
      </c>
      <c r="M398" s="1" t="s">
        <v>11476</v>
      </c>
      <c r="N398" s="1" t="s">
        <v>11475</v>
      </c>
    </row>
    <row r="399" spans="1:14" s="1" customFormat="1" x14ac:dyDescent="0.35">
      <c r="A399" s="1" t="s">
        <v>5216</v>
      </c>
      <c r="B399" s="1" t="s">
        <v>1114</v>
      </c>
      <c r="C399" s="1" t="s">
        <v>1115</v>
      </c>
      <c r="D399" s="1" t="s">
        <v>11474</v>
      </c>
      <c r="E399" s="1" t="str">
        <f>"6635"</f>
        <v>6635</v>
      </c>
      <c r="F399" s="1" t="str">
        <f>"016990665"</f>
        <v>016990665</v>
      </c>
      <c r="G399" s="1" t="s">
        <v>11473</v>
      </c>
      <c r="H399" s="1" t="s">
        <v>16</v>
      </c>
      <c r="I399" s="4" t="str">
        <f>"1"</f>
        <v>1</v>
      </c>
      <c r="J399" s="2">
        <v>5091.75</v>
      </c>
      <c r="K399" s="3">
        <v>46111</v>
      </c>
      <c r="L399" s="3">
        <v>46120</v>
      </c>
      <c r="M399" s="1" t="s">
        <v>11471</v>
      </c>
      <c r="N399" s="1" t="s">
        <v>11470</v>
      </c>
    </row>
    <row r="400" spans="1:14" s="1" customFormat="1" x14ac:dyDescent="0.35">
      <c r="A400" s="1" t="s">
        <v>5216</v>
      </c>
      <c r="B400" s="1" t="s">
        <v>1114</v>
      </c>
      <c r="C400" s="1" t="s">
        <v>1115</v>
      </c>
      <c r="D400" s="1" t="s">
        <v>11472</v>
      </c>
      <c r="E400" s="1" t="str">
        <f>"6635"</f>
        <v>6635</v>
      </c>
      <c r="F400" s="1" t="str">
        <f>"014654473"</f>
        <v>014654473</v>
      </c>
      <c r="G400" s="1" t="s">
        <v>4122</v>
      </c>
      <c r="H400" s="1" t="s">
        <v>16</v>
      </c>
      <c r="I400" s="4" t="str">
        <f>"1"</f>
        <v>1</v>
      </c>
      <c r="J400" s="2">
        <v>2285.5100000000002</v>
      </c>
      <c r="K400" s="3">
        <v>46111</v>
      </c>
      <c r="L400" s="3">
        <v>46120</v>
      </c>
      <c r="M400" s="1" t="s">
        <v>11471</v>
      </c>
      <c r="N400" s="1" t="s">
        <v>11470</v>
      </c>
    </row>
    <row r="401" spans="1:14" s="1" customFormat="1" x14ac:dyDescent="0.35">
      <c r="A401" s="1" t="s">
        <v>5171</v>
      </c>
      <c r="B401" s="1" t="s">
        <v>1114</v>
      </c>
      <c r="C401" s="1" t="s">
        <v>1115</v>
      </c>
      <c r="D401" s="1" t="s">
        <v>11469</v>
      </c>
      <c r="E401" s="1" t="str">
        <f>"8415"</f>
        <v>8415</v>
      </c>
      <c r="F401" s="1" t="str">
        <f>"015802861"</f>
        <v>015802861</v>
      </c>
      <c r="G401" s="1" t="s">
        <v>1892</v>
      </c>
      <c r="H401" s="1" t="s">
        <v>16</v>
      </c>
      <c r="I401" s="4" t="str">
        <f>"1"</f>
        <v>1</v>
      </c>
      <c r="J401" s="2">
        <v>146.81</v>
      </c>
      <c r="K401" s="3">
        <v>46093</v>
      </c>
      <c r="L401" s="3">
        <v>46133</v>
      </c>
      <c r="M401" s="1" t="s">
        <v>11468</v>
      </c>
      <c r="N401" s="1" t="s">
        <v>11467</v>
      </c>
    </row>
    <row r="402" spans="1:14" s="1" customFormat="1" x14ac:dyDescent="0.35">
      <c r="A402" s="1" t="s">
        <v>5171</v>
      </c>
      <c r="B402" s="1" t="s">
        <v>1114</v>
      </c>
      <c r="C402" s="1" t="s">
        <v>1115</v>
      </c>
      <c r="D402" s="1" t="s">
        <v>11466</v>
      </c>
      <c r="E402" s="1" t="str">
        <f>"5120"</f>
        <v>5120</v>
      </c>
      <c r="F402" s="1" t="str">
        <f>"013281198"</f>
        <v>013281198</v>
      </c>
      <c r="G402" s="1" t="s">
        <v>11465</v>
      </c>
      <c r="H402" s="1" t="s">
        <v>16</v>
      </c>
      <c r="I402" s="4" t="str">
        <f>"1"</f>
        <v>1</v>
      </c>
      <c r="J402" s="2">
        <v>1216.3</v>
      </c>
      <c r="K402" s="3">
        <v>46093</v>
      </c>
      <c r="L402" s="3">
        <v>46133</v>
      </c>
      <c r="M402" s="1" t="s">
        <v>11464</v>
      </c>
      <c r="N402" s="1" t="s">
        <v>11463</v>
      </c>
    </row>
    <row r="403" spans="1:14" s="1" customFormat="1" x14ac:dyDescent="0.35">
      <c r="A403" s="1" t="s">
        <v>5171</v>
      </c>
      <c r="B403" s="1" t="s">
        <v>1114</v>
      </c>
      <c r="C403" s="1" t="s">
        <v>1115</v>
      </c>
      <c r="D403" s="1" t="s">
        <v>11462</v>
      </c>
      <c r="E403" s="1" t="str">
        <f>"8465"</f>
        <v>8465</v>
      </c>
      <c r="F403" s="1" t="str">
        <f>"014652088"</f>
        <v>014652088</v>
      </c>
      <c r="G403" s="1" t="s">
        <v>1255</v>
      </c>
      <c r="H403" s="1" t="s">
        <v>16</v>
      </c>
      <c r="I403" s="4" t="str">
        <f>"1"</f>
        <v>1</v>
      </c>
      <c r="J403" s="2">
        <v>66.31</v>
      </c>
      <c r="K403" s="3">
        <v>46096</v>
      </c>
      <c r="L403" s="3">
        <v>46133</v>
      </c>
      <c r="M403" s="1" t="s">
        <v>11461</v>
      </c>
      <c r="N403" s="1" t="s">
        <v>11460</v>
      </c>
    </row>
    <row r="404" spans="1:14" s="1" customFormat="1" x14ac:dyDescent="0.35">
      <c r="A404" s="1" t="s">
        <v>5171</v>
      </c>
      <c r="B404" s="1" t="s">
        <v>1114</v>
      </c>
      <c r="C404" s="1" t="s">
        <v>1115</v>
      </c>
      <c r="D404" s="1" t="s">
        <v>11459</v>
      </c>
      <c r="E404" s="1" t="str">
        <f>"6545"</f>
        <v>6545</v>
      </c>
      <c r="F404" s="1" t="str">
        <f>"015300929"</f>
        <v>015300929</v>
      </c>
      <c r="G404" s="1" t="s">
        <v>236</v>
      </c>
      <c r="H404" s="1" t="s">
        <v>215</v>
      </c>
      <c r="I404" s="4" t="str">
        <f>"10"</f>
        <v>10</v>
      </c>
      <c r="J404" s="2">
        <v>48.71</v>
      </c>
      <c r="K404" s="3">
        <v>46098</v>
      </c>
      <c r="L404" s="3">
        <v>46133</v>
      </c>
      <c r="M404" s="1" t="s">
        <v>11458</v>
      </c>
      <c r="N404" s="1" t="s">
        <v>11457</v>
      </c>
    </row>
    <row r="405" spans="1:14" s="1" customFormat="1" x14ac:dyDescent="0.35">
      <c r="A405" s="1" t="s">
        <v>5171</v>
      </c>
      <c r="B405" s="1" t="s">
        <v>1114</v>
      </c>
      <c r="C405" s="1" t="s">
        <v>1115</v>
      </c>
      <c r="D405" s="1" t="s">
        <v>11456</v>
      </c>
      <c r="E405" s="1" t="str">
        <f>"8415"</f>
        <v>8415</v>
      </c>
      <c r="F405" s="1" t="s">
        <v>11451</v>
      </c>
      <c r="G405" s="1" t="s">
        <v>11450</v>
      </c>
      <c r="H405" s="1" t="s">
        <v>311</v>
      </c>
      <c r="I405" s="4" t="str">
        <f>"2"</f>
        <v>2</v>
      </c>
      <c r="J405" s="2">
        <v>172.15</v>
      </c>
      <c r="K405" s="3">
        <v>46098</v>
      </c>
      <c r="L405" s="3">
        <v>46133</v>
      </c>
      <c r="M405" s="1" t="s">
        <v>11455</v>
      </c>
      <c r="N405" s="1" t="s">
        <v>11448</v>
      </c>
    </row>
    <row r="406" spans="1:14" s="1" customFormat="1" x14ac:dyDescent="0.35">
      <c r="A406" s="1" t="s">
        <v>5171</v>
      </c>
      <c r="B406" s="1" t="s">
        <v>1114</v>
      </c>
      <c r="C406" s="1" t="s">
        <v>1115</v>
      </c>
      <c r="D406" s="1" t="s">
        <v>11454</v>
      </c>
      <c r="E406" s="1" t="str">
        <f>"8415"</f>
        <v>8415</v>
      </c>
      <c r="F406" s="1" t="s">
        <v>11451</v>
      </c>
      <c r="G406" s="1" t="s">
        <v>11450</v>
      </c>
      <c r="H406" s="1" t="s">
        <v>311</v>
      </c>
      <c r="I406" s="4" t="str">
        <f>"3"</f>
        <v>3</v>
      </c>
      <c r="J406" s="2">
        <v>172.15</v>
      </c>
      <c r="K406" s="3">
        <v>46098</v>
      </c>
      <c r="L406" s="3">
        <v>46133</v>
      </c>
      <c r="M406" s="1" t="s">
        <v>11453</v>
      </c>
      <c r="N406" s="1" t="s">
        <v>11448</v>
      </c>
    </row>
    <row r="407" spans="1:14" s="1" customFormat="1" x14ac:dyDescent="0.35">
      <c r="A407" s="1" t="s">
        <v>5171</v>
      </c>
      <c r="B407" s="1" t="s">
        <v>1114</v>
      </c>
      <c r="C407" s="1" t="s">
        <v>1115</v>
      </c>
      <c r="D407" s="1" t="s">
        <v>11452</v>
      </c>
      <c r="E407" s="1" t="str">
        <f>"8415"</f>
        <v>8415</v>
      </c>
      <c r="F407" s="1" t="s">
        <v>11451</v>
      </c>
      <c r="G407" s="1" t="s">
        <v>11450</v>
      </c>
      <c r="H407" s="1" t="s">
        <v>311</v>
      </c>
      <c r="I407" s="4" t="str">
        <f>"3"</f>
        <v>3</v>
      </c>
      <c r="J407" s="2">
        <v>163.56</v>
      </c>
      <c r="K407" s="3">
        <v>46098</v>
      </c>
      <c r="L407" s="3">
        <v>46133</v>
      </c>
      <c r="M407" s="1" t="s">
        <v>11449</v>
      </c>
      <c r="N407" s="1" t="s">
        <v>11448</v>
      </c>
    </row>
    <row r="408" spans="1:14" s="1" customFormat="1" x14ac:dyDescent="0.35">
      <c r="A408" s="1" t="s">
        <v>5171</v>
      </c>
      <c r="B408" s="1" t="s">
        <v>1114</v>
      </c>
      <c r="C408" s="1" t="s">
        <v>1115</v>
      </c>
      <c r="D408" s="1" t="s">
        <v>11447</v>
      </c>
      <c r="E408" s="1" t="str">
        <f>"8415"</f>
        <v>8415</v>
      </c>
      <c r="F408" s="1" t="s">
        <v>11446</v>
      </c>
      <c r="G408" s="1" t="s">
        <v>11445</v>
      </c>
      <c r="H408" s="1" t="s">
        <v>16</v>
      </c>
      <c r="I408" s="4" t="str">
        <f>"2"</f>
        <v>2</v>
      </c>
      <c r="J408" s="2">
        <v>60.96</v>
      </c>
      <c r="K408" s="3">
        <v>46104</v>
      </c>
      <c r="L408" s="3">
        <v>46133</v>
      </c>
      <c r="M408" s="1" t="s">
        <v>11444</v>
      </c>
      <c r="N408" s="1" t="s">
        <v>11441</v>
      </c>
    </row>
    <row r="409" spans="1:14" s="1" customFormat="1" x14ac:dyDescent="0.35">
      <c r="A409" s="1" t="s">
        <v>5171</v>
      </c>
      <c r="B409" s="1" t="s">
        <v>1114</v>
      </c>
      <c r="C409" s="1" t="s">
        <v>1115</v>
      </c>
      <c r="D409" s="1" t="s">
        <v>11443</v>
      </c>
      <c r="E409" s="1" t="str">
        <f>"8415"</f>
        <v>8415</v>
      </c>
      <c r="F409" s="1" t="str">
        <f>"015302350"</f>
        <v>015302350</v>
      </c>
      <c r="G409" s="1" t="s">
        <v>1092</v>
      </c>
      <c r="H409" s="1" t="s">
        <v>311</v>
      </c>
      <c r="I409" s="4" t="str">
        <f>"6"</f>
        <v>6</v>
      </c>
      <c r="J409" s="2">
        <v>17.41</v>
      </c>
      <c r="K409" s="3">
        <v>46104</v>
      </c>
      <c r="L409" s="3">
        <v>46133</v>
      </c>
      <c r="M409" s="1" t="s">
        <v>11442</v>
      </c>
      <c r="N409" s="1" t="s">
        <v>11441</v>
      </c>
    </row>
    <row r="410" spans="1:14" s="1" customFormat="1" x14ac:dyDescent="0.35">
      <c r="A410" s="1" t="s">
        <v>5171</v>
      </c>
      <c r="B410" s="1" t="s">
        <v>1114</v>
      </c>
      <c r="C410" s="1" t="s">
        <v>1115</v>
      </c>
      <c r="D410" s="1" t="s">
        <v>11440</v>
      </c>
      <c r="E410" s="1" t="str">
        <f>"8415"</f>
        <v>8415</v>
      </c>
      <c r="F410" s="1" t="s">
        <v>1139</v>
      </c>
      <c r="G410" s="1" t="s">
        <v>1140</v>
      </c>
      <c r="H410" s="1" t="s">
        <v>16</v>
      </c>
      <c r="I410" s="4" t="str">
        <f>"10"</f>
        <v>10</v>
      </c>
      <c r="J410" s="2">
        <v>65.02</v>
      </c>
      <c r="K410" s="3">
        <v>46104</v>
      </c>
      <c r="L410" s="3">
        <v>46133</v>
      </c>
      <c r="M410" s="1" t="s">
        <v>11439</v>
      </c>
      <c r="N410" s="1" t="s">
        <v>11438</v>
      </c>
    </row>
    <row r="411" spans="1:14" s="1" customFormat="1" x14ac:dyDescent="0.35">
      <c r="A411" s="1" t="s">
        <v>5171</v>
      </c>
      <c r="B411" s="1" t="s">
        <v>1114</v>
      </c>
      <c r="C411" s="1" t="s">
        <v>1115</v>
      </c>
      <c r="D411" s="1" t="s">
        <v>11437</v>
      </c>
      <c r="E411" s="1" t="str">
        <f>"2340"</f>
        <v>2340</v>
      </c>
      <c r="F411" s="1" t="s">
        <v>84</v>
      </c>
      <c r="G411" s="1" t="s">
        <v>85</v>
      </c>
      <c r="H411" s="1" t="s">
        <v>16</v>
      </c>
      <c r="I411" s="4" t="str">
        <f>"1"</f>
        <v>1</v>
      </c>
      <c r="J411" s="2">
        <v>31905.14</v>
      </c>
      <c r="K411" s="3">
        <v>46137</v>
      </c>
      <c r="L411" s="3">
        <v>46143</v>
      </c>
      <c r="M411" s="1" t="s">
        <v>11436</v>
      </c>
      <c r="N411" s="1" t="s">
        <v>11433</v>
      </c>
    </row>
    <row r="412" spans="1:14" s="1" customFormat="1" x14ac:dyDescent="0.35">
      <c r="A412" s="1" t="s">
        <v>5171</v>
      </c>
      <c r="B412" s="1" t="s">
        <v>1114</v>
      </c>
      <c r="C412" s="1" t="s">
        <v>1115</v>
      </c>
      <c r="D412" s="1" t="s">
        <v>11435</v>
      </c>
      <c r="E412" s="1" t="str">
        <f>"2340"</f>
        <v>2340</v>
      </c>
      <c r="F412" s="1" t="s">
        <v>84</v>
      </c>
      <c r="G412" s="1" t="s">
        <v>85</v>
      </c>
      <c r="H412" s="1" t="s">
        <v>16</v>
      </c>
      <c r="I412" s="4" t="str">
        <f>"1"</f>
        <v>1</v>
      </c>
      <c r="J412" s="2">
        <v>31905.14</v>
      </c>
      <c r="K412" s="3">
        <v>46137</v>
      </c>
      <c r="L412" s="3">
        <v>46143</v>
      </c>
      <c r="M412" s="1" t="s">
        <v>11434</v>
      </c>
      <c r="N412" s="1" t="s">
        <v>11433</v>
      </c>
    </row>
    <row r="413" spans="1:14" s="1" customFormat="1" x14ac:dyDescent="0.35">
      <c r="A413" s="1" t="s">
        <v>5171</v>
      </c>
      <c r="B413" s="1" t="s">
        <v>1114</v>
      </c>
      <c r="C413" s="1" t="s">
        <v>1115</v>
      </c>
      <c r="D413" s="1" t="s">
        <v>11432</v>
      </c>
      <c r="E413" s="1" t="str">
        <f>"2340"</f>
        <v>2340</v>
      </c>
      <c r="F413" s="1" t="s">
        <v>84</v>
      </c>
      <c r="G413" s="1" t="s">
        <v>85</v>
      </c>
      <c r="H413" s="1" t="s">
        <v>16</v>
      </c>
      <c r="I413" s="4" t="str">
        <f>"1"</f>
        <v>1</v>
      </c>
      <c r="J413" s="2">
        <v>31905.14</v>
      </c>
      <c r="K413" s="3">
        <v>46137</v>
      </c>
      <c r="L413" s="3">
        <v>46143</v>
      </c>
      <c r="M413" s="1" t="s">
        <v>11431</v>
      </c>
      <c r="N413" s="1" t="s">
        <v>11430</v>
      </c>
    </row>
    <row r="414" spans="1:14" s="1" customFormat="1" x14ac:dyDescent="0.35">
      <c r="A414" s="1" t="s">
        <v>5171</v>
      </c>
      <c r="B414" s="1" t="s">
        <v>1114</v>
      </c>
      <c r="C414" s="1" t="s">
        <v>1115</v>
      </c>
      <c r="D414" s="1" t="s">
        <v>11429</v>
      </c>
      <c r="E414" s="1" t="str">
        <f>"2340"</f>
        <v>2340</v>
      </c>
      <c r="F414" s="1" t="s">
        <v>84</v>
      </c>
      <c r="G414" s="1" t="s">
        <v>85</v>
      </c>
      <c r="H414" s="1" t="s">
        <v>16</v>
      </c>
      <c r="I414" s="4" t="str">
        <f>"1"</f>
        <v>1</v>
      </c>
      <c r="J414" s="2">
        <v>31905.14</v>
      </c>
      <c r="K414" s="3">
        <v>46137</v>
      </c>
      <c r="L414" s="3">
        <v>46143</v>
      </c>
      <c r="M414" s="1" t="s">
        <v>11428</v>
      </c>
      <c r="N414" s="1" t="s">
        <v>11427</v>
      </c>
    </row>
    <row r="415" spans="1:14" s="1" customFormat="1" x14ac:dyDescent="0.35">
      <c r="A415" s="1" t="s">
        <v>5171</v>
      </c>
      <c r="B415" s="1" t="s">
        <v>1114</v>
      </c>
      <c r="C415" s="1" t="s">
        <v>1115</v>
      </c>
      <c r="D415" s="1" t="s">
        <v>11426</v>
      </c>
      <c r="E415" s="1" t="str">
        <f>"7025"</f>
        <v>7025</v>
      </c>
      <c r="F415" s="1" t="s">
        <v>1128</v>
      </c>
      <c r="G415" s="1" t="s">
        <v>1129</v>
      </c>
      <c r="H415" s="1" t="s">
        <v>16</v>
      </c>
      <c r="I415" s="4" t="str">
        <f>"22"</f>
        <v>22</v>
      </c>
      <c r="J415" s="2">
        <v>305.97000000000003</v>
      </c>
      <c r="K415" s="3">
        <v>46144</v>
      </c>
      <c r="L415" s="3">
        <v>46147</v>
      </c>
      <c r="M415" s="1" t="s">
        <v>5167</v>
      </c>
      <c r="N415" s="1" t="s">
        <v>11425</v>
      </c>
    </row>
    <row r="416" spans="1:14" s="1" customFormat="1" x14ac:dyDescent="0.35">
      <c r="A416" s="1" t="s">
        <v>5171</v>
      </c>
      <c r="B416" s="1" t="s">
        <v>1114</v>
      </c>
      <c r="C416" s="1" t="s">
        <v>1115</v>
      </c>
      <c r="D416" s="1" t="s">
        <v>11424</v>
      </c>
      <c r="E416" s="1" t="str">
        <f>"8465"</f>
        <v>8465</v>
      </c>
      <c r="F416" s="1" t="s">
        <v>1063</v>
      </c>
      <c r="G416" s="1" t="s">
        <v>1064</v>
      </c>
      <c r="H416" s="1" t="s">
        <v>16</v>
      </c>
      <c r="I416" s="4" t="str">
        <f>"10"</f>
        <v>10</v>
      </c>
      <c r="J416" s="2" t="str">
        <f>"30"</f>
        <v>30</v>
      </c>
      <c r="K416" s="3">
        <v>46146</v>
      </c>
      <c r="L416" s="3">
        <v>46149</v>
      </c>
      <c r="M416" s="1" t="s">
        <v>5167</v>
      </c>
      <c r="N416" s="1" t="s">
        <v>11423</v>
      </c>
    </row>
    <row r="417" spans="1:14" s="1" customFormat="1" x14ac:dyDescent="0.35">
      <c r="A417" s="1" t="s">
        <v>5216</v>
      </c>
      <c r="B417" s="1" t="s">
        <v>1114</v>
      </c>
      <c r="C417" s="1" t="s">
        <v>1115</v>
      </c>
      <c r="D417" s="1" t="s">
        <v>11422</v>
      </c>
      <c r="E417" s="1" t="str">
        <f>"8415"</f>
        <v>8415</v>
      </c>
      <c r="F417" s="1" t="s">
        <v>1139</v>
      </c>
      <c r="G417" s="1" t="s">
        <v>1140</v>
      </c>
      <c r="H417" s="1" t="s">
        <v>16</v>
      </c>
      <c r="I417" s="4" t="str">
        <f>"2"</f>
        <v>2</v>
      </c>
      <c r="J417" s="2" t="str">
        <f>"100"</f>
        <v>100</v>
      </c>
      <c r="K417" s="3">
        <v>46145</v>
      </c>
      <c r="L417" s="3">
        <v>46155</v>
      </c>
      <c r="M417" s="1" t="s">
        <v>5224</v>
      </c>
      <c r="N417" s="1" t="s">
        <v>11421</v>
      </c>
    </row>
    <row r="418" spans="1:14" s="1" customFormat="1" x14ac:dyDescent="0.35">
      <c r="A418" s="1" t="s">
        <v>5171</v>
      </c>
      <c r="B418" s="1" t="s">
        <v>1114</v>
      </c>
      <c r="C418" s="1" t="s">
        <v>1115</v>
      </c>
      <c r="D418" s="1" t="s">
        <v>11420</v>
      </c>
      <c r="E418" s="1" t="str">
        <f>"6230"</f>
        <v>6230</v>
      </c>
      <c r="F418" s="1" t="str">
        <f>"016245491"</f>
        <v>016245491</v>
      </c>
      <c r="G418" s="1" t="s">
        <v>230</v>
      </c>
      <c r="H418" s="1" t="s">
        <v>16</v>
      </c>
      <c r="I418" s="4" t="str">
        <f>"20"</f>
        <v>20</v>
      </c>
      <c r="J418" s="2" t="str">
        <f>"300"</f>
        <v>300</v>
      </c>
      <c r="K418" s="3">
        <v>46153</v>
      </c>
      <c r="L418" s="3">
        <v>46155</v>
      </c>
      <c r="M418" s="1" t="s">
        <v>5167</v>
      </c>
      <c r="N418" s="1" t="s">
        <v>11419</v>
      </c>
    </row>
    <row r="419" spans="1:14" s="1" customFormat="1" x14ac:dyDescent="0.35">
      <c r="A419" s="1" t="s">
        <v>5171</v>
      </c>
      <c r="B419" s="1" t="s">
        <v>1114</v>
      </c>
      <c r="C419" s="1" t="s">
        <v>1115</v>
      </c>
      <c r="D419" s="1" t="s">
        <v>11418</v>
      </c>
      <c r="E419" s="1" t="str">
        <f>"8405"</f>
        <v>8405</v>
      </c>
      <c r="F419" s="1" t="s">
        <v>11371</v>
      </c>
      <c r="G419" s="1" t="s">
        <v>11370</v>
      </c>
      <c r="H419" s="1" t="s">
        <v>16</v>
      </c>
      <c r="I419" s="4" t="str">
        <f>"5"</f>
        <v>5</v>
      </c>
      <c r="J419" s="2" t="str">
        <f>"75"</f>
        <v>75</v>
      </c>
      <c r="K419" s="3">
        <v>46144</v>
      </c>
      <c r="L419" s="3">
        <v>46158</v>
      </c>
      <c r="M419" s="1" t="s">
        <v>11417</v>
      </c>
      <c r="N419" s="1" t="s">
        <v>11416</v>
      </c>
    </row>
    <row r="420" spans="1:14" s="1" customFormat="1" x14ac:dyDescent="0.35">
      <c r="A420" s="1" t="s">
        <v>5171</v>
      </c>
      <c r="B420" s="1" t="s">
        <v>1114</v>
      </c>
      <c r="C420" s="1" t="s">
        <v>1115</v>
      </c>
      <c r="D420" s="1" t="s">
        <v>11415</v>
      </c>
      <c r="E420" s="1" t="str">
        <f>"6910"</f>
        <v>6910</v>
      </c>
      <c r="F420" s="1" t="s">
        <v>1124</v>
      </c>
      <c r="G420" s="1" t="s">
        <v>1125</v>
      </c>
      <c r="H420" s="1" t="s">
        <v>16</v>
      </c>
      <c r="I420" s="4" t="str">
        <f>"1"</f>
        <v>1</v>
      </c>
      <c r="J420" s="2" t="str">
        <f>"2604"</f>
        <v>2604</v>
      </c>
      <c r="K420" s="3">
        <v>46146</v>
      </c>
      <c r="L420" s="3">
        <v>46158</v>
      </c>
      <c r="M420" s="1" t="s">
        <v>11414</v>
      </c>
      <c r="N420" s="1" t="s">
        <v>11413</v>
      </c>
    </row>
    <row r="421" spans="1:14" s="1" customFormat="1" x14ac:dyDescent="0.35">
      <c r="A421" s="1" t="s">
        <v>5171</v>
      </c>
      <c r="B421" s="1" t="s">
        <v>1114</v>
      </c>
      <c r="C421" s="1" t="s">
        <v>1115</v>
      </c>
      <c r="D421" s="1" t="s">
        <v>11412</v>
      </c>
      <c r="E421" s="1" t="str">
        <f>"8465"</f>
        <v>8465</v>
      </c>
      <c r="F421" s="1" t="s">
        <v>11411</v>
      </c>
      <c r="G421" s="1" t="s">
        <v>11410</v>
      </c>
      <c r="H421" s="1" t="s">
        <v>16</v>
      </c>
      <c r="I421" s="4" t="str">
        <f>"4"</f>
        <v>4</v>
      </c>
      <c r="J421" s="2" t="str">
        <f>"259"</f>
        <v>259</v>
      </c>
      <c r="K421" s="3">
        <v>46149</v>
      </c>
      <c r="L421" s="3">
        <v>46158</v>
      </c>
      <c r="M421" s="1" t="s">
        <v>11409</v>
      </c>
      <c r="N421" s="1" t="s">
        <v>11408</v>
      </c>
    </row>
    <row r="422" spans="1:14" s="1" customFormat="1" x14ac:dyDescent="0.35">
      <c r="A422" s="1" t="s">
        <v>5171</v>
      </c>
      <c r="B422" s="1" t="s">
        <v>1114</v>
      </c>
      <c r="C422" s="1" t="s">
        <v>1115</v>
      </c>
      <c r="D422" s="1" t="s">
        <v>11407</v>
      </c>
      <c r="E422" s="1" t="str">
        <f>"8415"</f>
        <v>8415</v>
      </c>
      <c r="F422" s="1" t="s">
        <v>1139</v>
      </c>
      <c r="G422" s="1" t="s">
        <v>1140</v>
      </c>
      <c r="H422" s="1" t="s">
        <v>16</v>
      </c>
      <c r="I422" s="4" t="str">
        <f>"3"</f>
        <v>3</v>
      </c>
      <c r="J422" s="2" t="str">
        <f>"96"</f>
        <v>96</v>
      </c>
      <c r="K422" s="3">
        <v>46152</v>
      </c>
      <c r="L422" s="3">
        <v>46161</v>
      </c>
      <c r="M422" s="1" t="s">
        <v>11406</v>
      </c>
      <c r="N422" s="1" t="s">
        <v>11405</v>
      </c>
    </row>
    <row r="423" spans="1:14" s="1" customFormat="1" x14ac:dyDescent="0.35">
      <c r="A423" s="1" t="s">
        <v>5171</v>
      </c>
      <c r="B423" s="1" t="s">
        <v>1114</v>
      </c>
      <c r="C423" s="1" t="s">
        <v>1115</v>
      </c>
      <c r="D423" s="1" t="s">
        <v>11404</v>
      </c>
      <c r="E423" s="1" t="str">
        <f>"8415"</f>
        <v>8415</v>
      </c>
      <c r="F423" s="1" t="s">
        <v>1139</v>
      </c>
      <c r="G423" s="1" t="s">
        <v>1140</v>
      </c>
      <c r="H423" s="1" t="s">
        <v>16</v>
      </c>
      <c r="I423" s="4" t="str">
        <f>"1"</f>
        <v>1</v>
      </c>
      <c r="J423" s="2" t="str">
        <f>"96"</f>
        <v>96</v>
      </c>
      <c r="K423" s="3">
        <v>46152</v>
      </c>
      <c r="L423" s="3">
        <v>46161</v>
      </c>
      <c r="M423" s="1" t="s">
        <v>11403</v>
      </c>
      <c r="N423" s="1" t="s">
        <v>11402</v>
      </c>
    </row>
    <row r="424" spans="1:14" s="1" customFormat="1" x14ac:dyDescent="0.35">
      <c r="A424" s="1" t="s">
        <v>5216</v>
      </c>
      <c r="B424" s="1" t="s">
        <v>1114</v>
      </c>
      <c r="C424" s="1" t="s">
        <v>1115</v>
      </c>
      <c r="D424" s="1" t="s">
        <v>11401</v>
      </c>
      <c r="E424" s="1" t="str">
        <f>"6260"</f>
        <v>6260</v>
      </c>
      <c r="F424" s="1" t="str">
        <f>"012094434"</f>
        <v>012094434</v>
      </c>
      <c r="G424" s="1" t="s">
        <v>3654</v>
      </c>
      <c r="H424" s="1" t="s">
        <v>352</v>
      </c>
      <c r="I424" s="4" t="str">
        <f>"8"</f>
        <v>8</v>
      </c>
      <c r="J424" s="2">
        <v>55.9</v>
      </c>
      <c r="K424" s="3">
        <v>46174</v>
      </c>
      <c r="L424" s="3">
        <v>46183</v>
      </c>
      <c r="M424" s="1" t="s">
        <v>7703</v>
      </c>
      <c r="N424" s="1" t="s">
        <v>11400</v>
      </c>
    </row>
    <row r="425" spans="1:14" s="1" customFormat="1" x14ac:dyDescent="0.35">
      <c r="A425" s="1" t="s">
        <v>5171</v>
      </c>
      <c r="B425" s="1" t="s">
        <v>1114</v>
      </c>
      <c r="C425" s="1" t="s">
        <v>1115</v>
      </c>
      <c r="D425" s="1" t="s">
        <v>11399</v>
      </c>
      <c r="E425" s="1" t="str">
        <f>"6545"</f>
        <v>6545</v>
      </c>
      <c r="F425" s="1" t="str">
        <f>"015396448"</f>
        <v>015396448</v>
      </c>
      <c r="G425" s="1" t="s">
        <v>11398</v>
      </c>
      <c r="H425" s="1" t="s">
        <v>16</v>
      </c>
      <c r="I425" s="4" t="str">
        <f>"3"</f>
        <v>3</v>
      </c>
      <c r="J425" s="2">
        <v>444.17</v>
      </c>
      <c r="K425" s="3">
        <v>46181</v>
      </c>
      <c r="L425" s="3">
        <v>46185</v>
      </c>
      <c r="M425" s="1" t="s">
        <v>11397</v>
      </c>
      <c r="N425" s="1" t="s">
        <v>11396</v>
      </c>
    </row>
    <row r="426" spans="1:14" s="1" customFormat="1" x14ac:dyDescent="0.35">
      <c r="A426" s="1" t="s">
        <v>5171</v>
      </c>
      <c r="B426" s="1" t="s">
        <v>1152</v>
      </c>
      <c r="C426" s="1" t="s">
        <v>1153</v>
      </c>
      <c r="D426" s="1" t="s">
        <v>11395</v>
      </c>
      <c r="E426" s="1" t="str">
        <f>"1240"</f>
        <v>1240</v>
      </c>
      <c r="F426" s="1" t="str">
        <f>"016785336"</f>
        <v>016785336</v>
      </c>
      <c r="G426" s="1" t="s">
        <v>1103</v>
      </c>
      <c r="H426" s="1" t="s">
        <v>16</v>
      </c>
      <c r="I426" s="4" t="str">
        <f>"1"</f>
        <v>1</v>
      </c>
      <c r="J426" s="2" t="str">
        <f>"352"</f>
        <v>352</v>
      </c>
      <c r="K426" s="3">
        <v>45985</v>
      </c>
      <c r="L426" s="3">
        <v>46128</v>
      </c>
      <c r="M426" s="1" t="s">
        <v>11394</v>
      </c>
      <c r="N426" s="1" t="s">
        <v>11393</v>
      </c>
    </row>
    <row r="427" spans="1:14" s="1" customFormat="1" x14ac:dyDescent="0.35">
      <c r="A427" s="1" t="s">
        <v>5171</v>
      </c>
      <c r="B427" s="1" t="s">
        <v>1152</v>
      </c>
      <c r="C427" s="1" t="s">
        <v>1153</v>
      </c>
      <c r="D427" s="1" t="s">
        <v>11392</v>
      </c>
      <c r="E427" s="1" t="str">
        <f>"5855"</f>
        <v>5855</v>
      </c>
      <c r="F427" s="1" t="str">
        <f>"015330555"</f>
        <v>015330555</v>
      </c>
      <c r="G427" s="1" t="s">
        <v>462</v>
      </c>
      <c r="H427" s="1" t="s">
        <v>16</v>
      </c>
      <c r="I427" s="4" t="str">
        <f>"2"</f>
        <v>2</v>
      </c>
      <c r="J427" s="2" t="str">
        <f>"1800"</f>
        <v>1800</v>
      </c>
      <c r="K427" s="3">
        <v>45985</v>
      </c>
      <c r="L427" s="3">
        <v>46128</v>
      </c>
      <c r="M427" s="1" t="s">
        <v>11391</v>
      </c>
      <c r="N427" s="1" t="s">
        <v>1156</v>
      </c>
    </row>
    <row r="428" spans="1:14" s="1" customFormat="1" x14ac:dyDescent="0.35">
      <c r="A428" s="1" t="s">
        <v>5171</v>
      </c>
      <c r="B428" s="1" t="s">
        <v>1152</v>
      </c>
      <c r="C428" s="1" t="s">
        <v>1269</v>
      </c>
      <c r="D428" s="1" t="s">
        <v>11390</v>
      </c>
      <c r="E428" s="1" t="str">
        <f>"8430"</f>
        <v>8430</v>
      </c>
      <c r="F428" s="1" t="str">
        <f>"016759438"</f>
        <v>016759438</v>
      </c>
      <c r="G428" s="1" t="s">
        <v>898</v>
      </c>
      <c r="H428" s="1" t="s">
        <v>311</v>
      </c>
      <c r="I428" s="4" t="str">
        <f>"1"</f>
        <v>1</v>
      </c>
      <c r="J428" s="2">
        <v>164.15</v>
      </c>
      <c r="K428" s="3">
        <v>46098</v>
      </c>
      <c r="L428" s="3">
        <v>46128</v>
      </c>
      <c r="M428" s="1" t="s">
        <v>11389</v>
      </c>
      <c r="N428" s="1" t="s">
        <v>1275</v>
      </c>
    </row>
    <row r="429" spans="1:14" s="1" customFormat="1" x14ac:dyDescent="0.35">
      <c r="A429" s="1" t="s">
        <v>5171</v>
      </c>
      <c r="B429" s="1" t="s">
        <v>1152</v>
      </c>
      <c r="C429" s="1" t="s">
        <v>1269</v>
      </c>
      <c r="D429" s="1" t="s">
        <v>11388</v>
      </c>
      <c r="E429" s="1" t="str">
        <f>"8430"</f>
        <v>8430</v>
      </c>
      <c r="F429" s="1" t="str">
        <f>"016326384"</f>
        <v>016326384</v>
      </c>
      <c r="G429" s="1" t="s">
        <v>898</v>
      </c>
      <c r="H429" s="1" t="s">
        <v>311</v>
      </c>
      <c r="I429" s="4" t="str">
        <f>"1"</f>
        <v>1</v>
      </c>
      <c r="J429" s="2">
        <v>153.44999999999999</v>
      </c>
      <c r="K429" s="3">
        <v>46107</v>
      </c>
      <c r="L429" s="3">
        <v>46133</v>
      </c>
      <c r="M429" s="1" t="s">
        <v>5167</v>
      </c>
      <c r="N429" s="1" t="s">
        <v>11387</v>
      </c>
    </row>
    <row r="430" spans="1:14" s="1" customFormat="1" x14ac:dyDescent="0.35">
      <c r="A430" s="1" t="s">
        <v>5230</v>
      </c>
      <c r="B430" s="1" t="s">
        <v>1152</v>
      </c>
      <c r="C430" s="1" t="s">
        <v>1153</v>
      </c>
      <c r="D430" s="1" t="s">
        <v>11386</v>
      </c>
      <c r="E430" s="1" t="str">
        <f>"2330"</f>
        <v>2330</v>
      </c>
      <c r="F430" s="1" t="s">
        <v>70</v>
      </c>
      <c r="G430" s="1" t="s">
        <v>71</v>
      </c>
      <c r="H430" s="1" t="s">
        <v>16</v>
      </c>
      <c r="I430" s="4" t="str">
        <f>"1"</f>
        <v>1</v>
      </c>
      <c r="J430" s="2" t="str">
        <f>"2500"</f>
        <v>2500</v>
      </c>
      <c r="K430" s="3">
        <v>46135</v>
      </c>
      <c r="L430" s="3">
        <v>46135</v>
      </c>
      <c r="N430" s="1" t="s">
        <v>1156</v>
      </c>
    </row>
    <row r="431" spans="1:14" s="1" customFormat="1" x14ac:dyDescent="0.35">
      <c r="A431" s="1" t="s">
        <v>5216</v>
      </c>
      <c r="B431" s="1" t="s">
        <v>1152</v>
      </c>
      <c r="C431" s="1" t="s">
        <v>1269</v>
      </c>
      <c r="D431" s="1" t="s">
        <v>11385</v>
      </c>
      <c r="E431" s="1" t="str">
        <f>"8415"</f>
        <v>8415</v>
      </c>
      <c r="F431" s="1" t="str">
        <f>"015386754"</f>
        <v>015386754</v>
      </c>
      <c r="G431" s="1" t="s">
        <v>493</v>
      </c>
      <c r="H431" s="1" t="s">
        <v>16</v>
      </c>
      <c r="I431" s="4" t="str">
        <f>"1"</f>
        <v>1</v>
      </c>
      <c r="J431" s="2">
        <v>63.88</v>
      </c>
      <c r="K431" s="3">
        <v>46106</v>
      </c>
      <c r="L431" s="3">
        <v>46135</v>
      </c>
      <c r="M431" s="1" t="s">
        <v>5224</v>
      </c>
      <c r="N431" s="1" t="s">
        <v>11382</v>
      </c>
    </row>
    <row r="432" spans="1:14" s="1" customFormat="1" x14ac:dyDescent="0.35">
      <c r="A432" s="1" t="s">
        <v>5216</v>
      </c>
      <c r="B432" s="1" t="s">
        <v>1152</v>
      </c>
      <c r="C432" s="1" t="s">
        <v>1269</v>
      </c>
      <c r="D432" s="1" t="s">
        <v>11384</v>
      </c>
      <c r="E432" s="1" t="str">
        <f>"8415"</f>
        <v>8415</v>
      </c>
      <c r="F432" s="1" t="str">
        <f>"015467536"</f>
        <v>015467536</v>
      </c>
      <c r="G432" s="1" t="s">
        <v>493</v>
      </c>
      <c r="H432" s="1" t="s">
        <v>16</v>
      </c>
      <c r="I432" s="4" t="str">
        <f>"1"</f>
        <v>1</v>
      </c>
      <c r="J432" s="2">
        <v>63.88</v>
      </c>
      <c r="K432" s="3">
        <v>46106</v>
      </c>
      <c r="L432" s="3">
        <v>46135</v>
      </c>
      <c r="M432" s="1" t="s">
        <v>5224</v>
      </c>
      <c r="N432" s="1" t="s">
        <v>11382</v>
      </c>
    </row>
    <row r="433" spans="1:14" s="1" customFormat="1" x14ac:dyDescent="0.35">
      <c r="A433" s="1" t="s">
        <v>5216</v>
      </c>
      <c r="B433" s="1" t="s">
        <v>1152</v>
      </c>
      <c r="C433" s="1" t="s">
        <v>1269</v>
      </c>
      <c r="D433" s="1" t="s">
        <v>11383</v>
      </c>
      <c r="E433" s="1" t="str">
        <f>"8415"</f>
        <v>8415</v>
      </c>
      <c r="F433" s="1" t="str">
        <f>"015467550"</f>
        <v>015467550</v>
      </c>
      <c r="G433" s="1" t="s">
        <v>493</v>
      </c>
      <c r="H433" s="1" t="s">
        <v>16</v>
      </c>
      <c r="I433" s="4" t="str">
        <f>"1"</f>
        <v>1</v>
      </c>
      <c r="J433" s="2">
        <v>72.510000000000005</v>
      </c>
      <c r="K433" s="3">
        <v>46106</v>
      </c>
      <c r="L433" s="3">
        <v>46135</v>
      </c>
      <c r="M433" s="1" t="s">
        <v>5224</v>
      </c>
      <c r="N433" s="1" t="s">
        <v>11382</v>
      </c>
    </row>
    <row r="434" spans="1:14" s="1" customFormat="1" x14ac:dyDescent="0.35">
      <c r="A434" s="1" t="s">
        <v>5216</v>
      </c>
      <c r="B434" s="1" t="s">
        <v>1152</v>
      </c>
      <c r="C434" s="1" t="s">
        <v>1269</v>
      </c>
      <c r="D434" s="1" t="s">
        <v>11381</v>
      </c>
      <c r="E434" s="1" t="str">
        <f>"8465"</f>
        <v>8465</v>
      </c>
      <c r="F434" s="1" t="str">
        <f>"016419671"</f>
        <v>016419671</v>
      </c>
      <c r="G434" s="1" t="s">
        <v>4067</v>
      </c>
      <c r="H434" s="1" t="s">
        <v>16</v>
      </c>
      <c r="I434" s="4" t="str">
        <f>"10"</f>
        <v>10</v>
      </c>
      <c r="J434" s="2">
        <v>40.4</v>
      </c>
      <c r="K434" s="3">
        <v>46106</v>
      </c>
      <c r="L434" s="3">
        <v>46135</v>
      </c>
      <c r="M434" s="1" t="s">
        <v>5224</v>
      </c>
      <c r="N434" s="1" t="s">
        <v>11380</v>
      </c>
    </row>
    <row r="435" spans="1:14" s="1" customFormat="1" x14ac:dyDescent="0.35">
      <c r="A435" s="1" t="s">
        <v>5216</v>
      </c>
      <c r="B435" s="1" t="s">
        <v>1152</v>
      </c>
      <c r="C435" s="1" t="s">
        <v>1269</v>
      </c>
      <c r="D435" s="1" t="s">
        <v>11379</v>
      </c>
      <c r="E435" s="1" t="str">
        <f>"8430"</f>
        <v>8430</v>
      </c>
      <c r="F435" s="1" t="str">
        <f>"015161693"</f>
        <v>015161693</v>
      </c>
      <c r="G435" s="1" t="s">
        <v>898</v>
      </c>
      <c r="H435" s="1" t="s">
        <v>311</v>
      </c>
      <c r="I435" s="4" t="str">
        <f>"1"</f>
        <v>1</v>
      </c>
      <c r="J435" s="2" t="str">
        <f>"103"</f>
        <v>103</v>
      </c>
      <c r="K435" s="3">
        <v>46134</v>
      </c>
      <c r="L435" s="3">
        <v>46135</v>
      </c>
      <c r="M435" s="1" t="s">
        <v>5224</v>
      </c>
      <c r="N435" s="1" t="s">
        <v>11378</v>
      </c>
    </row>
    <row r="436" spans="1:14" s="1" customFormat="1" x14ac:dyDescent="0.35">
      <c r="A436" s="1" t="s">
        <v>5171</v>
      </c>
      <c r="B436" s="1" t="s">
        <v>1152</v>
      </c>
      <c r="C436" s="1" t="s">
        <v>1153</v>
      </c>
      <c r="D436" s="1" t="s">
        <v>11377</v>
      </c>
      <c r="E436" s="1" t="str">
        <f>"6130"</f>
        <v>6130</v>
      </c>
      <c r="F436" s="1" t="str">
        <f>"016677839"</f>
        <v>016677839</v>
      </c>
      <c r="G436" s="1" t="s">
        <v>1290</v>
      </c>
      <c r="H436" s="1" t="s">
        <v>16</v>
      </c>
      <c r="I436" s="4" t="str">
        <f>"18"</f>
        <v>18</v>
      </c>
      <c r="J436" s="2" t="str">
        <f>"159"</f>
        <v>159</v>
      </c>
      <c r="K436" s="3">
        <v>46135</v>
      </c>
      <c r="L436" s="3">
        <v>46137</v>
      </c>
      <c r="M436" s="1" t="s">
        <v>11376</v>
      </c>
      <c r="N436" s="1" t="s">
        <v>1156</v>
      </c>
    </row>
    <row r="437" spans="1:14" s="1" customFormat="1" x14ac:dyDescent="0.35">
      <c r="A437" s="1" t="s">
        <v>5171</v>
      </c>
      <c r="B437" s="1" t="s">
        <v>1152</v>
      </c>
      <c r="C437" s="1" t="s">
        <v>1153</v>
      </c>
      <c r="D437" s="1" t="s">
        <v>11375</v>
      </c>
      <c r="E437" s="1" t="str">
        <f>"5180"</f>
        <v>5180</v>
      </c>
      <c r="F437" s="1" t="s">
        <v>88</v>
      </c>
      <c r="G437" s="1" t="s">
        <v>89</v>
      </c>
      <c r="H437" s="1" t="s">
        <v>16</v>
      </c>
      <c r="I437" s="4" t="str">
        <f>"3"</f>
        <v>3</v>
      </c>
      <c r="J437" s="2" t="str">
        <f>"500"</f>
        <v>500</v>
      </c>
      <c r="K437" s="3">
        <v>46142</v>
      </c>
      <c r="L437" s="3">
        <v>46143</v>
      </c>
      <c r="M437" s="1" t="s">
        <v>5167</v>
      </c>
      <c r="N437" s="1" t="s">
        <v>1156</v>
      </c>
    </row>
    <row r="438" spans="1:14" s="1" customFormat="1" x14ac:dyDescent="0.35">
      <c r="A438" s="1" t="s">
        <v>5171</v>
      </c>
      <c r="B438" s="1" t="s">
        <v>1152</v>
      </c>
      <c r="C438" s="1" t="s">
        <v>1153</v>
      </c>
      <c r="D438" s="1" t="s">
        <v>11374</v>
      </c>
      <c r="E438" s="1" t="str">
        <f>"5410"</f>
        <v>5410</v>
      </c>
      <c r="F438" s="1" t="str">
        <f>"013343158"</f>
        <v>013343158</v>
      </c>
      <c r="G438" s="1" t="s">
        <v>11373</v>
      </c>
      <c r="H438" s="1" t="s">
        <v>16</v>
      </c>
      <c r="I438" s="4" t="str">
        <f>"1"</f>
        <v>1</v>
      </c>
      <c r="J438" s="2" t="str">
        <f>"174043"</f>
        <v>174043</v>
      </c>
      <c r="K438" s="3">
        <v>46153</v>
      </c>
      <c r="L438" s="3">
        <v>46154</v>
      </c>
      <c r="M438" s="1" t="s">
        <v>5167</v>
      </c>
      <c r="N438" s="1" t="s">
        <v>1156</v>
      </c>
    </row>
    <row r="439" spans="1:14" s="1" customFormat="1" x14ac:dyDescent="0.35">
      <c r="A439" s="1" t="s">
        <v>5171</v>
      </c>
      <c r="B439" s="1" t="s">
        <v>1152</v>
      </c>
      <c r="C439" s="1" t="s">
        <v>1153</v>
      </c>
      <c r="D439" s="1" t="s">
        <v>11372</v>
      </c>
      <c r="E439" s="1" t="str">
        <f>"8405"</f>
        <v>8405</v>
      </c>
      <c r="F439" s="1" t="s">
        <v>11371</v>
      </c>
      <c r="G439" s="1" t="s">
        <v>11370</v>
      </c>
      <c r="H439" s="1" t="s">
        <v>16</v>
      </c>
      <c r="I439" s="4" t="str">
        <f>"22"</f>
        <v>22</v>
      </c>
      <c r="J439" s="2" t="str">
        <f>"75"</f>
        <v>75</v>
      </c>
      <c r="K439" s="3">
        <v>46148</v>
      </c>
      <c r="L439" s="3">
        <v>46158</v>
      </c>
      <c r="M439" s="1" t="s">
        <v>11369</v>
      </c>
      <c r="N439" s="1" t="s">
        <v>1156</v>
      </c>
    </row>
    <row r="440" spans="1:14" s="1" customFormat="1" x14ac:dyDescent="0.35">
      <c r="A440" s="1" t="s">
        <v>5171</v>
      </c>
      <c r="B440" s="1" t="s">
        <v>1152</v>
      </c>
      <c r="C440" s="1" t="s">
        <v>1153</v>
      </c>
      <c r="D440" s="1" t="s">
        <v>11368</v>
      </c>
      <c r="E440" s="1" t="str">
        <f>"4240"</f>
        <v>4240</v>
      </c>
      <c r="F440" s="1" t="s">
        <v>2930</v>
      </c>
      <c r="G440" s="1" t="s">
        <v>2931</v>
      </c>
      <c r="H440" s="1" t="s">
        <v>16</v>
      </c>
      <c r="I440" s="4" t="str">
        <f>"1"</f>
        <v>1</v>
      </c>
      <c r="J440" s="2" t="str">
        <f>"49800"</f>
        <v>49800</v>
      </c>
      <c r="K440" s="3">
        <v>46146</v>
      </c>
      <c r="L440" s="3">
        <v>46158</v>
      </c>
      <c r="M440" s="1" t="s">
        <v>11367</v>
      </c>
      <c r="N440" s="1" t="s">
        <v>11366</v>
      </c>
    </row>
    <row r="441" spans="1:14" s="1" customFormat="1" x14ac:dyDescent="0.35">
      <c r="A441" s="1" t="s">
        <v>5171</v>
      </c>
      <c r="B441" s="1" t="s">
        <v>1152</v>
      </c>
      <c r="C441" s="1" t="s">
        <v>1153</v>
      </c>
      <c r="D441" s="1" t="s">
        <v>11365</v>
      </c>
      <c r="E441" s="1" t="str">
        <f>"8415"</f>
        <v>8415</v>
      </c>
      <c r="F441" s="1" t="s">
        <v>1139</v>
      </c>
      <c r="G441" s="1" t="s">
        <v>1140</v>
      </c>
      <c r="H441" s="1" t="s">
        <v>16</v>
      </c>
      <c r="I441" s="4" t="str">
        <f>"13"</f>
        <v>13</v>
      </c>
      <c r="J441" s="2" t="str">
        <f>"96"</f>
        <v>96</v>
      </c>
      <c r="K441" s="3">
        <v>46153</v>
      </c>
      <c r="L441" s="3">
        <v>46161</v>
      </c>
      <c r="M441" s="1" t="s">
        <v>11364</v>
      </c>
      <c r="N441" s="1" t="s">
        <v>1156</v>
      </c>
    </row>
    <row r="442" spans="1:14" s="1" customFormat="1" x14ac:dyDescent="0.35">
      <c r="A442" s="1" t="s">
        <v>5171</v>
      </c>
      <c r="B442" s="1" t="s">
        <v>1152</v>
      </c>
      <c r="C442" s="1" t="s">
        <v>1153</v>
      </c>
      <c r="D442" s="1" t="s">
        <v>11363</v>
      </c>
      <c r="E442" s="1" t="str">
        <f>"2330"</f>
        <v>2330</v>
      </c>
      <c r="F442" s="1" t="s">
        <v>70</v>
      </c>
      <c r="G442" s="1" t="s">
        <v>71</v>
      </c>
      <c r="H442" s="1" t="s">
        <v>16</v>
      </c>
      <c r="I442" s="4" t="str">
        <f>"1"</f>
        <v>1</v>
      </c>
      <c r="J442" s="2" t="str">
        <f>"14000"</f>
        <v>14000</v>
      </c>
      <c r="K442" s="3">
        <v>46153</v>
      </c>
      <c r="L442" s="3">
        <v>46165</v>
      </c>
      <c r="M442" s="1" t="s">
        <v>11362</v>
      </c>
      <c r="N442" s="1" t="s">
        <v>1156</v>
      </c>
    </row>
    <row r="443" spans="1:14" s="1" customFormat="1" x14ac:dyDescent="0.35">
      <c r="A443" s="1" t="s">
        <v>5171</v>
      </c>
      <c r="B443" s="1" t="s">
        <v>1152</v>
      </c>
      <c r="C443" s="1" t="s">
        <v>1153</v>
      </c>
      <c r="D443" s="1" t="s">
        <v>11361</v>
      </c>
      <c r="E443" s="1" t="str">
        <f>"2330"</f>
        <v>2330</v>
      </c>
      <c r="F443" s="1" t="s">
        <v>70</v>
      </c>
      <c r="G443" s="1" t="s">
        <v>71</v>
      </c>
      <c r="H443" s="1" t="s">
        <v>16</v>
      </c>
      <c r="I443" s="4" t="str">
        <f>"1"</f>
        <v>1</v>
      </c>
      <c r="J443" s="2" t="str">
        <f>"14000"</f>
        <v>14000</v>
      </c>
      <c r="K443" s="3">
        <v>46153</v>
      </c>
      <c r="L443" s="3">
        <v>46165</v>
      </c>
      <c r="M443" s="1" t="s">
        <v>11360</v>
      </c>
      <c r="N443" s="1" t="s">
        <v>1156</v>
      </c>
    </row>
    <row r="444" spans="1:14" s="1" customFormat="1" x14ac:dyDescent="0.35">
      <c r="A444" s="1" t="s">
        <v>5171</v>
      </c>
      <c r="B444" s="1" t="s">
        <v>1152</v>
      </c>
      <c r="C444" s="1" t="s">
        <v>1153</v>
      </c>
      <c r="D444" s="1" t="s">
        <v>11359</v>
      </c>
      <c r="E444" s="1" t="str">
        <f>"2330"</f>
        <v>2330</v>
      </c>
      <c r="F444" s="1" t="s">
        <v>70</v>
      </c>
      <c r="G444" s="1" t="s">
        <v>71</v>
      </c>
      <c r="H444" s="1" t="s">
        <v>16</v>
      </c>
      <c r="I444" s="4" t="str">
        <f>"1"</f>
        <v>1</v>
      </c>
      <c r="J444" s="2" t="str">
        <f>"14000"</f>
        <v>14000</v>
      </c>
      <c r="K444" s="3">
        <v>46153</v>
      </c>
      <c r="L444" s="3">
        <v>46165</v>
      </c>
      <c r="M444" s="1" t="s">
        <v>11358</v>
      </c>
      <c r="N444" s="1" t="s">
        <v>1156</v>
      </c>
    </row>
    <row r="445" spans="1:14" s="1" customFormat="1" x14ac:dyDescent="0.35">
      <c r="A445" s="1" t="s">
        <v>5171</v>
      </c>
      <c r="B445" s="1" t="s">
        <v>1152</v>
      </c>
      <c r="C445" s="1" t="s">
        <v>1153</v>
      </c>
      <c r="D445" s="1" t="s">
        <v>11357</v>
      </c>
      <c r="E445" s="1" t="str">
        <f>"7920"</f>
        <v>7920</v>
      </c>
      <c r="F445" s="1" t="s">
        <v>5382</v>
      </c>
      <c r="G445" s="1" t="s">
        <v>5381</v>
      </c>
      <c r="H445" s="1" t="s">
        <v>16</v>
      </c>
      <c r="I445" s="4" t="str">
        <f>"432"</f>
        <v>432</v>
      </c>
      <c r="J445" s="2" t="str">
        <f>"5"</f>
        <v>5</v>
      </c>
      <c r="K445" s="3">
        <v>46148</v>
      </c>
      <c r="L445" s="3">
        <v>46170</v>
      </c>
      <c r="M445" s="1" t="s">
        <v>11356</v>
      </c>
      <c r="N445" s="1" t="s">
        <v>1156</v>
      </c>
    </row>
    <row r="446" spans="1:14" s="1" customFormat="1" x14ac:dyDescent="0.35">
      <c r="A446" s="1" t="s">
        <v>5171</v>
      </c>
      <c r="B446" s="1" t="s">
        <v>1152</v>
      </c>
      <c r="C446" s="1" t="s">
        <v>1269</v>
      </c>
      <c r="D446" s="1" t="s">
        <v>11355</v>
      </c>
      <c r="E446" s="1" t="str">
        <f>"8415"</f>
        <v>8415</v>
      </c>
      <c r="F446" s="1" t="str">
        <f>"015428501"</f>
        <v>015428501</v>
      </c>
      <c r="G446" s="1" t="s">
        <v>2386</v>
      </c>
      <c r="H446" s="1" t="s">
        <v>16</v>
      </c>
      <c r="I446" s="4" t="str">
        <f>"1"</f>
        <v>1</v>
      </c>
      <c r="J446" s="2">
        <v>144.38</v>
      </c>
      <c r="K446" s="3">
        <v>46161</v>
      </c>
      <c r="L446" s="3">
        <v>46178</v>
      </c>
      <c r="M446" s="1" t="s">
        <v>11354</v>
      </c>
      <c r="N446" s="1" t="s">
        <v>11353</v>
      </c>
    </row>
    <row r="447" spans="1:14" s="1" customFormat="1" x14ac:dyDescent="0.35">
      <c r="A447" s="1" t="s">
        <v>5171</v>
      </c>
      <c r="B447" s="1" t="s">
        <v>1276</v>
      </c>
      <c r="C447" s="1" t="s">
        <v>1277</v>
      </c>
      <c r="D447" s="1" t="s">
        <v>11352</v>
      </c>
      <c r="E447" s="1" t="str">
        <f>"7025"</f>
        <v>7025</v>
      </c>
      <c r="F447" s="1" t="str">
        <f>"016551973"</f>
        <v>016551973</v>
      </c>
      <c r="G447" s="1" t="s">
        <v>5177</v>
      </c>
      <c r="H447" s="1" t="s">
        <v>16</v>
      </c>
      <c r="I447" s="4" t="str">
        <f>"1"</f>
        <v>1</v>
      </c>
      <c r="J447" s="2">
        <v>399.84</v>
      </c>
      <c r="K447" s="3">
        <v>46135</v>
      </c>
      <c r="L447" s="3">
        <v>46136</v>
      </c>
      <c r="M447" s="1" t="s">
        <v>11351</v>
      </c>
      <c r="N447" s="1" t="s">
        <v>11350</v>
      </c>
    </row>
    <row r="448" spans="1:14" s="1" customFormat="1" x14ac:dyDescent="0.35">
      <c r="A448" s="1" t="s">
        <v>5171</v>
      </c>
      <c r="B448" s="1" t="s">
        <v>1276</v>
      </c>
      <c r="C448" s="1" t="s">
        <v>1277</v>
      </c>
      <c r="D448" s="1" t="s">
        <v>11349</v>
      </c>
      <c r="E448" s="1" t="str">
        <f>"7025"</f>
        <v>7025</v>
      </c>
      <c r="F448" s="1" t="str">
        <f>"016551973"</f>
        <v>016551973</v>
      </c>
      <c r="G448" s="1" t="s">
        <v>5177</v>
      </c>
      <c r="H448" s="1" t="s">
        <v>16</v>
      </c>
      <c r="I448" s="4" t="str">
        <f>"3"</f>
        <v>3</v>
      </c>
      <c r="J448" s="2">
        <v>399.84</v>
      </c>
      <c r="K448" s="3">
        <v>46135</v>
      </c>
      <c r="L448" s="3">
        <v>46136</v>
      </c>
      <c r="M448" s="1" t="s">
        <v>5167</v>
      </c>
      <c r="N448" s="1" t="s">
        <v>11348</v>
      </c>
    </row>
    <row r="449" spans="1:14" s="1" customFormat="1" x14ac:dyDescent="0.35">
      <c r="A449" s="1" t="s">
        <v>5171</v>
      </c>
      <c r="B449" s="1" t="s">
        <v>1276</v>
      </c>
      <c r="C449" s="1" t="s">
        <v>1277</v>
      </c>
      <c r="D449" s="1" t="s">
        <v>11347</v>
      </c>
      <c r="E449" s="1" t="str">
        <f>"2320"</f>
        <v>2320</v>
      </c>
      <c r="F449" s="1" t="str">
        <f>"008925938"</f>
        <v>008925938</v>
      </c>
      <c r="G449" s="1" t="s">
        <v>271</v>
      </c>
      <c r="H449" s="1" t="s">
        <v>16</v>
      </c>
      <c r="I449" s="4" t="str">
        <f>"1"</f>
        <v>1</v>
      </c>
      <c r="J449" s="2" t="str">
        <f>"27290"</f>
        <v>27290</v>
      </c>
      <c r="K449" s="3">
        <v>46135</v>
      </c>
      <c r="L449" s="3">
        <v>46137</v>
      </c>
      <c r="M449" s="1" t="s">
        <v>11346</v>
      </c>
      <c r="N449" s="1" t="s">
        <v>11345</v>
      </c>
    </row>
    <row r="450" spans="1:14" s="1" customFormat="1" x14ac:dyDescent="0.35">
      <c r="A450" s="1" t="s">
        <v>5171</v>
      </c>
      <c r="B450" s="1" t="s">
        <v>1276</v>
      </c>
      <c r="C450" s="1" t="s">
        <v>1277</v>
      </c>
      <c r="D450" s="1" t="s">
        <v>11344</v>
      </c>
      <c r="E450" s="1" t="str">
        <f>"2340"</f>
        <v>2340</v>
      </c>
      <c r="F450" s="1" t="s">
        <v>84</v>
      </c>
      <c r="G450" s="1" t="s">
        <v>85</v>
      </c>
      <c r="H450" s="1" t="s">
        <v>16</v>
      </c>
      <c r="I450" s="4" t="str">
        <f>"1"</f>
        <v>1</v>
      </c>
      <c r="J450" s="2">
        <v>31905.14</v>
      </c>
      <c r="K450" s="3">
        <v>46139</v>
      </c>
      <c r="L450" s="3">
        <v>46143</v>
      </c>
      <c r="M450" s="1" t="s">
        <v>11343</v>
      </c>
      <c r="N450" s="1" t="s">
        <v>11340</v>
      </c>
    </row>
    <row r="451" spans="1:14" s="1" customFormat="1" x14ac:dyDescent="0.35">
      <c r="A451" s="1" t="s">
        <v>5171</v>
      </c>
      <c r="B451" s="1" t="s">
        <v>1276</v>
      </c>
      <c r="C451" s="1" t="s">
        <v>1277</v>
      </c>
      <c r="D451" s="1" t="s">
        <v>11342</v>
      </c>
      <c r="E451" s="1" t="str">
        <f>"2340"</f>
        <v>2340</v>
      </c>
      <c r="F451" s="1" t="s">
        <v>84</v>
      </c>
      <c r="G451" s="1" t="s">
        <v>85</v>
      </c>
      <c r="H451" s="1" t="s">
        <v>16</v>
      </c>
      <c r="I451" s="4" t="str">
        <f>"1"</f>
        <v>1</v>
      </c>
      <c r="J451" s="2">
        <v>31905.14</v>
      </c>
      <c r="K451" s="3">
        <v>46139</v>
      </c>
      <c r="L451" s="3">
        <v>46143</v>
      </c>
      <c r="M451" s="1" t="s">
        <v>11341</v>
      </c>
      <c r="N451" s="1" t="s">
        <v>11340</v>
      </c>
    </row>
    <row r="452" spans="1:14" s="1" customFormat="1" x14ac:dyDescent="0.35">
      <c r="A452" s="1" t="s">
        <v>5171</v>
      </c>
      <c r="B452" s="1" t="s">
        <v>1276</v>
      </c>
      <c r="C452" s="1" t="s">
        <v>1277</v>
      </c>
      <c r="D452" s="1" t="s">
        <v>11339</v>
      </c>
      <c r="E452" s="1" t="str">
        <f>"7025"</f>
        <v>7025</v>
      </c>
      <c r="F452" s="1" t="s">
        <v>8543</v>
      </c>
      <c r="G452" s="1" t="s">
        <v>8542</v>
      </c>
      <c r="H452" s="1" t="s">
        <v>16</v>
      </c>
      <c r="I452" s="4" t="str">
        <f>"8"</f>
        <v>8</v>
      </c>
      <c r="J452" s="2" t="str">
        <f>"1300"</f>
        <v>1300</v>
      </c>
      <c r="K452" s="3">
        <v>46148</v>
      </c>
      <c r="L452" s="3">
        <v>46148</v>
      </c>
      <c r="M452" s="1" t="s">
        <v>5167</v>
      </c>
      <c r="N452" s="1" t="s">
        <v>11338</v>
      </c>
    </row>
    <row r="453" spans="1:14" s="1" customFormat="1" x14ac:dyDescent="0.35">
      <c r="A453" s="1" t="s">
        <v>5171</v>
      </c>
      <c r="B453" s="1" t="s">
        <v>1276</v>
      </c>
      <c r="C453" s="1" t="s">
        <v>1277</v>
      </c>
      <c r="D453" s="1" t="s">
        <v>11337</v>
      </c>
      <c r="E453" s="1" t="str">
        <f>"7830"</f>
        <v>7830</v>
      </c>
      <c r="F453" s="1" t="s">
        <v>11336</v>
      </c>
      <c r="G453" s="1" t="s">
        <v>11335</v>
      </c>
      <c r="H453" s="1" t="s">
        <v>16</v>
      </c>
      <c r="I453" s="4" t="str">
        <f>"1"</f>
        <v>1</v>
      </c>
      <c r="J453" s="2">
        <v>3470.99</v>
      </c>
      <c r="K453" s="3">
        <v>46148</v>
      </c>
      <c r="L453" s="3">
        <v>46149</v>
      </c>
      <c r="M453" s="1" t="s">
        <v>5167</v>
      </c>
      <c r="N453" s="1" t="s">
        <v>11334</v>
      </c>
    </row>
    <row r="454" spans="1:14" s="1" customFormat="1" x14ac:dyDescent="0.35">
      <c r="A454" s="1" t="s">
        <v>5171</v>
      </c>
      <c r="B454" s="1" t="s">
        <v>1276</v>
      </c>
      <c r="C454" s="1" t="s">
        <v>1277</v>
      </c>
      <c r="D454" s="1" t="s">
        <v>11333</v>
      </c>
      <c r="E454" s="1" t="str">
        <f>"7830"</f>
        <v>7830</v>
      </c>
      <c r="F454" s="1" t="s">
        <v>1871</v>
      </c>
      <c r="G454" s="1" t="s">
        <v>1872</v>
      </c>
      <c r="H454" s="1" t="s">
        <v>16</v>
      </c>
      <c r="I454" s="4" t="str">
        <f>"2"</f>
        <v>2</v>
      </c>
      <c r="J454" s="2" t="str">
        <f>"2999"</f>
        <v>2999</v>
      </c>
      <c r="K454" s="3">
        <v>46149</v>
      </c>
      <c r="L454" s="3">
        <v>46150</v>
      </c>
      <c r="M454" s="1" t="s">
        <v>5167</v>
      </c>
      <c r="N454" s="1" t="s">
        <v>11330</v>
      </c>
    </row>
    <row r="455" spans="1:14" s="1" customFormat="1" x14ac:dyDescent="0.35">
      <c r="A455" s="1" t="s">
        <v>5171</v>
      </c>
      <c r="B455" s="1" t="s">
        <v>1276</v>
      </c>
      <c r="C455" s="1" t="s">
        <v>1277</v>
      </c>
      <c r="D455" s="1" t="s">
        <v>11332</v>
      </c>
      <c r="E455" s="1" t="str">
        <f>"7830"</f>
        <v>7830</v>
      </c>
      <c r="F455" s="1" t="s">
        <v>1871</v>
      </c>
      <c r="G455" s="1" t="s">
        <v>1872</v>
      </c>
      <c r="H455" s="1" t="s">
        <v>16</v>
      </c>
      <c r="I455" s="4" t="str">
        <f>"2"</f>
        <v>2</v>
      </c>
      <c r="J455" s="2" t="str">
        <f>"1478"</f>
        <v>1478</v>
      </c>
      <c r="K455" s="3">
        <v>46149</v>
      </c>
      <c r="L455" s="3">
        <v>46150</v>
      </c>
      <c r="M455" s="1" t="s">
        <v>5167</v>
      </c>
      <c r="N455" s="1" t="s">
        <v>11330</v>
      </c>
    </row>
    <row r="456" spans="1:14" s="1" customFormat="1" x14ac:dyDescent="0.35">
      <c r="A456" s="1" t="s">
        <v>5171</v>
      </c>
      <c r="B456" s="1" t="s">
        <v>1276</v>
      </c>
      <c r="C456" s="1" t="s">
        <v>1277</v>
      </c>
      <c r="D456" s="1" t="s">
        <v>11331</v>
      </c>
      <c r="E456" s="1" t="str">
        <f>"7830"</f>
        <v>7830</v>
      </c>
      <c r="F456" s="1" t="s">
        <v>1871</v>
      </c>
      <c r="G456" s="1" t="s">
        <v>1872</v>
      </c>
      <c r="H456" s="1" t="s">
        <v>16</v>
      </c>
      <c r="I456" s="4" t="str">
        <f>"2"</f>
        <v>2</v>
      </c>
      <c r="J456" s="2" t="str">
        <f>"839"</f>
        <v>839</v>
      </c>
      <c r="K456" s="3">
        <v>46149</v>
      </c>
      <c r="L456" s="3">
        <v>46150</v>
      </c>
      <c r="M456" s="1" t="s">
        <v>5167</v>
      </c>
      <c r="N456" s="1" t="s">
        <v>11330</v>
      </c>
    </row>
    <row r="457" spans="1:14" s="1" customFormat="1" x14ac:dyDescent="0.35">
      <c r="A457" s="1" t="s">
        <v>5171</v>
      </c>
      <c r="B457" s="1" t="s">
        <v>1276</v>
      </c>
      <c r="C457" s="1" t="s">
        <v>1277</v>
      </c>
      <c r="D457" s="1" t="s">
        <v>11329</v>
      </c>
      <c r="E457" s="1" t="str">
        <f>"7025"</f>
        <v>7025</v>
      </c>
      <c r="F457" s="1" t="s">
        <v>6675</v>
      </c>
      <c r="G457" s="1" t="s">
        <v>6674</v>
      </c>
      <c r="H457" s="1" t="s">
        <v>16</v>
      </c>
      <c r="I457" s="4" t="str">
        <f>"8"</f>
        <v>8</v>
      </c>
      <c r="J457" s="2">
        <v>274.07</v>
      </c>
      <c r="K457" s="3">
        <v>46155</v>
      </c>
      <c r="L457" s="3">
        <v>46155</v>
      </c>
      <c r="M457" s="1" t="s">
        <v>5167</v>
      </c>
      <c r="N457" s="1" t="s">
        <v>11328</v>
      </c>
    </row>
    <row r="458" spans="1:14" s="1" customFormat="1" x14ac:dyDescent="0.35">
      <c r="A458" s="1" t="s">
        <v>5171</v>
      </c>
      <c r="B458" s="1" t="s">
        <v>1276</v>
      </c>
      <c r="C458" s="1" t="s">
        <v>1277</v>
      </c>
      <c r="D458" s="1" t="s">
        <v>11327</v>
      </c>
      <c r="E458" s="1" t="str">
        <f>"4240"</f>
        <v>4240</v>
      </c>
      <c r="F458" s="1" t="str">
        <f>"015835742"</f>
        <v>015835742</v>
      </c>
      <c r="G458" s="1" t="s">
        <v>561</v>
      </c>
      <c r="H458" s="1" t="s">
        <v>16</v>
      </c>
      <c r="I458" s="4" t="str">
        <f>"16"</f>
        <v>16</v>
      </c>
      <c r="J458" s="2">
        <v>63.41</v>
      </c>
      <c r="K458" s="3">
        <v>46148</v>
      </c>
      <c r="L458" s="3">
        <v>46156</v>
      </c>
      <c r="M458" s="1" t="s">
        <v>11326</v>
      </c>
      <c r="N458" s="1" t="s">
        <v>11325</v>
      </c>
    </row>
    <row r="459" spans="1:14" s="1" customFormat="1" x14ac:dyDescent="0.35">
      <c r="A459" s="1" t="s">
        <v>5216</v>
      </c>
      <c r="B459" s="1" t="s">
        <v>1276</v>
      </c>
      <c r="C459" s="1" t="s">
        <v>1277</v>
      </c>
      <c r="D459" s="1" t="s">
        <v>11324</v>
      </c>
      <c r="E459" s="1" t="str">
        <f>"7025"</f>
        <v>7025</v>
      </c>
      <c r="F459" s="1" t="s">
        <v>11323</v>
      </c>
      <c r="G459" s="1" t="s">
        <v>11322</v>
      </c>
      <c r="H459" s="1" t="s">
        <v>458</v>
      </c>
      <c r="I459" s="4" t="str">
        <f>"3"</f>
        <v>3</v>
      </c>
      <c r="J459" s="2" t="str">
        <f>"100"</f>
        <v>100</v>
      </c>
      <c r="K459" s="3">
        <v>46153</v>
      </c>
      <c r="L459" s="3">
        <v>46164</v>
      </c>
      <c r="M459" s="1" t="s">
        <v>11321</v>
      </c>
      <c r="N459" s="1" t="s">
        <v>11320</v>
      </c>
    </row>
    <row r="460" spans="1:14" s="1" customFormat="1" x14ac:dyDescent="0.35">
      <c r="A460" s="1" t="s">
        <v>5171</v>
      </c>
      <c r="B460" s="1" t="s">
        <v>1276</v>
      </c>
      <c r="C460" s="1" t="s">
        <v>1277</v>
      </c>
      <c r="D460" s="1" t="s">
        <v>11319</v>
      </c>
      <c r="E460" s="1" t="str">
        <f>"2330"</f>
        <v>2330</v>
      </c>
      <c r="F460" s="1" t="s">
        <v>70</v>
      </c>
      <c r="G460" s="1" t="s">
        <v>71</v>
      </c>
      <c r="H460" s="1" t="s">
        <v>16</v>
      </c>
      <c r="I460" s="4" t="str">
        <f>"1"</f>
        <v>1</v>
      </c>
      <c r="J460" s="2" t="str">
        <f>"14000"</f>
        <v>14000</v>
      </c>
      <c r="K460" s="3">
        <v>46153</v>
      </c>
      <c r="L460" s="3">
        <v>46165</v>
      </c>
      <c r="M460" s="1" t="s">
        <v>11318</v>
      </c>
      <c r="N460" s="1" t="s">
        <v>11317</v>
      </c>
    </row>
    <row r="461" spans="1:14" s="1" customFormat="1" x14ac:dyDescent="0.35">
      <c r="A461" s="1" t="s">
        <v>5171</v>
      </c>
      <c r="B461" s="1" t="s">
        <v>1276</v>
      </c>
      <c r="C461" s="1" t="s">
        <v>1277</v>
      </c>
      <c r="D461" s="1" t="s">
        <v>11316</v>
      </c>
      <c r="E461" s="1" t="str">
        <f>"5836"</f>
        <v>5836</v>
      </c>
      <c r="F461" s="1" t="s">
        <v>8456</v>
      </c>
      <c r="G461" s="1" t="s">
        <v>8455</v>
      </c>
      <c r="H461" s="1" t="s">
        <v>16</v>
      </c>
      <c r="I461" s="4" t="str">
        <f>"1"</f>
        <v>1</v>
      </c>
      <c r="J461" s="2" t="str">
        <f>"2647"</f>
        <v>2647</v>
      </c>
      <c r="K461" s="3">
        <v>46167</v>
      </c>
      <c r="L461" s="3">
        <v>46171</v>
      </c>
      <c r="M461" s="1" t="s">
        <v>11315</v>
      </c>
      <c r="N461" s="1" t="s">
        <v>11288</v>
      </c>
    </row>
    <row r="462" spans="1:14" s="1" customFormat="1" x14ac:dyDescent="0.35">
      <c r="A462" s="1" t="s">
        <v>5171</v>
      </c>
      <c r="B462" s="1" t="s">
        <v>1276</v>
      </c>
      <c r="C462" s="1" t="s">
        <v>1277</v>
      </c>
      <c r="D462" s="1" t="s">
        <v>11314</v>
      </c>
      <c r="E462" s="1" t="str">
        <f>"5836"</f>
        <v>5836</v>
      </c>
      <c r="F462" s="1" t="s">
        <v>8456</v>
      </c>
      <c r="G462" s="1" t="s">
        <v>8455</v>
      </c>
      <c r="H462" s="1" t="s">
        <v>16</v>
      </c>
      <c r="I462" s="4" t="str">
        <f>"1"</f>
        <v>1</v>
      </c>
      <c r="J462" s="2" t="str">
        <f>"2647"</f>
        <v>2647</v>
      </c>
      <c r="K462" s="3">
        <v>46167</v>
      </c>
      <c r="L462" s="3">
        <v>46171</v>
      </c>
      <c r="M462" s="1" t="s">
        <v>11313</v>
      </c>
      <c r="N462" s="1" t="s">
        <v>11288</v>
      </c>
    </row>
    <row r="463" spans="1:14" s="1" customFormat="1" x14ac:dyDescent="0.35">
      <c r="A463" s="1" t="s">
        <v>5171</v>
      </c>
      <c r="B463" s="1" t="s">
        <v>1276</v>
      </c>
      <c r="C463" s="1" t="s">
        <v>1277</v>
      </c>
      <c r="D463" s="1" t="s">
        <v>11312</v>
      </c>
      <c r="E463" s="1" t="str">
        <f>"5836"</f>
        <v>5836</v>
      </c>
      <c r="F463" s="1" t="s">
        <v>8456</v>
      </c>
      <c r="G463" s="1" t="s">
        <v>8455</v>
      </c>
      <c r="H463" s="1" t="s">
        <v>16</v>
      </c>
      <c r="I463" s="4" t="str">
        <f>"1"</f>
        <v>1</v>
      </c>
      <c r="J463" s="2" t="str">
        <f>"2647"</f>
        <v>2647</v>
      </c>
      <c r="K463" s="3">
        <v>46167</v>
      </c>
      <c r="L463" s="3">
        <v>46171</v>
      </c>
      <c r="M463" s="1" t="s">
        <v>11311</v>
      </c>
      <c r="N463" s="1" t="s">
        <v>11288</v>
      </c>
    </row>
    <row r="464" spans="1:14" s="1" customFormat="1" x14ac:dyDescent="0.35">
      <c r="A464" s="1" t="s">
        <v>5171</v>
      </c>
      <c r="B464" s="1" t="s">
        <v>1276</v>
      </c>
      <c r="C464" s="1" t="s">
        <v>1277</v>
      </c>
      <c r="D464" s="1" t="s">
        <v>11310</v>
      </c>
      <c r="E464" s="1" t="str">
        <f>"5836"</f>
        <v>5836</v>
      </c>
      <c r="F464" s="1" t="s">
        <v>8456</v>
      </c>
      <c r="G464" s="1" t="s">
        <v>8455</v>
      </c>
      <c r="H464" s="1" t="s">
        <v>16</v>
      </c>
      <c r="I464" s="4" t="str">
        <f>"1"</f>
        <v>1</v>
      </c>
      <c r="J464" s="2" t="str">
        <f>"2647"</f>
        <v>2647</v>
      </c>
      <c r="K464" s="3">
        <v>46167</v>
      </c>
      <c r="L464" s="3">
        <v>46171</v>
      </c>
      <c r="M464" s="1" t="s">
        <v>11309</v>
      </c>
      <c r="N464" s="1" t="s">
        <v>11288</v>
      </c>
    </row>
    <row r="465" spans="1:14" s="1" customFormat="1" x14ac:dyDescent="0.35">
      <c r="A465" s="1" t="s">
        <v>5171</v>
      </c>
      <c r="B465" s="1" t="s">
        <v>1276</v>
      </c>
      <c r="C465" s="1" t="s">
        <v>1277</v>
      </c>
      <c r="D465" s="1" t="s">
        <v>11308</v>
      </c>
      <c r="E465" s="1" t="str">
        <f>"5836"</f>
        <v>5836</v>
      </c>
      <c r="F465" s="1" t="s">
        <v>8456</v>
      </c>
      <c r="G465" s="1" t="s">
        <v>8455</v>
      </c>
      <c r="H465" s="1" t="s">
        <v>16</v>
      </c>
      <c r="I465" s="4" t="str">
        <f>"1"</f>
        <v>1</v>
      </c>
      <c r="J465" s="2" t="str">
        <f>"2647"</f>
        <v>2647</v>
      </c>
      <c r="K465" s="3">
        <v>46167</v>
      </c>
      <c r="L465" s="3">
        <v>46171</v>
      </c>
      <c r="M465" s="1" t="s">
        <v>11307</v>
      </c>
      <c r="N465" s="1" t="s">
        <v>11288</v>
      </c>
    </row>
    <row r="466" spans="1:14" s="1" customFormat="1" x14ac:dyDescent="0.35">
      <c r="A466" s="1" t="s">
        <v>5171</v>
      </c>
      <c r="B466" s="1" t="s">
        <v>1276</v>
      </c>
      <c r="C466" s="1" t="s">
        <v>1277</v>
      </c>
      <c r="D466" s="1" t="s">
        <v>11306</v>
      </c>
      <c r="E466" s="1" t="str">
        <f>"5836"</f>
        <v>5836</v>
      </c>
      <c r="F466" s="1" t="s">
        <v>8456</v>
      </c>
      <c r="G466" s="1" t="s">
        <v>8455</v>
      </c>
      <c r="H466" s="1" t="s">
        <v>16</v>
      </c>
      <c r="I466" s="4" t="str">
        <f>"1"</f>
        <v>1</v>
      </c>
      <c r="J466" s="2" t="str">
        <f>"2647"</f>
        <v>2647</v>
      </c>
      <c r="K466" s="3">
        <v>46167</v>
      </c>
      <c r="L466" s="3">
        <v>46171</v>
      </c>
      <c r="M466" s="1" t="s">
        <v>11305</v>
      </c>
      <c r="N466" s="1" t="s">
        <v>11288</v>
      </c>
    </row>
    <row r="467" spans="1:14" s="1" customFormat="1" x14ac:dyDescent="0.35">
      <c r="A467" s="1" t="s">
        <v>5171</v>
      </c>
      <c r="B467" s="1" t="s">
        <v>1276</v>
      </c>
      <c r="C467" s="1" t="s">
        <v>1277</v>
      </c>
      <c r="D467" s="1" t="s">
        <v>11304</v>
      </c>
      <c r="E467" s="1" t="str">
        <f>"6515"</f>
        <v>6515</v>
      </c>
      <c r="F467" s="1" t="s">
        <v>11135</v>
      </c>
      <c r="G467" s="1" t="s">
        <v>298</v>
      </c>
      <c r="H467" s="1" t="s">
        <v>352</v>
      </c>
      <c r="I467" s="4" t="str">
        <f>"20"</f>
        <v>20</v>
      </c>
      <c r="J467" s="2" t="str">
        <f>"25"</f>
        <v>25</v>
      </c>
      <c r="K467" s="3">
        <v>46167</v>
      </c>
      <c r="L467" s="3">
        <v>46172</v>
      </c>
      <c r="M467" s="1" t="s">
        <v>11303</v>
      </c>
      <c r="N467" s="1" t="s">
        <v>11302</v>
      </c>
    </row>
    <row r="468" spans="1:14" s="1" customFormat="1" x14ac:dyDescent="0.35">
      <c r="A468" s="1" t="s">
        <v>5171</v>
      </c>
      <c r="B468" s="1" t="s">
        <v>1276</v>
      </c>
      <c r="C468" s="1" t="s">
        <v>1277</v>
      </c>
      <c r="D468" s="1" t="s">
        <v>11301</v>
      </c>
      <c r="E468" s="1" t="str">
        <f>"6130"</f>
        <v>6130</v>
      </c>
      <c r="F468" s="1" t="str">
        <f>"015422171"</f>
        <v>015422171</v>
      </c>
      <c r="G468" s="1" t="s">
        <v>227</v>
      </c>
      <c r="H468" s="1" t="s">
        <v>16</v>
      </c>
      <c r="I468" s="4" t="str">
        <f>"1"</f>
        <v>1</v>
      </c>
      <c r="J468" s="2">
        <v>153.9</v>
      </c>
      <c r="K468" s="3">
        <v>46135</v>
      </c>
      <c r="L468" s="3">
        <v>46174</v>
      </c>
      <c r="M468" s="1" t="s">
        <v>11300</v>
      </c>
      <c r="N468" s="1" t="s">
        <v>11297</v>
      </c>
    </row>
    <row r="469" spans="1:14" s="1" customFormat="1" x14ac:dyDescent="0.35">
      <c r="A469" s="1" t="s">
        <v>5171</v>
      </c>
      <c r="B469" s="1" t="s">
        <v>1276</v>
      </c>
      <c r="C469" s="1" t="s">
        <v>1277</v>
      </c>
      <c r="D469" s="1" t="s">
        <v>11299</v>
      </c>
      <c r="E469" s="1" t="str">
        <f>"6130"</f>
        <v>6130</v>
      </c>
      <c r="F469" s="1" t="str">
        <f>"015422171"</f>
        <v>015422171</v>
      </c>
      <c r="G469" s="1" t="s">
        <v>227</v>
      </c>
      <c r="H469" s="1" t="s">
        <v>16</v>
      </c>
      <c r="I469" s="4" t="str">
        <f>"1"</f>
        <v>1</v>
      </c>
      <c r="J469" s="2">
        <v>153.9</v>
      </c>
      <c r="K469" s="3">
        <v>46135</v>
      </c>
      <c r="L469" s="3">
        <v>46175</v>
      </c>
      <c r="M469" s="1" t="s">
        <v>11298</v>
      </c>
      <c r="N469" s="1" t="s">
        <v>11297</v>
      </c>
    </row>
    <row r="470" spans="1:14" s="1" customFormat="1" x14ac:dyDescent="0.35">
      <c r="A470" s="1" t="s">
        <v>5171</v>
      </c>
      <c r="B470" s="1" t="s">
        <v>1276</v>
      </c>
      <c r="C470" s="1" t="s">
        <v>1277</v>
      </c>
      <c r="D470" s="1" t="s">
        <v>11296</v>
      </c>
      <c r="E470" s="1" t="str">
        <f>"6720"</f>
        <v>6720</v>
      </c>
      <c r="F470" s="1" t="s">
        <v>2250</v>
      </c>
      <c r="G470" s="1" t="s">
        <v>2251</v>
      </c>
      <c r="H470" s="1" t="s">
        <v>16</v>
      </c>
      <c r="I470" s="4" t="str">
        <f>"1"</f>
        <v>1</v>
      </c>
      <c r="J470" s="2" t="str">
        <f>"2597"</f>
        <v>2597</v>
      </c>
      <c r="K470" s="3">
        <v>46173</v>
      </c>
      <c r="L470" s="3">
        <v>46175</v>
      </c>
      <c r="M470" s="1" t="s">
        <v>5167</v>
      </c>
      <c r="N470" s="1" t="s">
        <v>11295</v>
      </c>
    </row>
    <row r="471" spans="1:14" s="1" customFormat="1" x14ac:dyDescent="0.35">
      <c r="A471" s="1" t="s">
        <v>5171</v>
      </c>
      <c r="B471" s="1" t="s">
        <v>1276</v>
      </c>
      <c r="C471" s="1" t="s">
        <v>1277</v>
      </c>
      <c r="D471" s="1" t="s">
        <v>11294</v>
      </c>
      <c r="E471" s="1" t="str">
        <f>"3990"</f>
        <v>3990</v>
      </c>
      <c r="F471" s="1" t="str">
        <f>"016884520"</f>
        <v>016884520</v>
      </c>
      <c r="G471" s="1" t="s">
        <v>7466</v>
      </c>
      <c r="H471" s="1" t="s">
        <v>16</v>
      </c>
      <c r="I471" s="4" t="str">
        <f>"28"</f>
        <v>28</v>
      </c>
      <c r="J471" s="2">
        <v>22.24</v>
      </c>
      <c r="K471" s="3">
        <v>46175</v>
      </c>
      <c r="L471" s="3">
        <v>46176</v>
      </c>
      <c r="M471" s="1" t="s">
        <v>5167</v>
      </c>
      <c r="N471" s="1" t="s">
        <v>11293</v>
      </c>
    </row>
    <row r="472" spans="1:14" s="1" customFormat="1" x14ac:dyDescent="0.35">
      <c r="A472" s="1" t="s">
        <v>5171</v>
      </c>
      <c r="B472" s="1" t="s">
        <v>1276</v>
      </c>
      <c r="C472" s="1" t="s">
        <v>1277</v>
      </c>
      <c r="D472" s="1" t="s">
        <v>11292</v>
      </c>
      <c r="E472" s="1" t="str">
        <f>"5836"</f>
        <v>5836</v>
      </c>
      <c r="F472" s="1" t="s">
        <v>8456</v>
      </c>
      <c r="G472" s="1" t="s">
        <v>8455</v>
      </c>
      <c r="H472" s="1" t="s">
        <v>16</v>
      </c>
      <c r="I472" s="4" t="str">
        <f>"1"</f>
        <v>1</v>
      </c>
      <c r="J472" s="2" t="str">
        <f>"2647"</f>
        <v>2647</v>
      </c>
      <c r="K472" s="3">
        <v>46167</v>
      </c>
      <c r="L472" s="3">
        <v>46178</v>
      </c>
      <c r="M472" s="1" t="s">
        <v>11291</v>
      </c>
      <c r="N472" s="1" t="s">
        <v>11288</v>
      </c>
    </row>
    <row r="473" spans="1:14" s="1" customFormat="1" x14ac:dyDescent="0.35">
      <c r="A473" s="1" t="s">
        <v>5171</v>
      </c>
      <c r="B473" s="1" t="s">
        <v>1276</v>
      </c>
      <c r="C473" s="1" t="s">
        <v>1277</v>
      </c>
      <c r="D473" s="1" t="s">
        <v>11290</v>
      </c>
      <c r="E473" s="1" t="str">
        <f>"5836"</f>
        <v>5836</v>
      </c>
      <c r="F473" s="1" t="s">
        <v>8456</v>
      </c>
      <c r="G473" s="1" t="s">
        <v>8455</v>
      </c>
      <c r="H473" s="1" t="s">
        <v>16</v>
      </c>
      <c r="I473" s="4" t="str">
        <f>"1"</f>
        <v>1</v>
      </c>
      <c r="J473" s="2" t="str">
        <f>"2647"</f>
        <v>2647</v>
      </c>
      <c r="K473" s="3">
        <v>46167</v>
      </c>
      <c r="L473" s="3">
        <v>46178</v>
      </c>
      <c r="M473" s="1" t="s">
        <v>11289</v>
      </c>
      <c r="N473" s="1" t="s">
        <v>11288</v>
      </c>
    </row>
    <row r="474" spans="1:14" s="1" customFormat="1" x14ac:dyDescent="0.35">
      <c r="A474" s="1" t="s">
        <v>5171</v>
      </c>
      <c r="B474" s="1" t="s">
        <v>1276</v>
      </c>
      <c r="C474" s="1" t="s">
        <v>1277</v>
      </c>
      <c r="D474" s="1" t="s">
        <v>11287</v>
      </c>
      <c r="E474" s="1" t="str">
        <f>"6230"</f>
        <v>6230</v>
      </c>
      <c r="F474" s="1" t="str">
        <f>"015308890"</f>
        <v>015308890</v>
      </c>
      <c r="G474" s="1" t="s">
        <v>3215</v>
      </c>
      <c r="H474" s="1" t="s">
        <v>16</v>
      </c>
      <c r="I474" s="4" t="str">
        <f>"1"</f>
        <v>1</v>
      </c>
      <c r="J474" s="2" t="str">
        <f>"12000"</f>
        <v>12000</v>
      </c>
      <c r="K474" s="3">
        <v>46149</v>
      </c>
      <c r="L474" s="3">
        <v>46185</v>
      </c>
      <c r="M474" s="1" t="s">
        <v>11286</v>
      </c>
      <c r="N474" s="1" t="s">
        <v>11283</v>
      </c>
    </row>
    <row r="475" spans="1:14" s="1" customFormat="1" x14ac:dyDescent="0.35">
      <c r="A475" s="1" t="s">
        <v>5171</v>
      </c>
      <c r="B475" s="1" t="s">
        <v>1276</v>
      </c>
      <c r="C475" s="1" t="s">
        <v>1277</v>
      </c>
      <c r="D475" s="1" t="s">
        <v>11285</v>
      </c>
      <c r="E475" s="1" t="str">
        <f>"6230"</f>
        <v>6230</v>
      </c>
      <c r="F475" s="1" t="str">
        <f>"016422435"</f>
        <v>016422435</v>
      </c>
      <c r="G475" s="1" t="s">
        <v>8277</v>
      </c>
      <c r="H475" s="1" t="s">
        <v>16</v>
      </c>
      <c r="I475" s="4" t="str">
        <f>"1"</f>
        <v>1</v>
      </c>
      <c r="J475" s="2">
        <v>19359.59</v>
      </c>
      <c r="K475" s="3">
        <v>46149</v>
      </c>
      <c r="L475" s="3">
        <v>46185</v>
      </c>
      <c r="M475" s="1" t="s">
        <v>11284</v>
      </c>
      <c r="N475" s="1" t="s">
        <v>11283</v>
      </c>
    </row>
    <row r="476" spans="1:14" s="1" customFormat="1" x14ac:dyDescent="0.35">
      <c r="A476" s="1" t="s">
        <v>5171</v>
      </c>
      <c r="B476" s="1" t="s">
        <v>1276</v>
      </c>
      <c r="C476" s="1" t="s">
        <v>1277</v>
      </c>
      <c r="D476" s="1" t="s">
        <v>11282</v>
      </c>
      <c r="E476" s="1" t="str">
        <f>"2340"</f>
        <v>2340</v>
      </c>
      <c r="F476" s="1" t="s">
        <v>535</v>
      </c>
      <c r="G476" s="1" t="s">
        <v>536</v>
      </c>
      <c r="H476" s="1" t="s">
        <v>16</v>
      </c>
      <c r="I476" s="4" t="str">
        <f>"1"</f>
        <v>1</v>
      </c>
      <c r="J476" s="2" t="str">
        <f>"25000"</f>
        <v>25000</v>
      </c>
      <c r="K476" s="3">
        <v>46180</v>
      </c>
      <c r="L476" s="3">
        <v>46185</v>
      </c>
      <c r="M476" s="1" t="s">
        <v>5167</v>
      </c>
      <c r="N476" s="1" t="s">
        <v>11281</v>
      </c>
    </row>
    <row r="477" spans="1:14" s="1" customFormat="1" x14ac:dyDescent="0.35">
      <c r="A477" s="1" t="s">
        <v>5171</v>
      </c>
      <c r="B477" s="1" t="s">
        <v>1276</v>
      </c>
      <c r="C477" s="1" t="s">
        <v>1277</v>
      </c>
      <c r="D477" s="1" t="s">
        <v>11280</v>
      </c>
      <c r="E477" s="1" t="str">
        <f>"6230"</f>
        <v>6230</v>
      </c>
      <c r="F477" s="1" t="str">
        <f>"015512664"</f>
        <v>015512664</v>
      </c>
      <c r="G477" s="1" t="s">
        <v>8277</v>
      </c>
      <c r="H477" s="1" t="s">
        <v>16</v>
      </c>
      <c r="I477" s="4" t="str">
        <f>"2"</f>
        <v>2</v>
      </c>
      <c r="J477" s="2" t="str">
        <f>"24930"</f>
        <v>24930</v>
      </c>
      <c r="K477" s="3">
        <v>46169</v>
      </c>
      <c r="L477" s="3">
        <v>46189</v>
      </c>
      <c r="M477" s="1" t="s">
        <v>11279</v>
      </c>
      <c r="N477" s="1" t="s">
        <v>11278</v>
      </c>
    </row>
    <row r="478" spans="1:14" s="1" customFormat="1" x14ac:dyDescent="0.35">
      <c r="A478" s="1" t="s">
        <v>5171</v>
      </c>
      <c r="B478" s="1" t="s">
        <v>1276</v>
      </c>
      <c r="C478" s="1" t="s">
        <v>1277</v>
      </c>
      <c r="D478" s="1" t="s">
        <v>11277</v>
      </c>
      <c r="E478" s="1" t="str">
        <f>"3990"</f>
        <v>3990</v>
      </c>
      <c r="F478" s="1" t="str">
        <f>"016884520"</f>
        <v>016884520</v>
      </c>
      <c r="G478" s="1" t="s">
        <v>7466</v>
      </c>
      <c r="H478" s="1" t="s">
        <v>16</v>
      </c>
      <c r="I478" s="4" t="str">
        <f>"50"</f>
        <v>50</v>
      </c>
      <c r="J478" s="2">
        <v>22.24</v>
      </c>
      <c r="K478" s="3">
        <v>46186</v>
      </c>
      <c r="L478" s="3">
        <v>46192</v>
      </c>
      <c r="M478" s="1" t="s">
        <v>5167</v>
      </c>
      <c r="N478" s="1" t="s">
        <v>11276</v>
      </c>
    </row>
    <row r="479" spans="1:14" s="1" customFormat="1" x14ac:dyDescent="0.35">
      <c r="A479" s="1" t="s">
        <v>0</v>
      </c>
      <c r="B479" s="1" t="s">
        <v>1276</v>
      </c>
      <c r="C479" s="1" t="s">
        <v>1277</v>
      </c>
      <c r="D479" s="1" t="s">
        <v>11275</v>
      </c>
      <c r="E479" s="1" t="str">
        <f>"8420"</f>
        <v>8420</v>
      </c>
      <c r="F479" s="1" t="str">
        <f>"015401759"</f>
        <v>015401759</v>
      </c>
      <c r="G479" s="1" t="s">
        <v>11269</v>
      </c>
      <c r="H479" s="1" t="s">
        <v>16</v>
      </c>
      <c r="I479" s="4" t="str">
        <f>"100"</f>
        <v>100</v>
      </c>
      <c r="J479" s="2">
        <v>3.29</v>
      </c>
      <c r="K479" s="3">
        <v>46186</v>
      </c>
      <c r="L479" s="3">
        <v>46196</v>
      </c>
      <c r="M479" s="1" t="s">
        <v>11268</v>
      </c>
      <c r="N479" s="1" t="s">
        <v>11274</v>
      </c>
    </row>
    <row r="480" spans="1:14" s="1" customFormat="1" x14ac:dyDescent="0.35">
      <c r="A480" s="1" t="s">
        <v>0</v>
      </c>
      <c r="B480" s="1" t="s">
        <v>1276</v>
      </c>
      <c r="C480" s="1" t="s">
        <v>1277</v>
      </c>
      <c r="D480" s="1" t="s">
        <v>11273</v>
      </c>
      <c r="E480" s="1" t="str">
        <f>"8420"</f>
        <v>8420</v>
      </c>
      <c r="F480" s="1" t="str">
        <f>"015401761"</f>
        <v>015401761</v>
      </c>
      <c r="G480" s="1" t="s">
        <v>11269</v>
      </c>
      <c r="H480" s="1" t="s">
        <v>16</v>
      </c>
      <c r="I480" s="4" t="str">
        <f>"100"</f>
        <v>100</v>
      </c>
      <c r="J480" s="2">
        <v>3.29</v>
      </c>
      <c r="K480" s="3">
        <v>46186</v>
      </c>
      <c r="L480" s="3">
        <v>46196</v>
      </c>
      <c r="M480" s="1" t="s">
        <v>11272</v>
      </c>
      <c r="N480" s="1" t="s">
        <v>11271</v>
      </c>
    </row>
    <row r="481" spans="1:14" s="1" customFormat="1" x14ac:dyDescent="0.35">
      <c r="A481" s="1" t="s">
        <v>0</v>
      </c>
      <c r="B481" s="1" t="s">
        <v>1276</v>
      </c>
      <c r="C481" s="1" t="s">
        <v>1277</v>
      </c>
      <c r="D481" s="1" t="s">
        <v>11270</v>
      </c>
      <c r="E481" s="1" t="str">
        <f>"8420"</f>
        <v>8420</v>
      </c>
      <c r="F481" s="1" t="str">
        <f>"015401758"</f>
        <v>015401758</v>
      </c>
      <c r="G481" s="1" t="s">
        <v>11269</v>
      </c>
      <c r="H481" s="1" t="s">
        <v>16</v>
      </c>
      <c r="I481" s="4" t="str">
        <f>"100"</f>
        <v>100</v>
      </c>
      <c r="J481" s="2">
        <v>3.29</v>
      </c>
      <c r="K481" s="3">
        <v>46186</v>
      </c>
      <c r="L481" s="3">
        <v>46196</v>
      </c>
      <c r="M481" s="1" t="s">
        <v>11268</v>
      </c>
      <c r="N481" s="1" t="s">
        <v>11267</v>
      </c>
    </row>
    <row r="482" spans="1:14" s="1" customFormat="1" x14ac:dyDescent="0.35">
      <c r="A482" s="1" t="s">
        <v>5171</v>
      </c>
      <c r="B482" s="1" t="s">
        <v>1276</v>
      </c>
      <c r="C482" s="1" t="s">
        <v>1277</v>
      </c>
      <c r="D482" s="1" t="s">
        <v>11266</v>
      </c>
      <c r="E482" s="1" t="str">
        <f>"2340"</f>
        <v>2340</v>
      </c>
      <c r="F482" s="1" t="str">
        <f>"015135988"</f>
        <v>015135988</v>
      </c>
      <c r="G482" s="1" t="s">
        <v>1435</v>
      </c>
      <c r="H482" s="1" t="s">
        <v>16</v>
      </c>
      <c r="I482" s="4" t="str">
        <f>"2"</f>
        <v>2</v>
      </c>
      <c r="J482" s="2" t="str">
        <f>"13259"</f>
        <v>13259</v>
      </c>
      <c r="K482" s="3">
        <v>46155</v>
      </c>
      <c r="L482" s="3">
        <v>46197</v>
      </c>
      <c r="M482" s="1" t="s">
        <v>11265</v>
      </c>
      <c r="N482" s="1" t="s">
        <v>11264</v>
      </c>
    </row>
    <row r="483" spans="1:14" s="1" customFormat="1" x14ac:dyDescent="0.35">
      <c r="A483" s="1" t="s">
        <v>5171</v>
      </c>
      <c r="B483" s="1" t="s">
        <v>1306</v>
      </c>
      <c r="C483" s="1" t="s">
        <v>1364</v>
      </c>
      <c r="D483" s="1" t="s">
        <v>11263</v>
      </c>
      <c r="E483" s="1" t="str">
        <f>"5855"</f>
        <v>5855</v>
      </c>
      <c r="F483" s="1" t="str">
        <f>"015345931"</f>
        <v>015345931</v>
      </c>
      <c r="G483" s="1" t="s">
        <v>1379</v>
      </c>
      <c r="H483" s="1" t="s">
        <v>16</v>
      </c>
      <c r="I483" s="4" t="str">
        <f>"21"</f>
        <v>21</v>
      </c>
      <c r="J483" s="2" t="str">
        <f>"970"</f>
        <v>970</v>
      </c>
      <c r="K483" s="3">
        <v>46107</v>
      </c>
      <c r="L483" s="3">
        <v>46118</v>
      </c>
      <c r="M483" s="1" t="s">
        <v>11262</v>
      </c>
      <c r="N483" s="1" t="s">
        <v>1384</v>
      </c>
    </row>
    <row r="484" spans="1:14" s="1" customFormat="1" x14ac:dyDescent="0.35">
      <c r="A484" s="1" t="s">
        <v>5171</v>
      </c>
      <c r="B484" s="1" t="s">
        <v>1306</v>
      </c>
      <c r="C484" s="1" t="s">
        <v>1344</v>
      </c>
      <c r="D484" s="1" t="s">
        <v>11261</v>
      </c>
      <c r="E484" s="1" t="str">
        <f>"2320"</f>
        <v>2320</v>
      </c>
      <c r="F484" s="1" t="s">
        <v>975</v>
      </c>
      <c r="G484" s="1" t="s">
        <v>976</v>
      </c>
      <c r="H484" s="1" t="s">
        <v>16</v>
      </c>
      <c r="I484" s="4" t="str">
        <f>"1"</f>
        <v>1</v>
      </c>
      <c r="J484" s="2" t="str">
        <f>"51065"</f>
        <v>51065</v>
      </c>
      <c r="K484" s="3">
        <v>46098</v>
      </c>
      <c r="L484" s="3">
        <v>46121</v>
      </c>
      <c r="M484" s="1" t="s">
        <v>11260</v>
      </c>
      <c r="N484" s="1" t="s">
        <v>11259</v>
      </c>
    </row>
    <row r="485" spans="1:14" s="1" customFormat="1" x14ac:dyDescent="0.35">
      <c r="A485" s="1" t="s">
        <v>5171</v>
      </c>
      <c r="B485" s="1" t="s">
        <v>1306</v>
      </c>
      <c r="C485" s="1" t="s">
        <v>1364</v>
      </c>
      <c r="D485" s="1" t="s">
        <v>11258</v>
      </c>
      <c r="E485" s="1" t="str">
        <f>"5855"</f>
        <v>5855</v>
      </c>
      <c r="F485" s="1" t="str">
        <f>"015345931"</f>
        <v>015345931</v>
      </c>
      <c r="G485" s="1" t="s">
        <v>1379</v>
      </c>
      <c r="H485" s="1" t="s">
        <v>16</v>
      </c>
      <c r="I485" s="4" t="str">
        <f>"14"</f>
        <v>14</v>
      </c>
      <c r="J485" s="2" t="str">
        <f>"970"</f>
        <v>970</v>
      </c>
      <c r="K485" s="3">
        <v>46118</v>
      </c>
      <c r="L485" s="3">
        <v>46121</v>
      </c>
      <c r="M485" s="1" t="s">
        <v>11257</v>
      </c>
      <c r="N485" s="1" t="s">
        <v>1367</v>
      </c>
    </row>
    <row r="486" spans="1:14" s="1" customFormat="1" x14ac:dyDescent="0.35">
      <c r="A486" s="1" t="s">
        <v>5171</v>
      </c>
      <c r="B486" s="1" t="s">
        <v>1306</v>
      </c>
      <c r="C486" s="1" t="s">
        <v>11256</v>
      </c>
      <c r="D486" s="1" t="s">
        <v>11255</v>
      </c>
      <c r="E486" s="1" t="str">
        <f>"5855"</f>
        <v>5855</v>
      </c>
      <c r="F486" s="1" t="str">
        <f>"015345931"</f>
        <v>015345931</v>
      </c>
      <c r="G486" s="1" t="s">
        <v>1379</v>
      </c>
      <c r="H486" s="1" t="s">
        <v>16</v>
      </c>
      <c r="I486" s="4" t="str">
        <f>"10"</f>
        <v>10</v>
      </c>
      <c r="J486" s="2" t="str">
        <f>"970"</f>
        <v>970</v>
      </c>
      <c r="K486" s="3">
        <v>46118</v>
      </c>
      <c r="L486" s="3">
        <v>46121</v>
      </c>
      <c r="M486" s="1" t="s">
        <v>11254</v>
      </c>
      <c r="N486" s="1" t="s">
        <v>11253</v>
      </c>
    </row>
    <row r="487" spans="1:14" s="1" customFormat="1" x14ac:dyDescent="0.35">
      <c r="A487" s="1" t="s">
        <v>5216</v>
      </c>
      <c r="B487" s="1" t="s">
        <v>1306</v>
      </c>
      <c r="C487" s="1" t="s">
        <v>11252</v>
      </c>
      <c r="D487" s="1" t="s">
        <v>11251</v>
      </c>
      <c r="E487" s="1" t="str">
        <f>"5830"</f>
        <v>5830</v>
      </c>
      <c r="F487" s="1" t="str">
        <f>"016708863"</f>
        <v>016708863</v>
      </c>
      <c r="G487" s="1" t="s">
        <v>1767</v>
      </c>
      <c r="H487" s="1" t="s">
        <v>16</v>
      </c>
      <c r="I487" s="4" t="str">
        <f>"1"</f>
        <v>1</v>
      </c>
      <c r="J487" s="2" t="str">
        <f>"27775"</f>
        <v>27775</v>
      </c>
      <c r="K487" s="3">
        <v>46125</v>
      </c>
      <c r="L487" s="3">
        <v>46126</v>
      </c>
      <c r="M487" s="1" t="s">
        <v>11250</v>
      </c>
      <c r="N487" s="1" t="s">
        <v>11249</v>
      </c>
    </row>
    <row r="488" spans="1:14" s="1" customFormat="1" x14ac:dyDescent="0.35">
      <c r="A488" s="1" t="s">
        <v>5216</v>
      </c>
      <c r="B488" s="1" t="s">
        <v>1306</v>
      </c>
      <c r="C488" s="1" t="s">
        <v>1344</v>
      </c>
      <c r="D488" s="1" t="s">
        <v>11248</v>
      </c>
      <c r="E488" s="1" t="str">
        <f>"2320"</f>
        <v>2320</v>
      </c>
      <c r="F488" s="1" t="s">
        <v>975</v>
      </c>
      <c r="G488" s="1" t="s">
        <v>976</v>
      </c>
      <c r="H488" s="1" t="s">
        <v>16</v>
      </c>
      <c r="I488" s="4" t="str">
        <f>"1"</f>
        <v>1</v>
      </c>
      <c r="J488" s="2">
        <v>592904.18000000005</v>
      </c>
      <c r="K488" s="3">
        <v>46125</v>
      </c>
      <c r="L488" s="3">
        <v>46126</v>
      </c>
      <c r="M488" s="1" t="s">
        <v>11247</v>
      </c>
      <c r="N488" s="1" t="s">
        <v>11246</v>
      </c>
    </row>
    <row r="489" spans="1:14" s="1" customFormat="1" x14ac:dyDescent="0.35">
      <c r="A489" s="1" t="s">
        <v>5171</v>
      </c>
      <c r="B489" s="1" t="s">
        <v>1306</v>
      </c>
      <c r="C489" s="1" t="s">
        <v>1364</v>
      </c>
      <c r="D489" s="1" t="s">
        <v>11245</v>
      </c>
      <c r="E489" s="1" t="str">
        <f>"5855"</f>
        <v>5855</v>
      </c>
      <c r="F489" s="1" t="str">
        <f>"015345931"</f>
        <v>015345931</v>
      </c>
      <c r="G489" s="1" t="s">
        <v>1379</v>
      </c>
      <c r="H489" s="1" t="s">
        <v>16</v>
      </c>
      <c r="I489" s="4" t="str">
        <f>"50"</f>
        <v>50</v>
      </c>
      <c r="J489" s="2" t="str">
        <f>"970"</f>
        <v>970</v>
      </c>
      <c r="K489" s="3">
        <v>46118</v>
      </c>
      <c r="L489" s="3">
        <v>46129</v>
      </c>
      <c r="M489" s="1" t="s">
        <v>11244</v>
      </c>
      <c r="N489" s="1" t="s">
        <v>1367</v>
      </c>
    </row>
    <row r="490" spans="1:14" s="1" customFormat="1" x14ac:dyDescent="0.35">
      <c r="A490" s="1" t="s">
        <v>5171</v>
      </c>
      <c r="B490" s="1" t="s">
        <v>1306</v>
      </c>
      <c r="C490" s="1" t="s">
        <v>1364</v>
      </c>
      <c r="D490" s="1" t="s">
        <v>11243</v>
      </c>
      <c r="E490" s="1" t="str">
        <f>"5855"</f>
        <v>5855</v>
      </c>
      <c r="F490" s="1" t="str">
        <f>"015345931"</f>
        <v>015345931</v>
      </c>
      <c r="G490" s="1" t="s">
        <v>1379</v>
      </c>
      <c r="H490" s="1" t="s">
        <v>16</v>
      </c>
      <c r="I490" s="4" t="str">
        <f>"83"</f>
        <v>83</v>
      </c>
      <c r="J490" s="2" t="str">
        <f>"970"</f>
        <v>970</v>
      </c>
      <c r="K490" s="3">
        <v>46128</v>
      </c>
      <c r="L490" s="3">
        <v>46129</v>
      </c>
      <c r="M490" s="1" t="s">
        <v>5167</v>
      </c>
      <c r="N490" s="1" t="s">
        <v>1384</v>
      </c>
    </row>
    <row r="491" spans="1:14" s="1" customFormat="1" x14ac:dyDescent="0.35">
      <c r="A491" s="1" t="s">
        <v>5171</v>
      </c>
      <c r="B491" s="1" t="s">
        <v>1306</v>
      </c>
      <c r="C491" s="1" t="s">
        <v>1322</v>
      </c>
      <c r="D491" s="1" t="s">
        <v>11242</v>
      </c>
      <c r="E491" s="1" t="str">
        <f>"2355"</f>
        <v>2355</v>
      </c>
      <c r="F491" s="1" t="str">
        <f>"015534634"</f>
        <v>015534634</v>
      </c>
      <c r="G491" s="1" t="s">
        <v>8151</v>
      </c>
      <c r="H491" s="1" t="s">
        <v>16</v>
      </c>
      <c r="I491" s="4" t="str">
        <f>"2"</f>
        <v>2</v>
      </c>
      <c r="J491" s="2" t="str">
        <f>"658000"</f>
        <v>658000</v>
      </c>
      <c r="K491" s="3">
        <v>46132</v>
      </c>
      <c r="L491" s="3">
        <v>46133</v>
      </c>
      <c r="M491" s="1" t="s">
        <v>5167</v>
      </c>
      <c r="N491" s="1" t="s">
        <v>11238</v>
      </c>
    </row>
    <row r="492" spans="1:14" s="1" customFormat="1" x14ac:dyDescent="0.35">
      <c r="A492" s="1" t="s">
        <v>5171</v>
      </c>
      <c r="B492" s="1" t="s">
        <v>1306</v>
      </c>
      <c r="C492" s="1" t="s">
        <v>1364</v>
      </c>
      <c r="D492" s="1" t="s">
        <v>11241</v>
      </c>
      <c r="E492" s="1" t="str">
        <f>"5855"</f>
        <v>5855</v>
      </c>
      <c r="F492" s="1" t="str">
        <f>"015345931"</f>
        <v>015345931</v>
      </c>
      <c r="G492" s="1" t="s">
        <v>1379</v>
      </c>
      <c r="H492" s="1" t="s">
        <v>16</v>
      </c>
      <c r="I492" s="4" t="str">
        <f>"15"</f>
        <v>15</v>
      </c>
      <c r="J492" s="2" t="str">
        <f>"970"</f>
        <v>970</v>
      </c>
      <c r="K492" s="3">
        <v>46132</v>
      </c>
      <c r="L492" s="3">
        <v>46133</v>
      </c>
      <c r="M492" s="1" t="s">
        <v>5167</v>
      </c>
      <c r="N492" s="1" t="s">
        <v>1367</v>
      </c>
    </row>
    <row r="493" spans="1:14" s="1" customFormat="1" x14ac:dyDescent="0.35">
      <c r="A493" s="1" t="s">
        <v>5216</v>
      </c>
      <c r="B493" s="1" t="s">
        <v>1306</v>
      </c>
      <c r="C493" s="1" t="s">
        <v>1322</v>
      </c>
      <c r="D493" s="1" t="s">
        <v>11240</v>
      </c>
      <c r="E493" s="1" t="str">
        <f>"2355"</f>
        <v>2355</v>
      </c>
      <c r="F493" s="1" t="str">
        <f>"015534634"</f>
        <v>015534634</v>
      </c>
      <c r="G493" s="1" t="s">
        <v>8151</v>
      </c>
      <c r="H493" s="1" t="s">
        <v>16</v>
      </c>
      <c r="I493" s="4" t="str">
        <f>"2"</f>
        <v>2</v>
      </c>
      <c r="J493" s="2" t="str">
        <f>"658000"</f>
        <v>658000</v>
      </c>
      <c r="K493" s="3">
        <v>46134</v>
      </c>
      <c r="L493" s="3">
        <v>46134</v>
      </c>
      <c r="M493" s="1" t="s">
        <v>11239</v>
      </c>
      <c r="N493" s="1" t="s">
        <v>11238</v>
      </c>
    </row>
    <row r="494" spans="1:14" s="1" customFormat="1" x14ac:dyDescent="0.35">
      <c r="A494" s="1" t="s">
        <v>5171</v>
      </c>
      <c r="B494" s="1" t="s">
        <v>1306</v>
      </c>
      <c r="C494" s="1" t="s">
        <v>1364</v>
      </c>
      <c r="D494" s="1" t="s">
        <v>11237</v>
      </c>
      <c r="E494" s="1" t="str">
        <f>"5855"</f>
        <v>5855</v>
      </c>
      <c r="F494" s="1" t="str">
        <f>"015777174"</f>
        <v>015777174</v>
      </c>
      <c r="G494" s="1" t="s">
        <v>1366</v>
      </c>
      <c r="H494" s="1" t="s">
        <v>16</v>
      </c>
      <c r="I494" s="4" t="str">
        <f>"11"</f>
        <v>11</v>
      </c>
      <c r="J494" s="2" t="str">
        <f>"1791"</f>
        <v>1791</v>
      </c>
      <c r="K494" s="3">
        <v>46132</v>
      </c>
      <c r="L494" s="3">
        <v>46135</v>
      </c>
      <c r="M494" s="1" t="s">
        <v>11236</v>
      </c>
      <c r="N494" s="1" t="s">
        <v>1367</v>
      </c>
    </row>
    <row r="495" spans="1:14" s="1" customFormat="1" x14ac:dyDescent="0.35">
      <c r="A495" s="1" t="s">
        <v>5171</v>
      </c>
      <c r="B495" s="1" t="s">
        <v>1306</v>
      </c>
      <c r="C495" s="1" t="s">
        <v>1310</v>
      </c>
      <c r="D495" s="1" t="s">
        <v>11235</v>
      </c>
      <c r="E495" s="1" t="str">
        <f>"4940"</f>
        <v>4940</v>
      </c>
      <c r="F495" s="1" t="str">
        <f>"015998421"</f>
        <v>015998421</v>
      </c>
      <c r="G495" s="1" t="s">
        <v>1312</v>
      </c>
      <c r="H495" s="1" t="s">
        <v>16</v>
      </c>
      <c r="I495" s="4" t="str">
        <f>"1"</f>
        <v>1</v>
      </c>
      <c r="J495" s="2" t="str">
        <f>"16000"</f>
        <v>16000</v>
      </c>
      <c r="K495" s="3">
        <v>46147</v>
      </c>
      <c r="L495" s="3">
        <v>46148</v>
      </c>
      <c r="N495" s="1" t="s">
        <v>1315</v>
      </c>
    </row>
    <row r="496" spans="1:14" s="1" customFormat="1" x14ac:dyDescent="0.35">
      <c r="A496" s="1" t="s">
        <v>5171</v>
      </c>
      <c r="B496" s="1" t="s">
        <v>1306</v>
      </c>
      <c r="C496" s="1" t="s">
        <v>11234</v>
      </c>
      <c r="D496" s="1" t="s">
        <v>11233</v>
      </c>
      <c r="E496" s="1" t="str">
        <f>"2420"</f>
        <v>2420</v>
      </c>
      <c r="F496" s="1" t="str">
        <f>"001776868"</f>
        <v>001776868</v>
      </c>
      <c r="G496" s="1" t="s">
        <v>98</v>
      </c>
      <c r="H496" s="1" t="s">
        <v>16</v>
      </c>
      <c r="I496" s="4" t="str">
        <f>"1"</f>
        <v>1</v>
      </c>
      <c r="J496" s="2" t="str">
        <f>"67700"</f>
        <v>67700</v>
      </c>
      <c r="K496" s="3">
        <v>46148</v>
      </c>
      <c r="L496" s="3">
        <v>46149</v>
      </c>
      <c r="M496" s="1" t="s">
        <v>5167</v>
      </c>
      <c r="N496" s="1" t="s">
        <v>11232</v>
      </c>
    </row>
    <row r="497" spans="1:14" s="1" customFormat="1" x14ac:dyDescent="0.35">
      <c r="A497" s="1" t="s">
        <v>5171</v>
      </c>
      <c r="B497" s="1" t="s">
        <v>1306</v>
      </c>
      <c r="C497" s="1" t="s">
        <v>1310</v>
      </c>
      <c r="D497" s="1" t="s">
        <v>11231</v>
      </c>
      <c r="E497" s="1" t="str">
        <f>"2320"</f>
        <v>2320</v>
      </c>
      <c r="F497" s="1" t="str">
        <f>"000064066"</f>
        <v>000064066</v>
      </c>
      <c r="G497" s="1" t="s">
        <v>2297</v>
      </c>
      <c r="H497" s="1" t="s">
        <v>16</v>
      </c>
      <c r="I497" s="4" t="str">
        <f>"1"</f>
        <v>1</v>
      </c>
      <c r="J497" s="2" t="str">
        <f>"110751"</f>
        <v>110751</v>
      </c>
      <c r="K497" s="3">
        <v>46148</v>
      </c>
      <c r="L497" s="3">
        <v>46158</v>
      </c>
      <c r="M497" s="1" t="s">
        <v>11230</v>
      </c>
      <c r="N497" s="1" t="s">
        <v>11229</v>
      </c>
    </row>
    <row r="498" spans="1:14" s="1" customFormat="1" x14ac:dyDescent="0.35">
      <c r="A498" s="1" t="s">
        <v>5171</v>
      </c>
      <c r="B498" s="1" t="s">
        <v>1306</v>
      </c>
      <c r="C498" s="1" t="s">
        <v>1364</v>
      </c>
      <c r="D498" s="1" t="s">
        <v>11228</v>
      </c>
      <c r="E498" s="1" t="str">
        <f>"5855"</f>
        <v>5855</v>
      </c>
      <c r="F498" s="1" t="str">
        <f>"015777174"</f>
        <v>015777174</v>
      </c>
      <c r="G498" s="1" t="s">
        <v>1366</v>
      </c>
      <c r="H498" s="1" t="s">
        <v>16</v>
      </c>
      <c r="I498" s="4" t="str">
        <f>"1"</f>
        <v>1</v>
      </c>
      <c r="J498" s="2" t="str">
        <f>"1791"</f>
        <v>1791</v>
      </c>
      <c r="K498" s="3">
        <v>46135</v>
      </c>
      <c r="L498" s="3">
        <v>46160</v>
      </c>
      <c r="M498" s="1" t="s">
        <v>11227</v>
      </c>
      <c r="N498" s="1" t="s">
        <v>1367</v>
      </c>
    </row>
    <row r="499" spans="1:14" s="1" customFormat="1" x14ac:dyDescent="0.35">
      <c r="A499" s="1" t="s">
        <v>5171</v>
      </c>
      <c r="B499" s="1" t="s">
        <v>1306</v>
      </c>
      <c r="C499" s="1" t="s">
        <v>1364</v>
      </c>
      <c r="D499" s="1" t="s">
        <v>11226</v>
      </c>
      <c r="E499" s="1" t="str">
        <f>"5855"</f>
        <v>5855</v>
      </c>
      <c r="F499" s="1" t="str">
        <f>"015777174"</f>
        <v>015777174</v>
      </c>
      <c r="G499" s="1" t="s">
        <v>1366</v>
      </c>
      <c r="H499" s="1" t="s">
        <v>16</v>
      </c>
      <c r="I499" s="4" t="str">
        <f>"1"</f>
        <v>1</v>
      </c>
      <c r="J499" s="2" t="str">
        <f>"1791"</f>
        <v>1791</v>
      </c>
      <c r="K499" s="3">
        <v>46135</v>
      </c>
      <c r="L499" s="3">
        <v>46160</v>
      </c>
      <c r="M499" s="1" t="s">
        <v>11225</v>
      </c>
      <c r="N499" s="1" t="s">
        <v>1367</v>
      </c>
    </row>
    <row r="500" spans="1:14" s="1" customFormat="1" x14ac:dyDescent="0.35">
      <c r="A500" s="1" t="s">
        <v>5171</v>
      </c>
      <c r="B500" s="1" t="s">
        <v>1306</v>
      </c>
      <c r="C500" s="1" t="s">
        <v>1322</v>
      </c>
      <c r="D500" s="1" t="s">
        <v>11224</v>
      </c>
      <c r="E500" s="1" t="str">
        <f>"8145"</f>
        <v>8145</v>
      </c>
      <c r="F500" s="1" t="str">
        <f>"016062890"</f>
        <v>016062890</v>
      </c>
      <c r="G500" s="1" t="s">
        <v>10671</v>
      </c>
      <c r="H500" s="1" t="s">
        <v>16</v>
      </c>
      <c r="I500" s="4" t="str">
        <f>"1"</f>
        <v>1</v>
      </c>
      <c r="J500" s="2">
        <v>81789.19</v>
      </c>
      <c r="K500" s="3">
        <v>46173</v>
      </c>
      <c r="L500" s="3">
        <v>46175</v>
      </c>
      <c r="M500" s="1" t="s">
        <v>5167</v>
      </c>
      <c r="N500" s="1" t="s">
        <v>11223</v>
      </c>
    </row>
    <row r="501" spans="1:14" s="1" customFormat="1" x14ac:dyDescent="0.35">
      <c r="A501" s="1" t="s">
        <v>5171</v>
      </c>
      <c r="B501" s="1" t="s">
        <v>1306</v>
      </c>
      <c r="C501" s="1" t="s">
        <v>1322</v>
      </c>
      <c r="D501" s="1" t="s">
        <v>11222</v>
      </c>
      <c r="E501" s="1" t="str">
        <f>"2340"</f>
        <v>2340</v>
      </c>
      <c r="F501" s="1" t="s">
        <v>84</v>
      </c>
      <c r="G501" s="1" t="s">
        <v>85</v>
      </c>
      <c r="H501" s="1" t="s">
        <v>16</v>
      </c>
      <c r="I501" s="4" t="str">
        <f>"1"</f>
        <v>1</v>
      </c>
      <c r="J501" s="2">
        <v>37739.58</v>
      </c>
      <c r="K501" s="3">
        <v>46173</v>
      </c>
      <c r="L501" s="3">
        <v>46175</v>
      </c>
      <c r="M501" s="1" t="s">
        <v>5167</v>
      </c>
      <c r="N501" s="1" t="s">
        <v>11211</v>
      </c>
    </row>
    <row r="502" spans="1:14" s="1" customFormat="1" x14ac:dyDescent="0.35">
      <c r="A502" s="1" t="s">
        <v>5171</v>
      </c>
      <c r="B502" s="1" t="s">
        <v>1306</v>
      </c>
      <c r="C502" s="1" t="s">
        <v>1322</v>
      </c>
      <c r="D502" s="1" t="s">
        <v>11221</v>
      </c>
      <c r="E502" s="1" t="str">
        <f>"3930"</f>
        <v>3930</v>
      </c>
      <c r="F502" s="1" t="s">
        <v>6579</v>
      </c>
      <c r="G502" s="1" t="s">
        <v>6578</v>
      </c>
      <c r="H502" s="1" t="s">
        <v>16</v>
      </c>
      <c r="I502" s="4" t="str">
        <f>"1"</f>
        <v>1</v>
      </c>
      <c r="J502" s="2" t="str">
        <f>"94864"</f>
        <v>94864</v>
      </c>
      <c r="K502" s="3">
        <v>46173</v>
      </c>
      <c r="L502" s="3">
        <v>46175</v>
      </c>
      <c r="M502" s="1" t="s">
        <v>5167</v>
      </c>
      <c r="N502" s="1" t="s">
        <v>11220</v>
      </c>
    </row>
    <row r="503" spans="1:14" s="1" customFormat="1" x14ac:dyDescent="0.35">
      <c r="A503" s="1" t="s">
        <v>5171</v>
      </c>
      <c r="B503" s="1" t="s">
        <v>1306</v>
      </c>
      <c r="C503" s="1" t="s">
        <v>1364</v>
      </c>
      <c r="D503" s="1" t="s">
        <v>11219</v>
      </c>
      <c r="E503" s="1" t="str">
        <f>"5855"</f>
        <v>5855</v>
      </c>
      <c r="F503" s="1" t="str">
        <f>"015345931"</f>
        <v>015345931</v>
      </c>
      <c r="G503" s="1" t="s">
        <v>1379</v>
      </c>
      <c r="H503" s="1" t="s">
        <v>16</v>
      </c>
      <c r="I503" s="4" t="str">
        <f>"1"</f>
        <v>1</v>
      </c>
      <c r="J503" s="2" t="str">
        <f>"970"</f>
        <v>970</v>
      </c>
      <c r="K503" s="3">
        <v>46132</v>
      </c>
      <c r="L503" s="3">
        <v>46175</v>
      </c>
      <c r="M503" s="1" t="s">
        <v>11218</v>
      </c>
      <c r="N503" s="1" t="s">
        <v>1367</v>
      </c>
    </row>
    <row r="504" spans="1:14" s="1" customFormat="1" x14ac:dyDescent="0.35">
      <c r="A504" s="1" t="s">
        <v>5171</v>
      </c>
      <c r="B504" s="1" t="s">
        <v>1306</v>
      </c>
      <c r="C504" s="1" t="s">
        <v>1364</v>
      </c>
      <c r="D504" s="1" t="s">
        <v>11217</v>
      </c>
      <c r="E504" s="1" t="str">
        <f>"5855"</f>
        <v>5855</v>
      </c>
      <c r="F504" s="1" t="str">
        <f>"015345931"</f>
        <v>015345931</v>
      </c>
      <c r="G504" s="1" t="s">
        <v>1379</v>
      </c>
      <c r="H504" s="1" t="s">
        <v>16</v>
      </c>
      <c r="I504" s="4" t="str">
        <f>"1"</f>
        <v>1</v>
      </c>
      <c r="J504" s="2" t="str">
        <f>"970"</f>
        <v>970</v>
      </c>
      <c r="K504" s="3">
        <v>46132</v>
      </c>
      <c r="L504" s="3">
        <v>46175</v>
      </c>
      <c r="M504" s="1" t="s">
        <v>11216</v>
      </c>
      <c r="N504" s="1" t="s">
        <v>1367</v>
      </c>
    </row>
    <row r="505" spans="1:14" s="1" customFormat="1" x14ac:dyDescent="0.35">
      <c r="A505" s="1" t="s">
        <v>5171</v>
      </c>
      <c r="B505" s="1" t="s">
        <v>1306</v>
      </c>
      <c r="C505" s="1" t="s">
        <v>1322</v>
      </c>
      <c r="D505" s="1" t="s">
        <v>11215</v>
      </c>
      <c r="E505" s="1" t="str">
        <f>"6110"</f>
        <v>6110</v>
      </c>
      <c r="F505" s="1" t="s">
        <v>11214</v>
      </c>
      <c r="G505" s="1" t="s">
        <v>11213</v>
      </c>
      <c r="H505" s="1" t="s">
        <v>16</v>
      </c>
      <c r="I505" s="4" t="str">
        <f>"6"</f>
        <v>6</v>
      </c>
      <c r="J505" s="2" t="str">
        <f>"300"</f>
        <v>300</v>
      </c>
      <c r="K505" s="3">
        <v>46173</v>
      </c>
      <c r="L505" s="3">
        <v>46195</v>
      </c>
      <c r="M505" s="1" t="s">
        <v>11212</v>
      </c>
      <c r="N505" s="1" t="s">
        <v>11211</v>
      </c>
    </row>
    <row r="506" spans="1:14" s="1" customFormat="1" x14ac:dyDescent="0.35">
      <c r="A506" s="1" t="s">
        <v>5171</v>
      </c>
      <c r="B506" s="1" t="s">
        <v>1387</v>
      </c>
      <c r="C506" s="1" t="s">
        <v>1431</v>
      </c>
      <c r="D506" s="1" t="s">
        <v>11210</v>
      </c>
      <c r="E506" s="1" t="str">
        <f>"2310"</f>
        <v>2310</v>
      </c>
      <c r="F506" s="1" t="str">
        <f>"016544105"</f>
        <v>016544105</v>
      </c>
      <c r="G506" s="1" t="s">
        <v>4907</v>
      </c>
      <c r="H506" s="1" t="s">
        <v>16</v>
      </c>
      <c r="I506" s="4" t="str">
        <f>"2"</f>
        <v>2</v>
      </c>
      <c r="J506" s="2">
        <v>31905.14</v>
      </c>
      <c r="K506" s="3">
        <v>46112</v>
      </c>
      <c r="L506" s="3">
        <v>46113</v>
      </c>
      <c r="M506" s="1" t="s">
        <v>5167</v>
      </c>
      <c r="N506" s="1" t="s">
        <v>1436</v>
      </c>
    </row>
    <row r="507" spans="1:14" s="1" customFormat="1" x14ac:dyDescent="0.35">
      <c r="A507" s="1" t="s">
        <v>5171</v>
      </c>
      <c r="B507" s="1" t="s">
        <v>1387</v>
      </c>
      <c r="C507" s="1" t="s">
        <v>1487</v>
      </c>
      <c r="D507" s="1" t="s">
        <v>11209</v>
      </c>
      <c r="E507" s="1" t="str">
        <f>"8465"</f>
        <v>8465</v>
      </c>
      <c r="F507" s="1" t="str">
        <f>"016007830"</f>
        <v>016007830</v>
      </c>
      <c r="G507" s="1" t="s">
        <v>259</v>
      </c>
      <c r="H507" s="1" t="s">
        <v>16</v>
      </c>
      <c r="I507" s="4" t="str">
        <f>"12"</f>
        <v>12</v>
      </c>
      <c r="J507" s="2">
        <v>123.43</v>
      </c>
      <c r="K507" s="3">
        <v>46106</v>
      </c>
      <c r="L507" s="3">
        <v>46113</v>
      </c>
      <c r="M507" s="1" t="s">
        <v>11208</v>
      </c>
      <c r="N507" s="1" t="s">
        <v>11207</v>
      </c>
    </row>
    <row r="508" spans="1:14" s="1" customFormat="1" x14ac:dyDescent="0.35">
      <c r="A508" s="1" t="s">
        <v>5171</v>
      </c>
      <c r="B508" s="1" t="s">
        <v>1387</v>
      </c>
      <c r="C508" s="1" t="s">
        <v>1487</v>
      </c>
      <c r="D508" s="1" t="s">
        <v>11206</v>
      </c>
      <c r="E508" s="1" t="str">
        <f>"1240"</f>
        <v>1240</v>
      </c>
      <c r="F508" s="1" t="s">
        <v>1800</v>
      </c>
      <c r="G508" s="1" t="s">
        <v>1801</v>
      </c>
      <c r="H508" s="1" t="s">
        <v>16</v>
      </c>
      <c r="I508" s="4" t="str">
        <f>"2"</f>
        <v>2</v>
      </c>
      <c r="J508" s="2" t="str">
        <f>"1000"</f>
        <v>1000</v>
      </c>
      <c r="K508" s="3">
        <v>46108</v>
      </c>
      <c r="L508" s="3">
        <v>46113</v>
      </c>
      <c r="M508" s="1" t="s">
        <v>11205</v>
      </c>
      <c r="N508" s="1" t="s">
        <v>11204</v>
      </c>
    </row>
    <row r="509" spans="1:14" s="1" customFormat="1" x14ac:dyDescent="0.35">
      <c r="A509" s="1" t="s">
        <v>5171</v>
      </c>
      <c r="B509" s="1" t="s">
        <v>1387</v>
      </c>
      <c r="C509" s="1" t="s">
        <v>1501</v>
      </c>
      <c r="D509" s="1" t="s">
        <v>11203</v>
      </c>
      <c r="E509" s="1" t="str">
        <f>"3920"</f>
        <v>3920</v>
      </c>
      <c r="F509" s="1" t="s">
        <v>4146</v>
      </c>
      <c r="G509" s="1" t="s">
        <v>4147</v>
      </c>
      <c r="H509" s="1" t="s">
        <v>16</v>
      </c>
      <c r="I509" s="4" t="str">
        <f>"1"</f>
        <v>1</v>
      </c>
      <c r="J509" s="2" t="str">
        <f>"700"</f>
        <v>700</v>
      </c>
      <c r="K509" s="3">
        <v>46110</v>
      </c>
      <c r="L509" s="3">
        <v>46113</v>
      </c>
      <c r="M509" s="1" t="s">
        <v>11202</v>
      </c>
      <c r="N509" s="1" t="s">
        <v>11201</v>
      </c>
    </row>
    <row r="510" spans="1:14" s="1" customFormat="1" x14ac:dyDescent="0.35">
      <c r="A510" s="1" t="s">
        <v>5171</v>
      </c>
      <c r="B510" s="1" t="s">
        <v>1387</v>
      </c>
      <c r="C510" s="1" t="s">
        <v>1394</v>
      </c>
      <c r="D510" s="1" t="s">
        <v>11200</v>
      </c>
      <c r="E510" s="1" t="str">
        <f>"2340"</f>
        <v>2340</v>
      </c>
      <c r="F510" s="1" t="s">
        <v>61</v>
      </c>
      <c r="G510" s="1" t="s">
        <v>62</v>
      </c>
      <c r="H510" s="1" t="s">
        <v>16</v>
      </c>
      <c r="I510" s="4" t="str">
        <f>"1"</f>
        <v>1</v>
      </c>
      <c r="J510" s="2" t="str">
        <f>"14251"</f>
        <v>14251</v>
      </c>
      <c r="K510" s="3">
        <v>46105</v>
      </c>
      <c r="L510" s="3">
        <v>46116</v>
      </c>
      <c r="M510" s="1" t="s">
        <v>11199</v>
      </c>
      <c r="N510" s="1" t="s">
        <v>11198</v>
      </c>
    </row>
    <row r="511" spans="1:14" s="1" customFormat="1" x14ac:dyDescent="0.35">
      <c r="A511" s="1" t="s">
        <v>5171</v>
      </c>
      <c r="B511" s="1" t="s">
        <v>1387</v>
      </c>
      <c r="C511" s="1" t="s">
        <v>1415</v>
      </c>
      <c r="D511" s="1" t="s">
        <v>11197</v>
      </c>
      <c r="E511" s="1" t="str">
        <f>"2340"</f>
        <v>2340</v>
      </c>
      <c r="F511" s="1" t="s">
        <v>61</v>
      </c>
      <c r="G511" s="1" t="s">
        <v>62</v>
      </c>
      <c r="H511" s="1" t="s">
        <v>16</v>
      </c>
      <c r="I511" s="4" t="str">
        <f>"1"</f>
        <v>1</v>
      </c>
      <c r="J511" s="2" t="str">
        <f>"14251"</f>
        <v>14251</v>
      </c>
      <c r="K511" s="3">
        <v>46105</v>
      </c>
      <c r="L511" s="3">
        <v>46116</v>
      </c>
      <c r="M511" s="1" t="s">
        <v>11196</v>
      </c>
      <c r="N511" s="1" t="s">
        <v>1420</v>
      </c>
    </row>
    <row r="512" spans="1:14" s="1" customFormat="1" x14ac:dyDescent="0.35">
      <c r="A512" s="1" t="s">
        <v>5171</v>
      </c>
      <c r="B512" s="1" t="s">
        <v>1387</v>
      </c>
      <c r="C512" s="1" t="s">
        <v>1481</v>
      </c>
      <c r="D512" s="1" t="s">
        <v>11195</v>
      </c>
      <c r="E512" s="1" t="str">
        <f>"3930"</f>
        <v>3930</v>
      </c>
      <c r="F512" s="1" t="s">
        <v>1476</v>
      </c>
      <c r="G512" s="1" t="s">
        <v>1477</v>
      </c>
      <c r="H512" s="1" t="s">
        <v>16</v>
      </c>
      <c r="I512" s="4" t="str">
        <f>"1"</f>
        <v>1</v>
      </c>
      <c r="J512" s="2" t="str">
        <f>"31657"</f>
        <v>31657</v>
      </c>
      <c r="K512" s="3">
        <v>46105</v>
      </c>
      <c r="L512" s="3">
        <v>46118</v>
      </c>
      <c r="M512" s="1" t="s">
        <v>11194</v>
      </c>
      <c r="N512" s="1" t="s">
        <v>11193</v>
      </c>
    </row>
    <row r="513" spans="1:14" s="1" customFormat="1" x14ac:dyDescent="0.35">
      <c r="A513" s="1" t="s">
        <v>5171</v>
      </c>
      <c r="B513" s="1" t="s">
        <v>1387</v>
      </c>
      <c r="C513" s="1" t="s">
        <v>1487</v>
      </c>
      <c r="D513" s="1" t="s">
        <v>11192</v>
      </c>
      <c r="E513" s="1" t="str">
        <f>"5855"</f>
        <v>5855</v>
      </c>
      <c r="F513" s="1" t="str">
        <f>"015345931"</f>
        <v>015345931</v>
      </c>
      <c r="G513" s="1" t="s">
        <v>1379</v>
      </c>
      <c r="H513" s="1" t="s">
        <v>16</v>
      </c>
      <c r="I513" s="4" t="str">
        <f>"1"</f>
        <v>1</v>
      </c>
      <c r="J513" s="2" t="str">
        <f>"970"</f>
        <v>970</v>
      </c>
      <c r="K513" s="3">
        <v>46106</v>
      </c>
      <c r="L513" s="3">
        <v>46118</v>
      </c>
      <c r="M513" s="1" t="s">
        <v>11191</v>
      </c>
      <c r="N513" s="1" t="s">
        <v>11190</v>
      </c>
    </row>
    <row r="514" spans="1:14" s="1" customFormat="1" x14ac:dyDescent="0.35">
      <c r="A514" s="1" t="s">
        <v>5171</v>
      </c>
      <c r="B514" s="1" t="s">
        <v>1387</v>
      </c>
      <c r="C514" s="1" t="s">
        <v>1487</v>
      </c>
      <c r="D514" s="1" t="s">
        <v>11189</v>
      </c>
      <c r="E514" s="1" t="str">
        <f>"2340"</f>
        <v>2340</v>
      </c>
      <c r="F514" s="1" t="s">
        <v>61</v>
      </c>
      <c r="G514" s="1" t="s">
        <v>62</v>
      </c>
      <c r="H514" s="1" t="s">
        <v>16</v>
      </c>
      <c r="I514" s="4" t="str">
        <f>"1"</f>
        <v>1</v>
      </c>
      <c r="J514" s="2" t="str">
        <f>"13803"</f>
        <v>13803</v>
      </c>
      <c r="K514" s="3">
        <v>46106</v>
      </c>
      <c r="L514" s="3">
        <v>46118</v>
      </c>
      <c r="M514" s="1" t="s">
        <v>11188</v>
      </c>
      <c r="N514" s="1" t="s">
        <v>11187</v>
      </c>
    </row>
    <row r="515" spans="1:14" s="1" customFormat="1" x14ac:dyDescent="0.35">
      <c r="A515" s="1" t="s">
        <v>5171</v>
      </c>
      <c r="B515" s="1" t="s">
        <v>1387</v>
      </c>
      <c r="C515" s="1" t="s">
        <v>1541</v>
      </c>
      <c r="D515" s="1" t="s">
        <v>11186</v>
      </c>
      <c r="E515" s="1" t="str">
        <f>"6545"</f>
        <v>6545</v>
      </c>
      <c r="F515" s="1" t="str">
        <f>"015841582"</f>
        <v>015841582</v>
      </c>
      <c r="G515" s="1" t="s">
        <v>305</v>
      </c>
      <c r="H515" s="1" t="s">
        <v>215</v>
      </c>
      <c r="I515" s="4" t="str">
        <f>"17"</f>
        <v>17</v>
      </c>
      <c r="J515" s="2">
        <v>103.24</v>
      </c>
      <c r="K515" s="3">
        <v>46086</v>
      </c>
      <c r="L515" s="3">
        <v>46118</v>
      </c>
      <c r="M515" s="1" t="s">
        <v>11185</v>
      </c>
      <c r="N515" s="1" t="s">
        <v>11184</v>
      </c>
    </row>
    <row r="516" spans="1:14" s="1" customFormat="1" x14ac:dyDescent="0.35">
      <c r="A516" s="1" t="s">
        <v>5171</v>
      </c>
      <c r="B516" s="1" t="s">
        <v>1387</v>
      </c>
      <c r="C516" s="1" t="s">
        <v>1481</v>
      </c>
      <c r="D516" s="1" t="s">
        <v>11183</v>
      </c>
      <c r="E516" s="1" t="str">
        <f>"2330"</f>
        <v>2330</v>
      </c>
      <c r="F516" s="1" t="str">
        <f>"013875426"</f>
        <v>013875426</v>
      </c>
      <c r="G516" s="1" t="s">
        <v>979</v>
      </c>
      <c r="H516" s="1" t="s">
        <v>16</v>
      </c>
      <c r="I516" s="4" t="str">
        <f>"1"</f>
        <v>1</v>
      </c>
      <c r="J516" s="2" t="str">
        <f>"9535"</f>
        <v>9535</v>
      </c>
      <c r="K516" s="3">
        <v>46105</v>
      </c>
      <c r="L516" s="3">
        <v>46120</v>
      </c>
      <c r="M516" s="1" t="s">
        <v>11182</v>
      </c>
      <c r="N516" s="1" t="s">
        <v>11181</v>
      </c>
    </row>
    <row r="517" spans="1:14" s="1" customFormat="1" x14ac:dyDescent="0.35">
      <c r="A517" s="1" t="s">
        <v>5171</v>
      </c>
      <c r="B517" s="1" t="s">
        <v>1387</v>
      </c>
      <c r="C517" s="1" t="s">
        <v>1474</v>
      </c>
      <c r="D517" s="1" t="s">
        <v>11180</v>
      </c>
      <c r="E517" s="1" t="str">
        <f>"2340"</f>
        <v>2340</v>
      </c>
      <c r="F517" s="1" t="str">
        <f>"016572586"</f>
        <v>016572586</v>
      </c>
      <c r="G517" s="1" t="s">
        <v>1435</v>
      </c>
      <c r="H517" s="1" t="s">
        <v>16</v>
      </c>
      <c r="I517" s="4" t="str">
        <f>"1"</f>
        <v>1</v>
      </c>
      <c r="J517" s="2" t="str">
        <f>"11500"</f>
        <v>11500</v>
      </c>
      <c r="K517" s="3">
        <v>46113</v>
      </c>
      <c r="L517" s="3">
        <v>46123</v>
      </c>
      <c r="M517" s="1" t="s">
        <v>11179</v>
      </c>
      <c r="N517" s="1" t="s">
        <v>11178</v>
      </c>
    </row>
    <row r="518" spans="1:14" s="1" customFormat="1" x14ac:dyDescent="0.35">
      <c r="A518" s="1" t="s">
        <v>0</v>
      </c>
      <c r="B518" s="1" t="s">
        <v>1387</v>
      </c>
      <c r="C518" s="1" t="s">
        <v>1415</v>
      </c>
      <c r="D518" s="1" t="s">
        <v>11177</v>
      </c>
      <c r="E518" s="1" t="str">
        <f>"2340"</f>
        <v>2340</v>
      </c>
      <c r="F518" s="1" t="s">
        <v>2548</v>
      </c>
      <c r="G518" s="1" t="s">
        <v>2549</v>
      </c>
      <c r="H518" s="1" t="s">
        <v>16</v>
      </c>
      <c r="I518" s="4" t="str">
        <f>"1"</f>
        <v>1</v>
      </c>
      <c r="J518" s="2" t="str">
        <f>"11666"</f>
        <v>11666</v>
      </c>
      <c r="K518" s="3">
        <v>46122</v>
      </c>
      <c r="L518" s="3">
        <v>46125</v>
      </c>
      <c r="M518" s="1" t="s">
        <v>11175</v>
      </c>
      <c r="N518" s="1" t="s">
        <v>11174</v>
      </c>
    </row>
    <row r="519" spans="1:14" s="1" customFormat="1" x14ac:dyDescent="0.35">
      <c r="A519" s="1" t="s">
        <v>0</v>
      </c>
      <c r="B519" s="1" t="s">
        <v>1387</v>
      </c>
      <c r="C519" s="1" t="s">
        <v>1415</v>
      </c>
      <c r="D519" s="1" t="s">
        <v>11176</v>
      </c>
      <c r="E519" s="1" t="str">
        <f>"2340"</f>
        <v>2340</v>
      </c>
      <c r="F519" s="1" t="s">
        <v>2548</v>
      </c>
      <c r="G519" s="1" t="s">
        <v>2549</v>
      </c>
      <c r="H519" s="1" t="s">
        <v>16</v>
      </c>
      <c r="I519" s="4" t="str">
        <f>"1"</f>
        <v>1</v>
      </c>
      <c r="J519" s="2" t="str">
        <f>"11666"</f>
        <v>11666</v>
      </c>
      <c r="K519" s="3">
        <v>46122</v>
      </c>
      <c r="L519" s="3">
        <v>46125</v>
      </c>
      <c r="M519" s="1" t="s">
        <v>11175</v>
      </c>
      <c r="N519" s="1" t="s">
        <v>11174</v>
      </c>
    </row>
    <row r="520" spans="1:14" s="1" customFormat="1" x14ac:dyDescent="0.35">
      <c r="A520" s="1" t="s">
        <v>0</v>
      </c>
      <c r="B520" s="1" t="s">
        <v>1387</v>
      </c>
      <c r="C520" s="1" t="s">
        <v>1545</v>
      </c>
      <c r="D520" s="1" t="s">
        <v>11173</v>
      </c>
      <c r="E520" s="1" t="str">
        <f>"5855"</f>
        <v>5855</v>
      </c>
      <c r="F520" s="1" t="s">
        <v>5542</v>
      </c>
      <c r="G520" s="1" t="s">
        <v>5541</v>
      </c>
      <c r="H520" s="1" t="s">
        <v>16</v>
      </c>
      <c r="I520" s="4" t="str">
        <f>"1"</f>
        <v>1</v>
      </c>
      <c r="J520" s="2" t="str">
        <f>"13000"</f>
        <v>13000</v>
      </c>
      <c r="K520" s="3">
        <v>46122</v>
      </c>
      <c r="L520" s="3">
        <v>46125</v>
      </c>
      <c r="M520" s="1" t="s">
        <v>11172</v>
      </c>
      <c r="N520" s="1" t="s">
        <v>11171</v>
      </c>
    </row>
    <row r="521" spans="1:14" s="1" customFormat="1" x14ac:dyDescent="0.35">
      <c r="A521" s="1" t="s">
        <v>5171</v>
      </c>
      <c r="B521" s="1" t="s">
        <v>1387</v>
      </c>
      <c r="C521" s="1" t="s">
        <v>1474</v>
      </c>
      <c r="D521" s="1" t="s">
        <v>11170</v>
      </c>
      <c r="E521" s="1" t="str">
        <f>"2340"</f>
        <v>2340</v>
      </c>
      <c r="F521" s="1" t="s">
        <v>61</v>
      </c>
      <c r="G521" s="1" t="s">
        <v>62</v>
      </c>
      <c r="H521" s="1" t="s">
        <v>16</v>
      </c>
      <c r="I521" s="4" t="str">
        <f>"1"</f>
        <v>1</v>
      </c>
      <c r="J521" s="2" t="str">
        <f>"500"</f>
        <v>500</v>
      </c>
      <c r="K521" s="3">
        <v>46099</v>
      </c>
      <c r="L521" s="3">
        <v>46125</v>
      </c>
      <c r="M521" s="1" t="s">
        <v>11169</v>
      </c>
      <c r="N521" s="1" t="s">
        <v>11168</v>
      </c>
    </row>
    <row r="522" spans="1:14" s="1" customFormat="1" x14ac:dyDescent="0.35">
      <c r="A522" s="1" t="s">
        <v>5171</v>
      </c>
      <c r="B522" s="1" t="s">
        <v>1387</v>
      </c>
      <c r="C522" s="1" t="s">
        <v>1548</v>
      </c>
      <c r="D522" s="1" t="s">
        <v>11167</v>
      </c>
      <c r="E522" s="1" t="str">
        <f>"3950"</f>
        <v>3950</v>
      </c>
      <c r="F522" s="1" t="s">
        <v>3089</v>
      </c>
      <c r="G522" s="1" t="s">
        <v>3090</v>
      </c>
      <c r="H522" s="1" t="s">
        <v>16</v>
      </c>
      <c r="I522" s="4" t="str">
        <f>"1"</f>
        <v>1</v>
      </c>
      <c r="J522" s="2" t="str">
        <f>"25000"</f>
        <v>25000</v>
      </c>
      <c r="K522" s="3">
        <v>46123</v>
      </c>
      <c r="L522" s="3">
        <v>46126</v>
      </c>
      <c r="M522" s="1" t="s">
        <v>11166</v>
      </c>
      <c r="N522" s="1" t="s">
        <v>11165</v>
      </c>
    </row>
    <row r="523" spans="1:14" s="1" customFormat="1" x14ac:dyDescent="0.35">
      <c r="A523" s="1" t="s">
        <v>5171</v>
      </c>
      <c r="B523" s="1" t="s">
        <v>1387</v>
      </c>
      <c r="C523" s="1" t="s">
        <v>1394</v>
      </c>
      <c r="D523" s="1" t="s">
        <v>11164</v>
      </c>
      <c r="E523" s="1" t="str">
        <f>"2320"</f>
        <v>2320</v>
      </c>
      <c r="F523" s="1" t="str">
        <f>"013543386"</f>
        <v>013543386</v>
      </c>
      <c r="G523" s="1" t="s">
        <v>271</v>
      </c>
      <c r="H523" s="1" t="s">
        <v>16</v>
      </c>
      <c r="I523" s="4" t="str">
        <f>"1"</f>
        <v>1</v>
      </c>
      <c r="J523" s="2" t="str">
        <f>"128076"</f>
        <v>128076</v>
      </c>
      <c r="K523" s="3">
        <v>46099</v>
      </c>
      <c r="L523" s="3">
        <v>46128</v>
      </c>
      <c r="M523" s="1" t="s">
        <v>11163</v>
      </c>
      <c r="N523" s="1" t="s">
        <v>11162</v>
      </c>
    </row>
    <row r="524" spans="1:14" s="1" customFormat="1" x14ac:dyDescent="0.35">
      <c r="A524" s="1" t="s">
        <v>5171</v>
      </c>
      <c r="B524" s="1" t="s">
        <v>1387</v>
      </c>
      <c r="C524" s="1" t="s">
        <v>1394</v>
      </c>
      <c r="D524" s="1" t="s">
        <v>11161</v>
      </c>
      <c r="E524" s="1" t="str">
        <f>"2320"</f>
        <v>2320</v>
      </c>
      <c r="F524" s="1" t="str">
        <f>"013543386"</f>
        <v>013543386</v>
      </c>
      <c r="G524" s="1" t="s">
        <v>271</v>
      </c>
      <c r="H524" s="1" t="s">
        <v>16</v>
      </c>
      <c r="I524" s="4" t="str">
        <f>"1"</f>
        <v>1</v>
      </c>
      <c r="J524" s="2" t="str">
        <f>"128076"</f>
        <v>128076</v>
      </c>
      <c r="K524" s="3">
        <v>46109</v>
      </c>
      <c r="L524" s="3">
        <v>46128</v>
      </c>
      <c r="M524" s="1" t="s">
        <v>11160</v>
      </c>
      <c r="N524" s="1" t="s">
        <v>11159</v>
      </c>
    </row>
    <row r="525" spans="1:14" s="1" customFormat="1" x14ac:dyDescent="0.35">
      <c r="A525" s="1" t="s">
        <v>5171</v>
      </c>
      <c r="B525" s="1" t="s">
        <v>1387</v>
      </c>
      <c r="C525" s="1" t="s">
        <v>11120</v>
      </c>
      <c r="D525" s="1" t="s">
        <v>11158</v>
      </c>
      <c r="E525" s="1" t="str">
        <f>"6515"</f>
        <v>6515</v>
      </c>
      <c r="F525" s="1" t="s">
        <v>297</v>
      </c>
      <c r="G525" s="1" t="s">
        <v>298</v>
      </c>
      <c r="H525" s="1" t="s">
        <v>16</v>
      </c>
      <c r="I525" s="4" t="str">
        <f>"1"</f>
        <v>1</v>
      </c>
      <c r="J525" s="2" t="str">
        <f>"1000"</f>
        <v>1000</v>
      </c>
      <c r="K525" s="3">
        <v>46125</v>
      </c>
      <c r="L525" s="3">
        <v>46130</v>
      </c>
      <c r="M525" s="1" t="s">
        <v>11157</v>
      </c>
      <c r="N525" s="1" t="s">
        <v>11133</v>
      </c>
    </row>
    <row r="526" spans="1:14" s="1" customFormat="1" x14ac:dyDescent="0.35">
      <c r="A526" s="1" t="s">
        <v>0</v>
      </c>
      <c r="B526" s="1" t="s">
        <v>1387</v>
      </c>
      <c r="C526" s="1" t="s">
        <v>1431</v>
      </c>
      <c r="D526" s="1" t="s">
        <v>11156</v>
      </c>
      <c r="E526" s="1" t="str">
        <f>"2320"</f>
        <v>2320</v>
      </c>
      <c r="F526" s="1" t="str">
        <f>"015402038"</f>
        <v>015402038</v>
      </c>
      <c r="G526" s="1" t="s">
        <v>414</v>
      </c>
      <c r="H526" s="1" t="s">
        <v>16</v>
      </c>
      <c r="I526" s="4" t="str">
        <f>"1"</f>
        <v>1</v>
      </c>
      <c r="J526" s="2" t="str">
        <f>"225121"</f>
        <v>225121</v>
      </c>
      <c r="K526" s="3">
        <v>46132</v>
      </c>
      <c r="L526" s="3">
        <v>46132</v>
      </c>
      <c r="M526" s="1" t="s">
        <v>11155</v>
      </c>
      <c r="N526" s="1" t="s">
        <v>11154</v>
      </c>
    </row>
    <row r="527" spans="1:14" s="1" customFormat="1" x14ac:dyDescent="0.35">
      <c r="A527" s="1" t="s">
        <v>5171</v>
      </c>
      <c r="B527" s="1" t="s">
        <v>1387</v>
      </c>
      <c r="C527" s="1" t="s">
        <v>1394</v>
      </c>
      <c r="D527" s="1" t="s">
        <v>11153</v>
      </c>
      <c r="E527" s="1" t="str">
        <f>"2360"</f>
        <v>2360</v>
      </c>
      <c r="F527" s="1" t="str">
        <f>"015349826"</f>
        <v>015349826</v>
      </c>
      <c r="G527" s="1" t="s">
        <v>2463</v>
      </c>
      <c r="H527" s="1" t="s">
        <v>16</v>
      </c>
      <c r="I527" s="4" t="str">
        <f>"1"</f>
        <v>1</v>
      </c>
      <c r="J527" s="2" t="str">
        <f>"229897"</f>
        <v>229897</v>
      </c>
      <c r="K527" s="3">
        <v>46109</v>
      </c>
      <c r="L527" s="3">
        <v>46132</v>
      </c>
      <c r="M527" s="1" t="s">
        <v>11152</v>
      </c>
      <c r="N527" s="1" t="s">
        <v>11151</v>
      </c>
    </row>
    <row r="528" spans="1:14" s="1" customFormat="1" x14ac:dyDescent="0.35">
      <c r="A528" s="1" t="s">
        <v>5216</v>
      </c>
      <c r="B528" s="1" t="s">
        <v>1387</v>
      </c>
      <c r="C528" s="1" t="s">
        <v>1548</v>
      </c>
      <c r="D528" s="1" t="s">
        <v>11150</v>
      </c>
      <c r="E528" s="1" t="str">
        <f>"2410"</f>
        <v>2410</v>
      </c>
      <c r="F528" s="1" t="str">
        <f>"008165091"</f>
        <v>008165091</v>
      </c>
      <c r="G528" s="1" t="s">
        <v>989</v>
      </c>
      <c r="H528" s="1" t="s">
        <v>16</v>
      </c>
      <c r="I528" s="4" t="str">
        <f>"1"</f>
        <v>1</v>
      </c>
      <c r="J528" s="2" t="str">
        <f>"480661"</f>
        <v>480661</v>
      </c>
      <c r="K528" s="3">
        <v>46123</v>
      </c>
      <c r="L528" s="3">
        <v>46133</v>
      </c>
      <c r="M528" s="1" t="s">
        <v>11149</v>
      </c>
      <c r="N528" s="1" t="s">
        <v>11148</v>
      </c>
    </row>
    <row r="529" spans="1:14" s="1" customFormat="1" x14ac:dyDescent="0.35">
      <c r="A529" s="1" t="s">
        <v>5171</v>
      </c>
      <c r="B529" s="1" t="s">
        <v>1387</v>
      </c>
      <c r="C529" s="1" t="s">
        <v>11120</v>
      </c>
      <c r="D529" s="1" t="s">
        <v>11147</v>
      </c>
      <c r="E529" s="1" t="str">
        <f>"2320"</f>
        <v>2320</v>
      </c>
      <c r="F529" s="1" t="str">
        <f>"011762223"</f>
        <v>011762223</v>
      </c>
      <c r="G529" s="1" t="s">
        <v>360</v>
      </c>
      <c r="H529" s="1" t="s">
        <v>16</v>
      </c>
      <c r="I529" s="4" t="str">
        <f>"1"</f>
        <v>1</v>
      </c>
      <c r="J529" s="2" t="str">
        <f>"51000"</f>
        <v>51000</v>
      </c>
      <c r="K529" s="3">
        <v>46121</v>
      </c>
      <c r="L529" s="3">
        <v>46133</v>
      </c>
      <c r="M529" s="1" t="s">
        <v>11146</v>
      </c>
      <c r="N529" s="1" t="s">
        <v>11145</v>
      </c>
    </row>
    <row r="530" spans="1:14" s="1" customFormat="1" x14ac:dyDescent="0.35">
      <c r="A530" s="1" t="s">
        <v>5171</v>
      </c>
      <c r="B530" s="1" t="s">
        <v>1387</v>
      </c>
      <c r="C530" s="1" t="s">
        <v>11120</v>
      </c>
      <c r="D530" s="1" t="s">
        <v>11144</v>
      </c>
      <c r="E530" s="1" t="str">
        <f>"6515"</f>
        <v>6515</v>
      </c>
      <c r="F530" s="1" t="s">
        <v>297</v>
      </c>
      <c r="G530" s="1" t="s">
        <v>298</v>
      </c>
      <c r="H530" s="1" t="s">
        <v>16</v>
      </c>
      <c r="I530" s="4" t="str">
        <f>"1"</f>
        <v>1</v>
      </c>
      <c r="J530" s="2" t="str">
        <f>"1000"</f>
        <v>1000</v>
      </c>
      <c r="K530" s="3">
        <v>46125</v>
      </c>
      <c r="L530" s="3">
        <v>46133</v>
      </c>
      <c r="M530" s="1" t="s">
        <v>11143</v>
      </c>
      <c r="N530" s="1" t="s">
        <v>11133</v>
      </c>
    </row>
    <row r="531" spans="1:14" s="1" customFormat="1" x14ac:dyDescent="0.35">
      <c r="A531" s="1" t="s">
        <v>5171</v>
      </c>
      <c r="B531" s="1" t="s">
        <v>1387</v>
      </c>
      <c r="C531" s="1" t="s">
        <v>11120</v>
      </c>
      <c r="D531" s="1" t="s">
        <v>11142</v>
      </c>
      <c r="E531" s="1" t="str">
        <f>"6515"</f>
        <v>6515</v>
      </c>
      <c r="F531" s="1" t="s">
        <v>297</v>
      </c>
      <c r="G531" s="1" t="s">
        <v>298</v>
      </c>
      <c r="H531" s="1" t="s">
        <v>16</v>
      </c>
      <c r="I531" s="4" t="str">
        <f>"1"</f>
        <v>1</v>
      </c>
      <c r="J531" s="2" t="str">
        <f>"1000"</f>
        <v>1000</v>
      </c>
      <c r="K531" s="3">
        <v>46125</v>
      </c>
      <c r="L531" s="3">
        <v>46133</v>
      </c>
      <c r="M531" s="1" t="s">
        <v>11141</v>
      </c>
      <c r="N531" s="1" t="s">
        <v>11133</v>
      </c>
    </row>
    <row r="532" spans="1:14" s="1" customFormat="1" x14ac:dyDescent="0.35">
      <c r="A532" s="1" t="s">
        <v>5171</v>
      </c>
      <c r="B532" s="1" t="s">
        <v>1387</v>
      </c>
      <c r="C532" s="1" t="s">
        <v>11120</v>
      </c>
      <c r="D532" s="1" t="s">
        <v>11140</v>
      </c>
      <c r="E532" s="1" t="str">
        <f>"6515"</f>
        <v>6515</v>
      </c>
      <c r="F532" s="1" t="s">
        <v>297</v>
      </c>
      <c r="G532" s="1" t="s">
        <v>298</v>
      </c>
      <c r="H532" s="1" t="s">
        <v>16</v>
      </c>
      <c r="I532" s="4" t="str">
        <f>"1"</f>
        <v>1</v>
      </c>
      <c r="J532" s="2" t="str">
        <f>"1000"</f>
        <v>1000</v>
      </c>
      <c r="K532" s="3">
        <v>46125</v>
      </c>
      <c r="L532" s="3">
        <v>46133</v>
      </c>
      <c r="M532" s="1" t="s">
        <v>11139</v>
      </c>
      <c r="N532" s="1" t="s">
        <v>11133</v>
      </c>
    </row>
    <row r="533" spans="1:14" s="1" customFormat="1" x14ac:dyDescent="0.35">
      <c r="A533" s="1" t="s">
        <v>5171</v>
      </c>
      <c r="B533" s="1" t="s">
        <v>1387</v>
      </c>
      <c r="C533" s="1" t="s">
        <v>11120</v>
      </c>
      <c r="D533" s="1" t="s">
        <v>11138</v>
      </c>
      <c r="E533" s="1" t="str">
        <f>"6515"</f>
        <v>6515</v>
      </c>
      <c r="F533" s="1" t="s">
        <v>302</v>
      </c>
      <c r="G533" s="1" t="s">
        <v>298</v>
      </c>
      <c r="H533" s="1" t="s">
        <v>303</v>
      </c>
      <c r="I533" s="4" t="str">
        <f>"1"</f>
        <v>1</v>
      </c>
      <c r="J533" s="2">
        <v>172.68</v>
      </c>
      <c r="K533" s="3">
        <v>46125</v>
      </c>
      <c r="L533" s="3">
        <v>46133</v>
      </c>
      <c r="M533" s="1" t="s">
        <v>11137</v>
      </c>
      <c r="N533" s="1" t="s">
        <v>11133</v>
      </c>
    </row>
    <row r="534" spans="1:14" s="1" customFormat="1" x14ac:dyDescent="0.35">
      <c r="A534" s="1" t="s">
        <v>5171</v>
      </c>
      <c r="B534" s="1" t="s">
        <v>1387</v>
      </c>
      <c r="C534" s="1" t="s">
        <v>11120</v>
      </c>
      <c r="D534" s="1" t="s">
        <v>11136</v>
      </c>
      <c r="E534" s="1" t="str">
        <f>"6515"</f>
        <v>6515</v>
      </c>
      <c r="F534" s="1" t="s">
        <v>11135</v>
      </c>
      <c r="G534" s="1" t="s">
        <v>298</v>
      </c>
      <c r="H534" s="1" t="s">
        <v>352</v>
      </c>
      <c r="I534" s="4" t="str">
        <f>"1"</f>
        <v>1</v>
      </c>
      <c r="J534" s="2">
        <v>98.27</v>
      </c>
      <c r="K534" s="3">
        <v>46125</v>
      </c>
      <c r="L534" s="3">
        <v>46133</v>
      </c>
      <c r="M534" s="1" t="s">
        <v>11134</v>
      </c>
      <c r="N534" s="1" t="s">
        <v>11133</v>
      </c>
    </row>
    <row r="535" spans="1:14" s="1" customFormat="1" x14ac:dyDescent="0.35">
      <c r="A535" s="1" t="s">
        <v>5171</v>
      </c>
      <c r="B535" s="1" t="s">
        <v>1387</v>
      </c>
      <c r="C535" s="1" t="s">
        <v>11120</v>
      </c>
      <c r="D535" s="1" t="s">
        <v>11132</v>
      </c>
      <c r="E535" s="1" t="str">
        <f>"6650"</f>
        <v>6650</v>
      </c>
      <c r="F535" s="1" t="s">
        <v>2750</v>
      </c>
      <c r="G535" s="1" t="s">
        <v>2751</v>
      </c>
      <c r="H535" s="1" t="s">
        <v>16</v>
      </c>
      <c r="I535" s="4" t="str">
        <f>"9"</f>
        <v>9</v>
      </c>
      <c r="J535" s="2" t="str">
        <f>"919"</f>
        <v>919</v>
      </c>
      <c r="K535" s="3">
        <v>46125</v>
      </c>
      <c r="L535" s="3">
        <v>46137</v>
      </c>
      <c r="M535" s="1" t="s">
        <v>11131</v>
      </c>
      <c r="N535" s="1" t="s">
        <v>11130</v>
      </c>
    </row>
    <row r="536" spans="1:14" s="1" customFormat="1" x14ac:dyDescent="0.35">
      <c r="A536" s="1" t="s">
        <v>5171</v>
      </c>
      <c r="B536" s="1" t="s">
        <v>1387</v>
      </c>
      <c r="C536" s="1" t="s">
        <v>1431</v>
      </c>
      <c r="D536" s="1" t="s">
        <v>11129</v>
      </c>
      <c r="E536" s="1" t="str">
        <f>"2310"</f>
        <v>2310</v>
      </c>
      <c r="F536" s="1" t="s">
        <v>3035</v>
      </c>
      <c r="G536" s="1" t="s">
        <v>3036</v>
      </c>
      <c r="H536" s="1" t="s">
        <v>16</v>
      </c>
      <c r="I536" s="4" t="str">
        <f>"1"</f>
        <v>1</v>
      </c>
      <c r="J536" s="2">
        <v>34810.660000000003</v>
      </c>
      <c r="K536" s="3">
        <v>46132</v>
      </c>
      <c r="L536" s="3">
        <v>46140</v>
      </c>
      <c r="M536" s="1" t="s">
        <v>11128</v>
      </c>
      <c r="N536" s="1" t="s">
        <v>11127</v>
      </c>
    </row>
    <row r="537" spans="1:14" s="1" customFormat="1" x14ac:dyDescent="0.35">
      <c r="A537" s="1" t="s">
        <v>5171</v>
      </c>
      <c r="B537" s="1" t="s">
        <v>1387</v>
      </c>
      <c r="C537" s="1" t="s">
        <v>1431</v>
      </c>
      <c r="D537" s="1" t="s">
        <v>11126</v>
      </c>
      <c r="E537" s="1" t="str">
        <f>"5180"</f>
        <v>5180</v>
      </c>
      <c r="F537" s="1" t="str">
        <f>"015636719"</f>
        <v>015636719</v>
      </c>
      <c r="G537" s="1" t="s">
        <v>4502</v>
      </c>
      <c r="H537" s="1" t="s">
        <v>215</v>
      </c>
      <c r="I537" s="4" t="str">
        <f>"2"</f>
        <v>2</v>
      </c>
      <c r="J537" s="2" t="str">
        <f>"60295"</f>
        <v>60295</v>
      </c>
      <c r="K537" s="3">
        <v>46139</v>
      </c>
      <c r="L537" s="3">
        <v>46140</v>
      </c>
      <c r="M537" s="1" t="s">
        <v>11125</v>
      </c>
      <c r="N537" s="1" t="s">
        <v>11124</v>
      </c>
    </row>
    <row r="538" spans="1:14" s="1" customFormat="1" x14ac:dyDescent="0.35">
      <c r="A538" s="1" t="s">
        <v>5171</v>
      </c>
      <c r="B538" s="1" t="s">
        <v>1387</v>
      </c>
      <c r="C538" s="1" t="s">
        <v>11015</v>
      </c>
      <c r="D538" s="1" t="s">
        <v>11123</v>
      </c>
      <c r="E538" s="1" t="str">
        <f>"5180"</f>
        <v>5180</v>
      </c>
      <c r="F538" s="1" t="str">
        <f>"015636719"</f>
        <v>015636719</v>
      </c>
      <c r="G538" s="1" t="s">
        <v>4502</v>
      </c>
      <c r="H538" s="1" t="s">
        <v>215</v>
      </c>
      <c r="I538" s="4" t="str">
        <f>"6"</f>
        <v>6</v>
      </c>
      <c r="J538" s="2" t="str">
        <f>"60295"</f>
        <v>60295</v>
      </c>
      <c r="K538" s="3">
        <v>46139</v>
      </c>
      <c r="L538" s="3">
        <v>46140</v>
      </c>
      <c r="M538" s="1" t="s">
        <v>11122</v>
      </c>
      <c r="N538" s="1" t="s">
        <v>11121</v>
      </c>
    </row>
    <row r="539" spans="1:14" s="1" customFormat="1" x14ac:dyDescent="0.35">
      <c r="A539" s="1" t="s">
        <v>5171</v>
      </c>
      <c r="B539" s="1" t="s">
        <v>1387</v>
      </c>
      <c r="C539" s="1" t="s">
        <v>11120</v>
      </c>
      <c r="D539" s="1" t="s">
        <v>11119</v>
      </c>
      <c r="E539" s="1" t="str">
        <f>"6515"</f>
        <v>6515</v>
      </c>
      <c r="F539" s="1" t="s">
        <v>297</v>
      </c>
      <c r="G539" s="1" t="s">
        <v>298</v>
      </c>
      <c r="H539" s="1" t="s">
        <v>16</v>
      </c>
      <c r="I539" s="4" t="str">
        <f>"1"</f>
        <v>1</v>
      </c>
      <c r="J539" s="2" t="str">
        <f>"1000"</f>
        <v>1000</v>
      </c>
      <c r="K539" s="3">
        <v>46125</v>
      </c>
      <c r="L539" s="3">
        <v>46140</v>
      </c>
      <c r="M539" s="1" t="s">
        <v>11118</v>
      </c>
      <c r="N539" s="1" t="s">
        <v>11117</v>
      </c>
    </row>
    <row r="540" spans="1:14" s="1" customFormat="1" x14ac:dyDescent="0.35">
      <c r="A540" s="1" t="s">
        <v>5171</v>
      </c>
      <c r="B540" s="1" t="s">
        <v>1387</v>
      </c>
      <c r="C540" s="1" t="s">
        <v>1394</v>
      </c>
      <c r="D540" s="1" t="s">
        <v>11116</v>
      </c>
      <c r="E540" s="1" t="str">
        <f>"2320"</f>
        <v>2320</v>
      </c>
      <c r="F540" s="1" t="str">
        <f>"011950532"</f>
        <v>011950532</v>
      </c>
      <c r="G540" s="1" t="s">
        <v>11115</v>
      </c>
      <c r="H540" s="1" t="s">
        <v>16</v>
      </c>
      <c r="I540" s="4" t="str">
        <f>"1"</f>
        <v>1</v>
      </c>
      <c r="J540" s="2" t="str">
        <f>"110910"</f>
        <v>110910</v>
      </c>
      <c r="K540" s="3">
        <v>46072</v>
      </c>
      <c r="L540" s="3">
        <v>46141</v>
      </c>
      <c r="M540" s="1" t="s">
        <v>11114</v>
      </c>
      <c r="N540" s="1" t="s">
        <v>11113</v>
      </c>
    </row>
    <row r="541" spans="1:14" s="1" customFormat="1" x14ac:dyDescent="0.35">
      <c r="A541" s="1" t="s">
        <v>5171</v>
      </c>
      <c r="B541" s="1" t="s">
        <v>1387</v>
      </c>
      <c r="C541" s="1" t="s">
        <v>1444</v>
      </c>
      <c r="D541" s="1" t="s">
        <v>11112</v>
      </c>
      <c r="E541" s="1" t="str">
        <f>"3695"</f>
        <v>3695</v>
      </c>
      <c r="F541" s="1" t="s">
        <v>5039</v>
      </c>
      <c r="G541" s="1" t="s">
        <v>5040</v>
      </c>
      <c r="H541" s="1" t="s">
        <v>16</v>
      </c>
      <c r="I541" s="4" t="str">
        <f>"2"</f>
        <v>2</v>
      </c>
      <c r="J541" s="2" t="str">
        <f>"400"</f>
        <v>400</v>
      </c>
      <c r="K541" s="3">
        <v>46134</v>
      </c>
      <c r="L541" s="3">
        <v>46141</v>
      </c>
      <c r="M541" s="1" t="s">
        <v>11111</v>
      </c>
      <c r="N541" s="1" t="s">
        <v>11110</v>
      </c>
    </row>
    <row r="542" spans="1:14" s="1" customFormat="1" x14ac:dyDescent="0.35">
      <c r="A542" s="1" t="s">
        <v>5171</v>
      </c>
      <c r="B542" s="1" t="s">
        <v>1387</v>
      </c>
      <c r="C542" s="1" t="s">
        <v>1548</v>
      </c>
      <c r="D542" s="1" t="s">
        <v>11109</v>
      </c>
      <c r="E542" s="1" t="str">
        <f>"2410"</f>
        <v>2410</v>
      </c>
      <c r="F542" s="1" t="str">
        <f>"001664176"</f>
        <v>001664176</v>
      </c>
      <c r="G542" s="1" t="s">
        <v>989</v>
      </c>
      <c r="H542" s="1" t="s">
        <v>16</v>
      </c>
      <c r="I542" s="4" t="str">
        <f>"1"</f>
        <v>1</v>
      </c>
      <c r="J542" s="2" t="str">
        <f>"39380"</f>
        <v>39380</v>
      </c>
      <c r="K542" s="3">
        <v>46139</v>
      </c>
      <c r="L542" s="3">
        <v>46141</v>
      </c>
      <c r="M542" s="1" t="s">
        <v>11108</v>
      </c>
      <c r="N542" s="1" t="s">
        <v>11107</v>
      </c>
    </row>
    <row r="543" spans="1:14" s="1" customFormat="1" x14ac:dyDescent="0.35">
      <c r="A543" s="1" t="s">
        <v>5171</v>
      </c>
      <c r="B543" s="1" t="s">
        <v>1387</v>
      </c>
      <c r="C543" s="1" t="s">
        <v>1431</v>
      </c>
      <c r="D543" s="1" t="s">
        <v>11106</v>
      </c>
      <c r="E543" s="1" t="str">
        <f>"2340"</f>
        <v>2340</v>
      </c>
      <c r="F543" s="1" t="s">
        <v>84</v>
      </c>
      <c r="G543" s="1" t="s">
        <v>85</v>
      </c>
      <c r="H543" s="1" t="s">
        <v>16</v>
      </c>
      <c r="I543" s="4" t="str">
        <f>"1"</f>
        <v>1</v>
      </c>
      <c r="J543" s="2">
        <v>31905.14</v>
      </c>
      <c r="K543" s="3">
        <v>46139</v>
      </c>
      <c r="L543" s="3">
        <v>46143</v>
      </c>
      <c r="M543" s="1" t="s">
        <v>11105</v>
      </c>
      <c r="N543" s="1" t="s">
        <v>11102</v>
      </c>
    </row>
    <row r="544" spans="1:14" s="1" customFormat="1" x14ac:dyDescent="0.35">
      <c r="A544" s="1" t="s">
        <v>5171</v>
      </c>
      <c r="B544" s="1" t="s">
        <v>1387</v>
      </c>
      <c r="C544" s="1" t="s">
        <v>1431</v>
      </c>
      <c r="D544" s="1" t="s">
        <v>11104</v>
      </c>
      <c r="E544" s="1" t="str">
        <f>"2340"</f>
        <v>2340</v>
      </c>
      <c r="F544" s="1" t="s">
        <v>84</v>
      </c>
      <c r="G544" s="1" t="s">
        <v>85</v>
      </c>
      <c r="H544" s="1" t="s">
        <v>16</v>
      </c>
      <c r="I544" s="4" t="str">
        <f>"1"</f>
        <v>1</v>
      </c>
      <c r="J544" s="2">
        <v>31905.14</v>
      </c>
      <c r="K544" s="3">
        <v>46139</v>
      </c>
      <c r="L544" s="3">
        <v>46143</v>
      </c>
      <c r="M544" s="1" t="s">
        <v>11103</v>
      </c>
      <c r="N544" s="1" t="s">
        <v>11102</v>
      </c>
    </row>
    <row r="545" spans="1:14" s="1" customFormat="1" x14ac:dyDescent="0.35">
      <c r="A545" s="1" t="s">
        <v>5171</v>
      </c>
      <c r="B545" s="1" t="s">
        <v>1387</v>
      </c>
      <c r="C545" s="1" t="s">
        <v>1444</v>
      </c>
      <c r="D545" s="1" t="s">
        <v>11101</v>
      </c>
      <c r="E545" s="1" t="str">
        <f>"2340"</f>
        <v>2340</v>
      </c>
      <c r="F545" s="1" t="s">
        <v>61</v>
      </c>
      <c r="G545" s="1" t="s">
        <v>62</v>
      </c>
      <c r="H545" s="1" t="s">
        <v>16</v>
      </c>
      <c r="I545" s="4" t="str">
        <f>"1"</f>
        <v>1</v>
      </c>
      <c r="J545" s="2" t="str">
        <f>"1000"</f>
        <v>1000</v>
      </c>
      <c r="K545" s="3">
        <v>46132</v>
      </c>
      <c r="L545" s="3">
        <v>46143</v>
      </c>
      <c r="M545" s="1" t="s">
        <v>11100</v>
      </c>
      <c r="N545" s="1" t="s">
        <v>11097</v>
      </c>
    </row>
    <row r="546" spans="1:14" s="1" customFormat="1" x14ac:dyDescent="0.35">
      <c r="A546" s="1" t="s">
        <v>5171</v>
      </c>
      <c r="B546" s="1" t="s">
        <v>1387</v>
      </c>
      <c r="C546" s="1" t="s">
        <v>1444</v>
      </c>
      <c r="D546" s="1" t="s">
        <v>11099</v>
      </c>
      <c r="E546" s="1" t="str">
        <f>"2340"</f>
        <v>2340</v>
      </c>
      <c r="F546" s="1" t="s">
        <v>84</v>
      </c>
      <c r="G546" s="1" t="s">
        <v>85</v>
      </c>
      <c r="H546" s="1" t="s">
        <v>16</v>
      </c>
      <c r="I546" s="4" t="str">
        <f>"1"</f>
        <v>1</v>
      </c>
      <c r="J546" s="2" t="str">
        <f>"1000"</f>
        <v>1000</v>
      </c>
      <c r="K546" s="3">
        <v>46132</v>
      </c>
      <c r="L546" s="3">
        <v>46143</v>
      </c>
      <c r="M546" s="1" t="s">
        <v>11098</v>
      </c>
      <c r="N546" s="1" t="s">
        <v>11097</v>
      </c>
    </row>
    <row r="547" spans="1:14" s="1" customFormat="1" x14ac:dyDescent="0.35">
      <c r="A547" s="1" t="s">
        <v>5171</v>
      </c>
      <c r="B547" s="1" t="s">
        <v>1387</v>
      </c>
      <c r="C547" s="1" t="s">
        <v>1548</v>
      </c>
      <c r="D547" s="1" t="s">
        <v>11096</v>
      </c>
      <c r="E547" s="1" t="str">
        <f>"2340"</f>
        <v>2340</v>
      </c>
      <c r="F547" s="1" t="str">
        <f>"016572586"</f>
        <v>016572586</v>
      </c>
      <c r="G547" s="1" t="s">
        <v>1435</v>
      </c>
      <c r="H547" s="1" t="s">
        <v>16</v>
      </c>
      <c r="I547" s="4" t="str">
        <f>"1"</f>
        <v>1</v>
      </c>
      <c r="J547" s="2" t="str">
        <f>"11500"</f>
        <v>11500</v>
      </c>
      <c r="K547" s="3">
        <v>46134</v>
      </c>
      <c r="L547" s="3">
        <v>46143</v>
      </c>
      <c r="M547" s="1" t="s">
        <v>11095</v>
      </c>
      <c r="N547" s="1" t="s">
        <v>11094</v>
      </c>
    </row>
    <row r="548" spans="1:14" s="1" customFormat="1" x14ac:dyDescent="0.35">
      <c r="A548" s="1" t="s">
        <v>5171</v>
      </c>
      <c r="B548" s="1" t="s">
        <v>1387</v>
      </c>
      <c r="C548" s="1" t="s">
        <v>1394</v>
      </c>
      <c r="D548" s="1" t="s">
        <v>11093</v>
      </c>
      <c r="E548" s="1" t="str">
        <f>"2320"</f>
        <v>2320</v>
      </c>
      <c r="F548" s="1" t="s">
        <v>975</v>
      </c>
      <c r="G548" s="1" t="s">
        <v>976</v>
      </c>
      <c r="H548" s="1" t="s">
        <v>16</v>
      </c>
      <c r="I548" s="4" t="str">
        <f>"1"</f>
        <v>1</v>
      </c>
      <c r="J548" s="2" t="str">
        <f>"202199"</f>
        <v>202199</v>
      </c>
      <c r="K548" s="3">
        <v>46130</v>
      </c>
      <c r="L548" s="3">
        <v>46144</v>
      </c>
      <c r="M548" s="1" t="s">
        <v>11092</v>
      </c>
      <c r="N548" s="1" t="s">
        <v>1396</v>
      </c>
    </row>
    <row r="549" spans="1:14" s="1" customFormat="1" x14ac:dyDescent="0.35">
      <c r="A549" s="1" t="s">
        <v>5171</v>
      </c>
      <c r="B549" s="1" t="s">
        <v>1387</v>
      </c>
      <c r="C549" s="1" t="s">
        <v>1431</v>
      </c>
      <c r="D549" s="1" t="s">
        <v>11091</v>
      </c>
      <c r="E549" s="1" t="str">
        <f>"2310"</f>
        <v>2310</v>
      </c>
      <c r="F549" s="1" t="s">
        <v>178</v>
      </c>
      <c r="G549" s="1" t="s">
        <v>179</v>
      </c>
      <c r="H549" s="1" t="s">
        <v>16</v>
      </c>
      <c r="I549" s="4" t="str">
        <f>"1"</f>
        <v>1</v>
      </c>
      <c r="J549" s="2" t="str">
        <f>"12554"</f>
        <v>12554</v>
      </c>
      <c r="K549" s="3">
        <v>46132</v>
      </c>
      <c r="L549" s="3">
        <v>46144</v>
      </c>
      <c r="M549" s="1" t="s">
        <v>11090</v>
      </c>
      <c r="N549" s="1" t="s">
        <v>11074</v>
      </c>
    </row>
    <row r="550" spans="1:14" s="1" customFormat="1" x14ac:dyDescent="0.35">
      <c r="A550" s="1" t="s">
        <v>5171</v>
      </c>
      <c r="B550" s="1" t="s">
        <v>1387</v>
      </c>
      <c r="C550" s="1" t="s">
        <v>1548</v>
      </c>
      <c r="D550" s="1" t="s">
        <v>11089</v>
      </c>
      <c r="E550" s="1" t="str">
        <f>"2320"</f>
        <v>2320</v>
      </c>
      <c r="F550" s="1" t="str">
        <f>"015756182"</f>
        <v>015756182</v>
      </c>
      <c r="G550" s="1" t="s">
        <v>370</v>
      </c>
      <c r="H550" s="1" t="s">
        <v>16</v>
      </c>
      <c r="I550" s="4" t="str">
        <f>"1"</f>
        <v>1</v>
      </c>
      <c r="J550" s="2" t="str">
        <f>"28200"</f>
        <v>28200</v>
      </c>
      <c r="K550" s="3">
        <v>46133</v>
      </c>
      <c r="L550" s="3">
        <v>46144</v>
      </c>
      <c r="M550" s="1" t="s">
        <v>11088</v>
      </c>
      <c r="N550" s="1" t="s">
        <v>11087</v>
      </c>
    </row>
    <row r="551" spans="1:14" s="1" customFormat="1" x14ac:dyDescent="0.35">
      <c r="A551" s="1" t="s">
        <v>5171</v>
      </c>
      <c r="B551" s="1" t="s">
        <v>1387</v>
      </c>
      <c r="C551" s="1" t="s">
        <v>1431</v>
      </c>
      <c r="D551" s="1" t="s">
        <v>11086</v>
      </c>
      <c r="E551" s="1" t="str">
        <f>"1550"</f>
        <v>1550</v>
      </c>
      <c r="F551" s="1" t="s">
        <v>199</v>
      </c>
      <c r="G551" s="1" t="s">
        <v>200</v>
      </c>
      <c r="H551" s="1" t="s">
        <v>16</v>
      </c>
      <c r="I551" s="4" t="str">
        <f>"1"</f>
        <v>1</v>
      </c>
      <c r="J551" s="2" t="str">
        <f>"1000"</f>
        <v>1000</v>
      </c>
      <c r="K551" s="3">
        <v>46146</v>
      </c>
      <c r="L551" s="3">
        <v>46148</v>
      </c>
      <c r="M551" s="1" t="s">
        <v>11085</v>
      </c>
      <c r="N551" s="1" t="s">
        <v>11082</v>
      </c>
    </row>
    <row r="552" spans="1:14" s="1" customFormat="1" x14ac:dyDescent="0.35">
      <c r="A552" s="1" t="s">
        <v>5171</v>
      </c>
      <c r="B552" s="1" t="s">
        <v>1387</v>
      </c>
      <c r="C552" s="1" t="s">
        <v>1431</v>
      </c>
      <c r="D552" s="1" t="s">
        <v>11086</v>
      </c>
      <c r="E552" s="1" t="str">
        <f>"1550"</f>
        <v>1550</v>
      </c>
      <c r="F552" s="1" t="s">
        <v>199</v>
      </c>
      <c r="G552" s="1" t="s">
        <v>200</v>
      </c>
      <c r="H552" s="1" t="s">
        <v>16</v>
      </c>
      <c r="I552" s="4" t="str">
        <f>"1"</f>
        <v>1</v>
      </c>
      <c r="J552" s="2" t="str">
        <f>"1000"</f>
        <v>1000</v>
      </c>
      <c r="K552" s="3">
        <v>46146</v>
      </c>
      <c r="L552" s="3">
        <v>46148</v>
      </c>
      <c r="M552" s="1" t="s">
        <v>11085</v>
      </c>
      <c r="N552" s="1" t="s">
        <v>11082</v>
      </c>
    </row>
    <row r="553" spans="1:14" s="1" customFormat="1" x14ac:dyDescent="0.35">
      <c r="A553" s="1" t="s">
        <v>5171</v>
      </c>
      <c r="B553" s="1" t="s">
        <v>1387</v>
      </c>
      <c r="C553" s="1" t="s">
        <v>1431</v>
      </c>
      <c r="D553" s="1" t="s">
        <v>11084</v>
      </c>
      <c r="E553" s="1" t="str">
        <f>"1550"</f>
        <v>1550</v>
      </c>
      <c r="F553" s="1" t="s">
        <v>199</v>
      </c>
      <c r="G553" s="1" t="s">
        <v>200</v>
      </c>
      <c r="H553" s="1" t="s">
        <v>16</v>
      </c>
      <c r="I553" s="4" t="str">
        <f>"1"</f>
        <v>1</v>
      </c>
      <c r="J553" s="2" t="str">
        <f>"300"</f>
        <v>300</v>
      </c>
      <c r="K553" s="3">
        <v>46146</v>
      </c>
      <c r="L553" s="3">
        <v>46148</v>
      </c>
      <c r="M553" s="1" t="s">
        <v>11083</v>
      </c>
      <c r="N553" s="1" t="s">
        <v>11082</v>
      </c>
    </row>
    <row r="554" spans="1:14" s="1" customFormat="1" x14ac:dyDescent="0.35">
      <c r="A554" s="1" t="s">
        <v>5171</v>
      </c>
      <c r="B554" s="1" t="s">
        <v>1387</v>
      </c>
      <c r="C554" s="1" t="s">
        <v>1431</v>
      </c>
      <c r="D554" s="1" t="s">
        <v>11084</v>
      </c>
      <c r="E554" s="1" t="str">
        <f>"1550"</f>
        <v>1550</v>
      </c>
      <c r="F554" s="1" t="s">
        <v>199</v>
      </c>
      <c r="G554" s="1" t="s">
        <v>200</v>
      </c>
      <c r="H554" s="1" t="s">
        <v>16</v>
      </c>
      <c r="I554" s="4" t="str">
        <f>"1"</f>
        <v>1</v>
      </c>
      <c r="J554" s="2" t="str">
        <f>"300"</f>
        <v>300</v>
      </c>
      <c r="K554" s="3">
        <v>46146</v>
      </c>
      <c r="L554" s="3">
        <v>46148</v>
      </c>
      <c r="M554" s="1" t="s">
        <v>11083</v>
      </c>
      <c r="N554" s="1" t="s">
        <v>11082</v>
      </c>
    </row>
    <row r="555" spans="1:14" s="1" customFormat="1" x14ac:dyDescent="0.35">
      <c r="A555" s="1" t="s">
        <v>5171</v>
      </c>
      <c r="B555" s="1" t="s">
        <v>1387</v>
      </c>
      <c r="C555" s="1" t="s">
        <v>10988</v>
      </c>
      <c r="D555" s="1" t="s">
        <v>11081</v>
      </c>
      <c r="E555" s="1" t="str">
        <f>"2320"</f>
        <v>2320</v>
      </c>
      <c r="F555" s="1" t="str">
        <f>"014849052"</f>
        <v>014849052</v>
      </c>
      <c r="G555" s="1" t="s">
        <v>11080</v>
      </c>
      <c r="H555" s="1" t="s">
        <v>16</v>
      </c>
      <c r="I555" s="4" t="str">
        <f>"1"</f>
        <v>1</v>
      </c>
      <c r="J555" s="2" t="str">
        <f>"176000"</f>
        <v>176000</v>
      </c>
      <c r="K555" s="3">
        <v>46147</v>
      </c>
      <c r="L555" s="3">
        <v>46154</v>
      </c>
      <c r="M555" s="1" t="s">
        <v>11079</v>
      </c>
      <c r="N555" s="1" t="s">
        <v>10985</v>
      </c>
    </row>
    <row r="556" spans="1:14" s="1" customFormat="1" x14ac:dyDescent="0.35">
      <c r="A556" s="1" t="s">
        <v>5171</v>
      </c>
      <c r="B556" s="1" t="s">
        <v>1387</v>
      </c>
      <c r="C556" s="1" t="s">
        <v>1437</v>
      </c>
      <c r="D556" s="1" t="s">
        <v>11078</v>
      </c>
      <c r="E556" s="1" t="str">
        <f>"1550"</f>
        <v>1550</v>
      </c>
      <c r="F556" s="1" t="str">
        <f>"016642763"</f>
        <v>016642763</v>
      </c>
      <c r="G556" s="1" t="s">
        <v>1417</v>
      </c>
      <c r="H556" s="1" t="s">
        <v>215</v>
      </c>
      <c r="I556" s="4" t="str">
        <f>"4"</f>
        <v>4</v>
      </c>
      <c r="J556" s="2" t="str">
        <f>"14400"</f>
        <v>14400</v>
      </c>
      <c r="K556" s="3">
        <v>46158</v>
      </c>
      <c r="L556" s="3">
        <v>46160</v>
      </c>
      <c r="M556" s="1" t="s">
        <v>5167</v>
      </c>
      <c r="N556" s="1" t="s">
        <v>11077</v>
      </c>
    </row>
    <row r="557" spans="1:14" s="1" customFormat="1" x14ac:dyDescent="0.35">
      <c r="A557" s="1" t="s">
        <v>5171</v>
      </c>
      <c r="B557" s="1" t="s">
        <v>1387</v>
      </c>
      <c r="C557" s="1" t="s">
        <v>1431</v>
      </c>
      <c r="D557" s="1" t="s">
        <v>11076</v>
      </c>
      <c r="E557" s="1" t="str">
        <f>"2310"</f>
        <v>2310</v>
      </c>
      <c r="F557" s="1" t="s">
        <v>178</v>
      </c>
      <c r="G557" s="1" t="s">
        <v>179</v>
      </c>
      <c r="H557" s="1" t="s">
        <v>16</v>
      </c>
      <c r="I557" s="4" t="str">
        <f>"1"</f>
        <v>1</v>
      </c>
      <c r="J557" s="2" t="str">
        <f>"12554"</f>
        <v>12554</v>
      </c>
      <c r="K557" s="3">
        <v>46132</v>
      </c>
      <c r="L557" s="3">
        <v>46161</v>
      </c>
      <c r="M557" s="1" t="s">
        <v>11075</v>
      </c>
      <c r="N557" s="1" t="s">
        <v>11074</v>
      </c>
    </row>
    <row r="558" spans="1:14" s="1" customFormat="1" x14ac:dyDescent="0.35">
      <c r="A558" s="1" t="s">
        <v>5171</v>
      </c>
      <c r="B558" s="1" t="s">
        <v>1387</v>
      </c>
      <c r="C558" s="1" t="s">
        <v>1415</v>
      </c>
      <c r="D558" s="1" t="s">
        <v>11073</v>
      </c>
      <c r="E558" s="1" t="str">
        <f>"1550"</f>
        <v>1550</v>
      </c>
      <c r="F558" s="1" t="s">
        <v>199</v>
      </c>
      <c r="G558" s="1" t="s">
        <v>200</v>
      </c>
      <c r="H558" s="1" t="s">
        <v>16</v>
      </c>
      <c r="I558" s="4" t="str">
        <f>"1"</f>
        <v>1</v>
      </c>
      <c r="J558" s="2" t="str">
        <f>"42300"</f>
        <v>42300</v>
      </c>
      <c r="K558" s="3">
        <v>46168</v>
      </c>
      <c r="L558" s="3">
        <v>46169</v>
      </c>
      <c r="M558" s="1" t="s">
        <v>11072</v>
      </c>
      <c r="N558" s="1" t="s">
        <v>11071</v>
      </c>
    </row>
    <row r="559" spans="1:14" s="1" customFormat="1" x14ac:dyDescent="0.35">
      <c r="A559" s="1" t="s">
        <v>5171</v>
      </c>
      <c r="B559" s="1" t="s">
        <v>1387</v>
      </c>
      <c r="C559" s="1" t="s">
        <v>11070</v>
      </c>
      <c r="D559" s="1" t="s">
        <v>11069</v>
      </c>
      <c r="E559" s="1" t="str">
        <f>"2320"</f>
        <v>2320</v>
      </c>
      <c r="F559" s="1" t="str">
        <f>"015402017"</f>
        <v>015402017</v>
      </c>
      <c r="G559" s="1" t="s">
        <v>414</v>
      </c>
      <c r="H559" s="1" t="s">
        <v>16</v>
      </c>
      <c r="I559" s="4" t="str">
        <f>"1"</f>
        <v>1</v>
      </c>
      <c r="J559" s="2" t="str">
        <f>"204469"</f>
        <v>204469</v>
      </c>
      <c r="K559" s="3">
        <v>46161</v>
      </c>
      <c r="L559" s="3">
        <v>46170</v>
      </c>
      <c r="M559" s="1" t="s">
        <v>11068</v>
      </c>
      <c r="N559" s="1" t="s">
        <v>11067</v>
      </c>
    </row>
    <row r="560" spans="1:14" s="1" customFormat="1" x14ac:dyDescent="0.35">
      <c r="A560" s="1" t="s">
        <v>5216</v>
      </c>
      <c r="B560" s="1" t="s">
        <v>1387</v>
      </c>
      <c r="C560" s="1" t="s">
        <v>1437</v>
      </c>
      <c r="D560" s="1" t="s">
        <v>11066</v>
      </c>
      <c r="E560" s="1" t="str">
        <f>"2320"</f>
        <v>2320</v>
      </c>
      <c r="F560" s="1" t="str">
        <f>"015402007"</f>
        <v>015402007</v>
      </c>
      <c r="G560" s="1" t="s">
        <v>414</v>
      </c>
      <c r="H560" s="1" t="s">
        <v>16</v>
      </c>
      <c r="I560" s="4" t="str">
        <f>"1"</f>
        <v>1</v>
      </c>
      <c r="J560" s="2" t="str">
        <f>"181463"</f>
        <v>181463</v>
      </c>
      <c r="K560" s="3">
        <v>46176</v>
      </c>
      <c r="L560" s="3">
        <v>46178</v>
      </c>
      <c r="N560" s="1" t="s">
        <v>11065</v>
      </c>
    </row>
    <row r="561" spans="1:14" s="1" customFormat="1" x14ac:dyDescent="0.35">
      <c r="A561" s="1" t="s">
        <v>5171</v>
      </c>
      <c r="B561" s="1" t="s">
        <v>1387</v>
      </c>
      <c r="C561" s="1" t="s">
        <v>1431</v>
      </c>
      <c r="D561" s="1" t="s">
        <v>11064</v>
      </c>
      <c r="E561" s="1" t="str">
        <f>"5440"</f>
        <v>5440</v>
      </c>
      <c r="F561" s="1" t="s">
        <v>142</v>
      </c>
      <c r="G561" s="1" t="s">
        <v>143</v>
      </c>
      <c r="H561" s="1" t="s">
        <v>16</v>
      </c>
      <c r="I561" s="4" t="str">
        <f>"1"</f>
        <v>1</v>
      </c>
      <c r="J561" s="2" t="str">
        <f>"200"</f>
        <v>200</v>
      </c>
      <c r="K561" s="3">
        <v>46139</v>
      </c>
      <c r="L561" s="3">
        <v>46178</v>
      </c>
      <c r="M561" s="1" t="s">
        <v>11063</v>
      </c>
      <c r="N561" s="1" t="s">
        <v>11062</v>
      </c>
    </row>
    <row r="562" spans="1:14" s="1" customFormat="1" x14ac:dyDescent="0.35">
      <c r="A562" s="1" t="s">
        <v>5171</v>
      </c>
      <c r="B562" s="1" t="s">
        <v>1387</v>
      </c>
      <c r="C562" s="1" t="s">
        <v>1437</v>
      </c>
      <c r="D562" s="1" t="s">
        <v>11061</v>
      </c>
      <c r="E562" s="1" t="str">
        <f>"2340"</f>
        <v>2340</v>
      </c>
      <c r="F562" s="1" t="s">
        <v>61</v>
      </c>
      <c r="G562" s="1" t="s">
        <v>62</v>
      </c>
      <c r="H562" s="1" t="s">
        <v>16</v>
      </c>
      <c r="I562" s="4" t="str">
        <f>"1"</f>
        <v>1</v>
      </c>
      <c r="J562" s="2" t="str">
        <f>"7350"</f>
        <v>7350</v>
      </c>
      <c r="K562" s="3">
        <v>46168</v>
      </c>
      <c r="L562" s="3">
        <v>46178</v>
      </c>
      <c r="M562" s="1" t="s">
        <v>11060</v>
      </c>
      <c r="N562" s="1" t="s">
        <v>11059</v>
      </c>
    </row>
    <row r="563" spans="1:14" s="1" customFormat="1" x14ac:dyDescent="0.35">
      <c r="A563" s="1" t="s">
        <v>5171</v>
      </c>
      <c r="B563" s="1" t="s">
        <v>1387</v>
      </c>
      <c r="C563" s="1" t="s">
        <v>1437</v>
      </c>
      <c r="D563" s="1" t="s">
        <v>11058</v>
      </c>
      <c r="E563" s="1" t="str">
        <f>"2340"</f>
        <v>2340</v>
      </c>
      <c r="F563" s="1" t="s">
        <v>61</v>
      </c>
      <c r="G563" s="1" t="s">
        <v>62</v>
      </c>
      <c r="H563" s="1" t="s">
        <v>16</v>
      </c>
      <c r="I563" s="4" t="str">
        <f>"1"</f>
        <v>1</v>
      </c>
      <c r="J563" s="2" t="str">
        <f>"5000"</f>
        <v>5000</v>
      </c>
      <c r="K563" s="3">
        <v>46168</v>
      </c>
      <c r="L563" s="3">
        <v>46178</v>
      </c>
      <c r="M563" s="1" t="s">
        <v>11057</v>
      </c>
      <c r="N563" s="1" t="s">
        <v>11056</v>
      </c>
    </row>
    <row r="564" spans="1:14" s="1" customFormat="1" x14ac:dyDescent="0.35">
      <c r="A564" s="1" t="s">
        <v>5171</v>
      </c>
      <c r="B564" s="1" t="s">
        <v>1387</v>
      </c>
      <c r="C564" s="1" t="s">
        <v>1437</v>
      </c>
      <c r="D564" s="1" t="s">
        <v>11055</v>
      </c>
      <c r="E564" s="1" t="str">
        <f>"1005"</f>
        <v>1005</v>
      </c>
      <c r="F564" s="1" t="str">
        <f>"131173858"</f>
        <v>131173858</v>
      </c>
      <c r="G564" s="1" t="s">
        <v>3894</v>
      </c>
      <c r="H564" s="1" t="s">
        <v>215</v>
      </c>
      <c r="I564" s="4" t="str">
        <f>"9"</f>
        <v>9</v>
      </c>
      <c r="J564" s="2">
        <v>1693.07</v>
      </c>
      <c r="K564" s="3">
        <v>46168</v>
      </c>
      <c r="L564" s="3">
        <v>46179</v>
      </c>
      <c r="M564" s="1" t="s">
        <v>11054</v>
      </c>
      <c r="N564" s="1" t="s">
        <v>11053</v>
      </c>
    </row>
    <row r="565" spans="1:14" s="1" customFormat="1" x14ac:dyDescent="0.35">
      <c r="A565" s="1" t="s">
        <v>5171</v>
      </c>
      <c r="B565" s="1" t="s">
        <v>1387</v>
      </c>
      <c r="C565" s="1" t="s">
        <v>1491</v>
      </c>
      <c r="D565" s="1" t="s">
        <v>11052</v>
      </c>
      <c r="E565" s="1" t="str">
        <f>"3930"</f>
        <v>3930</v>
      </c>
      <c r="F565" s="1" t="s">
        <v>1476</v>
      </c>
      <c r="G565" s="1" t="s">
        <v>1477</v>
      </c>
      <c r="H565" s="1" t="s">
        <v>16</v>
      </c>
      <c r="I565" s="4" t="str">
        <f>"1"</f>
        <v>1</v>
      </c>
      <c r="J565" s="2" t="str">
        <f>"5000"</f>
        <v>5000</v>
      </c>
      <c r="K565" s="3">
        <v>46168</v>
      </c>
      <c r="L565" s="3">
        <v>46179</v>
      </c>
      <c r="M565" s="1" t="s">
        <v>11051</v>
      </c>
      <c r="N565" s="1" t="s">
        <v>1493</v>
      </c>
    </row>
    <row r="566" spans="1:14" s="1" customFormat="1" x14ac:dyDescent="0.35">
      <c r="A566" s="1" t="s">
        <v>5171</v>
      </c>
      <c r="B566" s="1" t="s">
        <v>1387</v>
      </c>
      <c r="C566" s="1" t="s">
        <v>1501</v>
      </c>
      <c r="D566" s="1" t="s">
        <v>11050</v>
      </c>
      <c r="E566" s="1" t="str">
        <f>"3930"</f>
        <v>3930</v>
      </c>
      <c r="F566" s="1" t="s">
        <v>1476</v>
      </c>
      <c r="G566" s="1" t="s">
        <v>1477</v>
      </c>
      <c r="H566" s="1" t="s">
        <v>16</v>
      </c>
      <c r="I566" s="4" t="str">
        <f>"1"</f>
        <v>1</v>
      </c>
      <c r="J566" s="2" t="str">
        <f>"2895"</f>
        <v>2895</v>
      </c>
      <c r="K566" s="3">
        <v>46168</v>
      </c>
      <c r="L566" s="3">
        <v>46179</v>
      </c>
      <c r="M566" s="1" t="s">
        <v>11049</v>
      </c>
      <c r="N566" s="1" t="s">
        <v>11048</v>
      </c>
    </row>
    <row r="567" spans="1:14" s="1" customFormat="1" x14ac:dyDescent="0.35">
      <c r="A567" s="1" t="s">
        <v>0</v>
      </c>
      <c r="B567" s="1" t="s">
        <v>1387</v>
      </c>
      <c r="C567" s="1" t="s">
        <v>1455</v>
      </c>
      <c r="D567" s="1" t="s">
        <v>11047</v>
      </c>
      <c r="E567" s="1" t="str">
        <f>"5855"</f>
        <v>5855</v>
      </c>
      <c r="F567" s="1" t="s">
        <v>4563</v>
      </c>
      <c r="G567" s="1" t="s">
        <v>4564</v>
      </c>
      <c r="H567" s="1" t="s">
        <v>16</v>
      </c>
      <c r="I567" s="4" t="str">
        <f>"1"</f>
        <v>1</v>
      </c>
      <c r="J567" s="2" t="str">
        <f>"2200"</f>
        <v>2200</v>
      </c>
      <c r="K567" s="3">
        <v>46182</v>
      </c>
      <c r="L567" s="3">
        <v>46182</v>
      </c>
      <c r="N567" s="1" t="s">
        <v>11046</v>
      </c>
    </row>
    <row r="568" spans="1:14" s="1" customFormat="1" x14ac:dyDescent="0.35">
      <c r="A568" s="1" t="s">
        <v>5171</v>
      </c>
      <c r="B568" s="1" t="s">
        <v>1387</v>
      </c>
      <c r="C568" s="1" t="s">
        <v>11015</v>
      </c>
      <c r="D568" s="1" t="s">
        <v>11045</v>
      </c>
      <c r="E568" s="1" t="str">
        <f>"1240"</f>
        <v>1240</v>
      </c>
      <c r="F568" s="1" t="str">
        <f>"014111265"</f>
        <v>014111265</v>
      </c>
      <c r="G568" s="1" t="s">
        <v>1103</v>
      </c>
      <c r="H568" s="1" t="s">
        <v>16</v>
      </c>
      <c r="I568" s="4" t="str">
        <f>"10"</f>
        <v>10</v>
      </c>
      <c r="J568" s="2" t="str">
        <f>"339"</f>
        <v>339</v>
      </c>
      <c r="K568" s="3">
        <v>46139</v>
      </c>
      <c r="L568" s="3">
        <v>46182</v>
      </c>
      <c r="M568" s="1" t="s">
        <v>11044</v>
      </c>
      <c r="N568" s="1" t="s">
        <v>11043</v>
      </c>
    </row>
    <row r="569" spans="1:14" s="1" customFormat="1" x14ac:dyDescent="0.35">
      <c r="A569" s="1" t="s">
        <v>5171</v>
      </c>
      <c r="B569" s="1" t="s">
        <v>1387</v>
      </c>
      <c r="C569" s="1" t="s">
        <v>1541</v>
      </c>
      <c r="D569" s="1" t="s">
        <v>11042</v>
      </c>
      <c r="E569" s="1" t="str">
        <f>"6545"</f>
        <v>6545</v>
      </c>
      <c r="F569" s="1" t="str">
        <f>"015377904"</f>
        <v>015377904</v>
      </c>
      <c r="G569" s="1" t="s">
        <v>7264</v>
      </c>
      <c r="H569" s="1" t="s">
        <v>215</v>
      </c>
      <c r="I569" s="4" t="str">
        <f>"2"</f>
        <v>2</v>
      </c>
      <c r="J569" s="2">
        <v>4092.43</v>
      </c>
      <c r="K569" s="3">
        <v>46145</v>
      </c>
      <c r="L569" s="3">
        <v>46184</v>
      </c>
      <c r="M569" s="1" t="s">
        <v>11041</v>
      </c>
      <c r="N569" s="1" t="s">
        <v>11040</v>
      </c>
    </row>
    <row r="570" spans="1:14" s="1" customFormat="1" x14ac:dyDescent="0.35">
      <c r="A570" s="1" t="s">
        <v>0</v>
      </c>
      <c r="B570" s="1" t="s">
        <v>1387</v>
      </c>
      <c r="C570" s="1" t="s">
        <v>1388</v>
      </c>
      <c r="D570" s="1" t="s">
        <v>11039</v>
      </c>
      <c r="E570" s="1" t="str">
        <f>"2320"</f>
        <v>2320</v>
      </c>
      <c r="F570" s="1" t="str">
        <f>"013808213"</f>
        <v>013808213</v>
      </c>
      <c r="G570" s="1" t="s">
        <v>414</v>
      </c>
      <c r="H570" s="1" t="s">
        <v>16</v>
      </c>
      <c r="I570" s="4" t="str">
        <f>"1"</f>
        <v>1</v>
      </c>
      <c r="J570" s="2" t="str">
        <f>"77522"</f>
        <v>77522</v>
      </c>
      <c r="K570" s="3">
        <v>46185</v>
      </c>
      <c r="L570" s="3">
        <v>46185</v>
      </c>
      <c r="N570" s="1" t="s">
        <v>11038</v>
      </c>
    </row>
    <row r="571" spans="1:14" s="1" customFormat="1" x14ac:dyDescent="0.35">
      <c r="A571" s="1" t="s">
        <v>5171</v>
      </c>
      <c r="B571" s="1" t="s">
        <v>1387</v>
      </c>
      <c r="C571" s="1" t="s">
        <v>1455</v>
      </c>
      <c r="D571" s="1" t="s">
        <v>11037</v>
      </c>
      <c r="E571" s="1" t="str">
        <f>"3805"</f>
        <v>3805</v>
      </c>
      <c r="F571" s="1" t="str">
        <f>"015658767"</f>
        <v>015658767</v>
      </c>
      <c r="G571" s="1" t="s">
        <v>11034</v>
      </c>
      <c r="H571" s="1" t="s">
        <v>16</v>
      </c>
      <c r="I571" s="4" t="str">
        <f>"1"</f>
        <v>1</v>
      </c>
      <c r="J571" s="2" t="str">
        <f>"55414"</f>
        <v>55414</v>
      </c>
      <c r="K571" s="3">
        <v>46187</v>
      </c>
      <c r="L571" s="3">
        <v>46188</v>
      </c>
      <c r="M571" s="1" t="s">
        <v>5469</v>
      </c>
      <c r="N571" s="1" t="s">
        <v>11036</v>
      </c>
    </row>
    <row r="572" spans="1:14" s="1" customFormat="1" x14ac:dyDescent="0.35">
      <c r="A572" s="1" t="s">
        <v>0</v>
      </c>
      <c r="B572" s="1" t="s">
        <v>1387</v>
      </c>
      <c r="C572" s="1" t="s">
        <v>1394</v>
      </c>
      <c r="D572" s="1" t="s">
        <v>11035</v>
      </c>
      <c r="E572" s="1" t="str">
        <f>"3805"</f>
        <v>3805</v>
      </c>
      <c r="F572" s="1" t="str">
        <f>"015658767"</f>
        <v>015658767</v>
      </c>
      <c r="G572" s="1" t="s">
        <v>11034</v>
      </c>
      <c r="H572" s="1" t="s">
        <v>16</v>
      </c>
      <c r="I572" s="4" t="str">
        <f>"1"</f>
        <v>1</v>
      </c>
      <c r="J572" s="2" t="str">
        <f>"55414"</f>
        <v>55414</v>
      </c>
      <c r="K572" s="3">
        <v>46188</v>
      </c>
      <c r="L572" s="3">
        <v>46189</v>
      </c>
      <c r="N572" s="1" t="s">
        <v>11033</v>
      </c>
    </row>
    <row r="573" spans="1:14" s="1" customFormat="1" x14ac:dyDescent="0.35">
      <c r="A573" s="1" t="s">
        <v>5171</v>
      </c>
      <c r="B573" s="1" t="s">
        <v>1387</v>
      </c>
      <c r="C573" s="1" t="s">
        <v>1474</v>
      </c>
      <c r="D573" s="1" t="s">
        <v>11032</v>
      </c>
      <c r="E573" s="1" t="str">
        <f>"2320"</f>
        <v>2320</v>
      </c>
      <c r="F573" s="1" t="str">
        <f>"013808604"</f>
        <v>013808604</v>
      </c>
      <c r="G573" s="1" t="s">
        <v>414</v>
      </c>
      <c r="H573" s="1" t="s">
        <v>16</v>
      </c>
      <c r="I573" s="4" t="str">
        <f>"1"</f>
        <v>1</v>
      </c>
      <c r="J573" s="2" t="str">
        <f>"89900"</f>
        <v>89900</v>
      </c>
      <c r="K573" s="3">
        <v>46169</v>
      </c>
      <c r="L573" s="3">
        <v>46189</v>
      </c>
      <c r="M573" s="1" t="s">
        <v>11031</v>
      </c>
      <c r="N573" s="1" t="s">
        <v>11030</v>
      </c>
    </row>
    <row r="574" spans="1:14" s="1" customFormat="1" x14ac:dyDescent="0.35">
      <c r="A574" s="1" t="s">
        <v>5171</v>
      </c>
      <c r="B574" s="1" t="s">
        <v>1387</v>
      </c>
      <c r="C574" s="1" t="s">
        <v>1474</v>
      </c>
      <c r="D574" s="1" t="s">
        <v>11029</v>
      </c>
      <c r="E574" s="1" t="str">
        <f>"2330"</f>
        <v>2330</v>
      </c>
      <c r="F574" s="1" t="s">
        <v>70</v>
      </c>
      <c r="G574" s="1" t="s">
        <v>71</v>
      </c>
      <c r="H574" s="1" t="s">
        <v>16</v>
      </c>
      <c r="I574" s="4" t="str">
        <f>"1"</f>
        <v>1</v>
      </c>
      <c r="J574" s="2">
        <v>14204.4</v>
      </c>
      <c r="K574" s="3">
        <v>46171</v>
      </c>
      <c r="L574" s="3">
        <v>46190</v>
      </c>
      <c r="M574" s="1" t="s">
        <v>11028</v>
      </c>
      <c r="N574" s="1" t="s">
        <v>11027</v>
      </c>
    </row>
    <row r="575" spans="1:14" s="1" customFormat="1" x14ac:dyDescent="0.35">
      <c r="A575" s="1" t="s">
        <v>5171</v>
      </c>
      <c r="B575" s="1" t="s">
        <v>1387</v>
      </c>
      <c r="C575" s="1" t="s">
        <v>1501</v>
      </c>
      <c r="D575" s="1" t="s">
        <v>11026</v>
      </c>
      <c r="E575" s="1" t="str">
        <f>"6115"</f>
        <v>6115</v>
      </c>
      <c r="F575" s="1" t="str">
        <f>"012853012"</f>
        <v>012853012</v>
      </c>
      <c r="G575" s="1" t="s">
        <v>1390</v>
      </c>
      <c r="H575" s="1" t="s">
        <v>16</v>
      </c>
      <c r="I575" s="4" t="str">
        <f>"2"</f>
        <v>2</v>
      </c>
      <c r="J575" s="2" t="str">
        <f>"45640"</f>
        <v>45640</v>
      </c>
      <c r="K575" s="3">
        <v>46157</v>
      </c>
      <c r="L575" s="3">
        <v>46190</v>
      </c>
      <c r="M575" s="1" t="s">
        <v>11025</v>
      </c>
      <c r="N575" s="1" t="s">
        <v>11024</v>
      </c>
    </row>
    <row r="576" spans="1:14" s="1" customFormat="1" x14ac:dyDescent="0.35">
      <c r="A576" s="1" t="s">
        <v>5171</v>
      </c>
      <c r="B576" s="1" t="s">
        <v>1387</v>
      </c>
      <c r="C576" s="1" t="s">
        <v>1501</v>
      </c>
      <c r="D576" s="1" t="s">
        <v>11023</v>
      </c>
      <c r="E576" s="1" t="str">
        <f>"2320"</f>
        <v>2320</v>
      </c>
      <c r="F576" s="1" t="str">
        <f>"013808213"</f>
        <v>013808213</v>
      </c>
      <c r="G576" s="1" t="s">
        <v>414</v>
      </c>
      <c r="H576" s="1" t="s">
        <v>16</v>
      </c>
      <c r="I576" s="4" t="str">
        <f>"1"</f>
        <v>1</v>
      </c>
      <c r="J576" s="2" t="str">
        <f>"77522"</f>
        <v>77522</v>
      </c>
      <c r="K576" s="3">
        <v>46184</v>
      </c>
      <c r="L576" s="3">
        <v>46195</v>
      </c>
      <c r="M576" s="1" t="s">
        <v>5167</v>
      </c>
      <c r="N576" s="1" t="s">
        <v>11022</v>
      </c>
    </row>
    <row r="577" spans="1:14" s="1" customFormat="1" x14ac:dyDescent="0.35">
      <c r="A577" s="1" t="s">
        <v>0</v>
      </c>
      <c r="B577" s="1" t="s">
        <v>1387</v>
      </c>
      <c r="C577" s="1" t="s">
        <v>1394</v>
      </c>
      <c r="D577" s="1" t="s">
        <v>11021</v>
      </c>
      <c r="E577" s="1" t="str">
        <f>"2330"</f>
        <v>2330</v>
      </c>
      <c r="F577" s="1" t="s">
        <v>70</v>
      </c>
      <c r="G577" s="1" t="s">
        <v>71</v>
      </c>
      <c r="H577" s="1" t="s">
        <v>16</v>
      </c>
      <c r="I577" s="4" t="str">
        <f>"1"</f>
        <v>1</v>
      </c>
      <c r="J577" s="2">
        <v>14204.4</v>
      </c>
      <c r="K577" s="3">
        <v>46195</v>
      </c>
      <c r="L577" s="3">
        <v>46196</v>
      </c>
      <c r="M577" s="1" t="s">
        <v>11020</v>
      </c>
      <c r="N577" s="1" t="s">
        <v>11019</v>
      </c>
    </row>
    <row r="578" spans="1:14" s="1" customFormat="1" x14ac:dyDescent="0.35">
      <c r="A578" s="1" t="s">
        <v>5171</v>
      </c>
      <c r="B578" s="1" t="s">
        <v>1387</v>
      </c>
      <c r="C578" s="1" t="s">
        <v>1455</v>
      </c>
      <c r="D578" s="1" t="s">
        <v>11018</v>
      </c>
      <c r="E578" s="1" t="str">
        <f>"2330"</f>
        <v>2330</v>
      </c>
      <c r="F578" s="1" t="s">
        <v>70</v>
      </c>
      <c r="G578" s="1" t="s">
        <v>71</v>
      </c>
      <c r="H578" s="1" t="s">
        <v>16</v>
      </c>
      <c r="I578" s="4" t="str">
        <f>"1"</f>
        <v>1</v>
      </c>
      <c r="J578" s="2">
        <v>14204.4</v>
      </c>
      <c r="K578" s="3">
        <v>46195</v>
      </c>
      <c r="L578" s="3">
        <v>46196</v>
      </c>
      <c r="M578" s="1" t="s">
        <v>11017</v>
      </c>
      <c r="N578" s="1" t="s">
        <v>11016</v>
      </c>
    </row>
    <row r="579" spans="1:14" s="1" customFormat="1" x14ac:dyDescent="0.35">
      <c r="A579" s="1" t="s">
        <v>5171</v>
      </c>
      <c r="B579" s="1" t="s">
        <v>1387</v>
      </c>
      <c r="C579" s="1" t="s">
        <v>1455</v>
      </c>
      <c r="D579" s="1" t="s">
        <v>11018</v>
      </c>
      <c r="E579" s="1" t="str">
        <f>"2330"</f>
        <v>2330</v>
      </c>
      <c r="F579" s="1" t="s">
        <v>70</v>
      </c>
      <c r="G579" s="1" t="s">
        <v>71</v>
      </c>
      <c r="H579" s="1" t="s">
        <v>16</v>
      </c>
      <c r="I579" s="4" t="str">
        <f>"1"</f>
        <v>1</v>
      </c>
      <c r="J579" s="2">
        <v>14204.4</v>
      </c>
      <c r="K579" s="3">
        <v>46195</v>
      </c>
      <c r="L579" s="3">
        <v>46196</v>
      </c>
      <c r="M579" s="1" t="s">
        <v>11017</v>
      </c>
      <c r="N579" s="1" t="s">
        <v>11016</v>
      </c>
    </row>
    <row r="580" spans="1:14" s="1" customFormat="1" x14ac:dyDescent="0.35">
      <c r="A580" s="1" t="s">
        <v>5171</v>
      </c>
      <c r="B580" s="1" t="s">
        <v>1387</v>
      </c>
      <c r="C580" s="1" t="s">
        <v>11015</v>
      </c>
      <c r="D580" s="1" t="s">
        <v>11014</v>
      </c>
      <c r="E580" s="1" t="str">
        <f>"1240"</f>
        <v>1240</v>
      </c>
      <c r="F580" s="1" t="str">
        <f>"014111265"</f>
        <v>014111265</v>
      </c>
      <c r="G580" s="1" t="s">
        <v>1103</v>
      </c>
      <c r="H580" s="1" t="s">
        <v>16</v>
      </c>
      <c r="I580" s="4" t="str">
        <f>"26"</f>
        <v>26</v>
      </c>
      <c r="J580" s="2" t="str">
        <f>"339"</f>
        <v>339</v>
      </c>
      <c r="K580" s="3">
        <v>46197</v>
      </c>
      <c r="L580" s="3">
        <v>46198</v>
      </c>
      <c r="N580" s="1" t="s">
        <v>11013</v>
      </c>
    </row>
    <row r="581" spans="1:14" s="1" customFormat="1" x14ac:dyDescent="0.35">
      <c r="A581" s="1" t="s">
        <v>5171</v>
      </c>
      <c r="B581" s="1" t="s">
        <v>1387</v>
      </c>
      <c r="C581" s="1" t="s">
        <v>1474</v>
      </c>
      <c r="D581" s="1" t="s">
        <v>11012</v>
      </c>
      <c r="E581" s="1" t="str">
        <f>"2420"</f>
        <v>2420</v>
      </c>
      <c r="F581" s="1" t="s">
        <v>501</v>
      </c>
      <c r="G581" s="1" t="s">
        <v>502</v>
      </c>
      <c r="H581" s="1" t="s">
        <v>16</v>
      </c>
      <c r="I581" s="4" t="str">
        <f>"1"</f>
        <v>1</v>
      </c>
      <c r="J581" s="2" t="str">
        <f>"24800"</f>
        <v>24800</v>
      </c>
      <c r="K581" s="3">
        <v>46169</v>
      </c>
      <c r="L581" s="3">
        <v>46198</v>
      </c>
      <c r="M581" s="1" t="s">
        <v>11011</v>
      </c>
      <c r="N581" s="1" t="s">
        <v>11010</v>
      </c>
    </row>
    <row r="582" spans="1:14" s="1" customFormat="1" x14ac:dyDescent="0.35">
      <c r="A582" s="1" t="s">
        <v>5171</v>
      </c>
      <c r="B582" s="1" t="s">
        <v>1387</v>
      </c>
      <c r="C582" s="1" t="s">
        <v>1548</v>
      </c>
      <c r="D582" s="1" t="s">
        <v>11009</v>
      </c>
      <c r="E582" s="1" t="str">
        <f>"2410"</f>
        <v>2410</v>
      </c>
      <c r="F582" s="1" t="str">
        <f>"001777284"</f>
        <v>001777284</v>
      </c>
      <c r="G582" s="1" t="s">
        <v>989</v>
      </c>
      <c r="H582" s="1" t="s">
        <v>16</v>
      </c>
      <c r="I582" s="4" t="str">
        <f>"1"</f>
        <v>1</v>
      </c>
      <c r="J582" s="2" t="str">
        <f>"72325"</f>
        <v>72325</v>
      </c>
      <c r="K582" s="3">
        <v>46161</v>
      </c>
      <c r="L582" s="3">
        <v>46198</v>
      </c>
      <c r="M582" s="1" t="s">
        <v>11008</v>
      </c>
      <c r="N582" s="1" t="s">
        <v>11005</v>
      </c>
    </row>
    <row r="583" spans="1:14" s="1" customFormat="1" x14ac:dyDescent="0.35">
      <c r="A583" s="1" t="s">
        <v>5171</v>
      </c>
      <c r="B583" s="1" t="s">
        <v>1387</v>
      </c>
      <c r="C583" s="1" t="s">
        <v>1548</v>
      </c>
      <c r="D583" s="1" t="s">
        <v>11007</v>
      </c>
      <c r="E583" s="1" t="str">
        <f>"2420"</f>
        <v>2420</v>
      </c>
      <c r="F583" s="1" t="s">
        <v>501</v>
      </c>
      <c r="G583" s="1" t="s">
        <v>502</v>
      </c>
      <c r="H583" s="1" t="s">
        <v>16</v>
      </c>
      <c r="I583" s="4" t="str">
        <f>"1"</f>
        <v>1</v>
      </c>
      <c r="J583" s="2" t="str">
        <f>"61275"</f>
        <v>61275</v>
      </c>
      <c r="K583" s="3">
        <v>46161</v>
      </c>
      <c r="L583" s="3">
        <v>46198</v>
      </c>
      <c r="M583" s="1" t="s">
        <v>11006</v>
      </c>
      <c r="N583" s="1" t="s">
        <v>11005</v>
      </c>
    </row>
    <row r="584" spans="1:14" s="1" customFormat="1" x14ac:dyDescent="0.35">
      <c r="A584" s="1" t="s">
        <v>5171</v>
      </c>
      <c r="B584" s="1" t="s">
        <v>1387</v>
      </c>
      <c r="C584" s="1" t="s">
        <v>1394</v>
      </c>
      <c r="D584" s="1" t="s">
        <v>11004</v>
      </c>
      <c r="E584" s="1" t="str">
        <f>"5410"</f>
        <v>5410</v>
      </c>
      <c r="F584" s="1" t="s">
        <v>8792</v>
      </c>
      <c r="G584" s="1" t="s">
        <v>8791</v>
      </c>
      <c r="H584" s="1" t="s">
        <v>16</v>
      </c>
      <c r="I584" s="4" t="str">
        <f>"1"</f>
        <v>1</v>
      </c>
      <c r="J584" s="2">
        <v>229938.72</v>
      </c>
      <c r="K584" s="3">
        <v>46195</v>
      </c>
      <c r="L584" s="3">
        <v>46199</v>
      </c>
      <c r="M584" s="1" t="s">
        <v>11003</v>
      </c>
      <c r="N584" s="1" t="s">
        <v>11002</v>
      </c>
    </row>
    <row r="585" spans="1:14" s="1" customFormat="1" x14ac:dyDescent="0.35">
      <c r="A585" s="1" t="s">
        <v>5171</v>
      </c>
      <c r="B585" s="1" t="s">
        <v>1387</v>
      </c>
      <c r="C585" s="1" t="s">
        <v>1444</v>
      </c>
      <c r="D585" s="1" t="s">
        <v>11001</v>
      </c>
      <c r="E585" s="1" t="str">
        <f>"2330"</f>
        <v>2330</v>
      </c>
      <c r="F585" s="1" t="s">
        <v>70</v>
      </c>
      <c r="G585" s="1" t="s">
        <v>71</v>
      </c>
      <c r="H585" s="1" t="s">
        <v>16</v>
      </c>
      <c r="I585" s="4" t="str">
        <f>"1"</f>
        <v>1</v>
      </c>
      <c r="J585" s="2" t="str">
        <f>"6304"</f>
        <v>6304</v>
      </c>
      <c r="K585" s="3">
        <v>46190</v>
      </c>
      <c r="L585" s="3">
        <v>46199</v>
      </c>
      <c r="M585" s="1" t="s">
        <v>11000</v>
      </c>
      <c r="N585" s="1" t="s">
        <v>10999</v>
      </c>
    </row>
    <row r="586" spans="1:14" s="1" customFormat="1" x14ac:dyDescent="0.35">
      <c r="A586" s="1" t="s">
        <v>5171</v>
      </c>
      <c r="B586" s="1" t="s">
        <v>1387</v>
      </c>
      <c r="C586" s="1" t="s">
        <v>1455</v>
      </c>
      <c r="D586" s="1" t="s">
        <v>10998</v>
      </c>
      <c r="E586" s="1" t="str">
        <f>"2320"</f>
        <v>2320</v>
      </c>
      <c r="F586" s="1" t="s">
        <v>975</v>
      </c>
      <c r="G586" s="1" t="s">
        <v>976</v>
      </c>
      <c r="H586" s="1" t="s">
        <v>16</v>
      </c>
      <c r="I586" s="4" t="str">
        <f>"1"</f>
        <v>1</v>
      </c>
      <c r="J586" s="2" t="str">
        <f>"100000"</f>
        <v>100000</v>
      </c>
      <c r="K586" s="3">
        <v>46190</v>
      </c>
      <c r="L586" s="3">
        <v>46200</v>
      </c>
      <c r="M586" s="1" t="s">
        <v>10997</v>
      </c>
      <c r="N586" s="1" t="s">
        <v>10996</v>
      </c>
    </row>
    <row r="587" spans="1:14" s="1" customFormat="1" x14ac:dyDescent="0.35">
      <c r="A587" s="1" t="s">
        <v>0</v>
      </c>
      <c r="B587" s="1" t="s">
        <v>1387</v>
      </c>
      <c r="C587" s="1" t="s">
        <v>1455</v>
      </c>
      <c r="D587" s="1" t="s">
        <v>10995</v>
      </c>
      <c r="E587" s="1" t="str">
        <f>"3431"</f>
        <v>3431</v>
      </c>
      <c r="F587" s="1" t="str">
        <f>"014984423"</f>
        <v>014984423</v>
      </c>
      <c r="G587" s="1" t="s">
        <v>10994</v>
      </c>
      <c r="H587" s="1" t="s">
        <v>16</v>
      </c>
      <c r="I587" s="4" t="str">
        <f>"1"</f>
        <v>1</v>
      </c>
      <c r="J587" s="2" t="str">
        <f>"42958"</f>
        <v>42958</v>
      </c>
      <c r="K587" s="3">
        <v>46201</v>
      </c>
      <c r="L587" s="3">
        <v>46202</v>
      </c>
      <c r="M587" s="1" t="s">
        <v>10993</v>
      </c>
      <c r="N587" s="1" t="s">
        <v>10992</v>
      </c>
    </row>
    <row r="588" spans="1:14" s="1" customFormat="1" x14ac:dyDescent="0.35">
      <c r="A588" s="1" t="s">
        <v>5171</v>
      </c>
      <c r="B588" s="1" t="s">
        <v>1387</v>
      </c>
      <c r="C588" s="1" t="s">
        <v>10988</v>
      </c>
      <c r="D588" s="1" t="s">
        <v>10991</v>
      </c>
      <c r="E588" s="1" t="str">
        <f>"2320"</f>
        <v>2320</v>
      </c>
      <c r="F588" s="1" t="str">
        <f>"012395371"</f>
        <v>012395371</v>
      </c>
      <c r="G588" s="1" t="s">
        <v>3486</v>
      </c>
      <c r="H588" s="1" t="s">
        <v>16</v>
      </c>
      <c r="I588" s="4" t="str">
        <f>"1"</f>
        <v>1</v>
      </c>
      <c r="J588" s="2">
        <v>94124.96</v>
      </c>
      <c r="K588" s="3">
        <v>46181</v>
      </c>
      <c r="L588" s="3">
        <v>46202</v>
      </c>
      <c r="M588" s="1" t="s">
        <v>10990</v>
      </c>
      <c r="N588" s="1" t="s">
        <v>10989</v>
      </c>
    </row>
    <row r="589" spans="1:14" s="1" customFormat="1" x14ac:dyDescent="0.35">
      <c r="A589" s="1" t="s">
        <v>5171</v>
      </c>
      <c r="B589" s="1" t="s">
        <v>1387</v>
      </c>
      <c r="C589" s="1" t="s">
        <v>10988</v>
      </c>
      <c r="D589" s="1" t="s">
        <v>10987</v>
      </c>
      <c r="E589" s="1" t="str">
        <f>"2320"</f>
        <v>2320</v>
      </c>
      <c r="F589" s="1" t="s">
        <v>975</v>
      </c>
      <c r="G589" s="1" t="s">
        <v>976</v>
      </c>
      <c r="H589" s="1" t="s">
        <v>16</v>
      </c>
      <c r="I589" s="4" t="str">
        <f>"1"</f>
        <v>1</v>
      </c>
      <c r="J589" s="2" t="str">
        <f>"90235"</f>
        <v>90235</v>
      </c>
      <c r="K589" s="3">
        <v>46182</v>
      </c>
      <c r="L589" s="3">
        <v>46202</v>
      </c>
      <c r="M589" s="1" t="s">
        <v>10986</v>
      </c>
      <c r="N589" s="1" t="s">
        <v>10985</v>
      </c>
    </row>
    <row r="590" spans="1:14" s="1" customFormat="1" x14ac:dyDescent="0.35">
      <c r="A590" s="1" t="s">
        <v>5171</v>
      </c>
      <c r="B590" s="1" t="s">
        <v>1387</v>
      </c>
      <c r="C590" s="1" t="s">
        <v>1548</v>
      </c>
      <c r="D590" s="1" t="s">
        <v>10984</v>
      </c>
      <c r="E590" s="1" t="str">
        <f>"2320"</f>
        <v>2320</v>
      </c>
      <c r="F590" s="1" t="s">
        <v>975</v>
      </c>
      <c r="G590" s="1" t="s">
        <v>976</v>
      </c>
      <c r="H590" s="1" t="s">
        <v>16</v>
      </c>
      <c r="I590" s="4" t="str">
        <f>"1"</f>
        <v>1</v>
      </c>
      <c r="J590" s="2">
        <v>36645.83</v>
      </c>
      <c r="K590" s="3">
        <v>46196</v>
      </c>
      <c r="L590" s="3">
        <v>46203</v>
      </c>
      <c r="M590" s="1" t="s">
        <v>10983</v>
      </c>
      <c r="N590" s="1" t="s">
        <v>10978</v>
      </c>
    </row>
    <row r="591" spans="1:14" s="1" customFormat="1" x14ac:dyDescent="0.35">
      <c r="A591" s="1" t="s">
        <v>5171</v>
      </c>
      <c r="B591" s="1" t="s">
        <v>1387</v>
      </c>
      <c r="C591" s="1" t="s">
        <v>1548</v>
      </c>
      <c r="D591" s="1" t="s">
        <v>10982</v>
      </c>
      <c r="E591" s="1" t="str">
        <f>"2320"</f>
        <v>2320</v>
      </c>
      <c r="F591" s="1" t="s">
        <v>975</v>
      </c>
      <c r="G591" s="1" t="s">
        <v>976</v>
      </c>
      <c r="H591" s="1" t="s">
        <v>16</v>
      </c>
      <c r="I591" s="4" t="str">
        <f>"1"</f>
        <v>1</v>
      </c>
      <c r="J591" s="2" t="str">
        <f>"36123"</f>
        <v>36123</v>
      </c>
      <c r="K591" s="3">
        <v>46196</v>
      </c>
      <c r="L591" s="3">
        <v>46203</v>
      </c>
      <c r="M591" s="1" t="s">
        <v>10981</v>
      </c>
      <c r="N591" s="1" t="s">
        <v>10978</v>
      </c>
    </row>
    <row r="592" spans="1:14" s="1" customFormat="1" x14ac:dyDescent="0.35">
      <c r="A592" s="1" t="s">
        <v>5171</v>
      </c>
      <c r="B592" s="1" t="s">
        <v>1387</v>
      </c>
      <c r="C592" s="1" t="s">
        <v>1548</v>
      </c>
      <c r="D592" s="1" t="s">
        <v>10980</v>
      </c>
      <c r="E592" s="1" t="str">
        <f>"2320"</f>
        <v>2320</v>
      </c>
      <c r="F592" s="1" t="s">
        <v>975</v>
      </c>
      <c r="G592" s="1" t="s">
        <v>976</v>
      </c>
      <c r="H592" s="1" t="s">
        <v>16</v>
      </c>
      <c r="I592" s="4" t="str">
        <f>"1"</f>
        <v>1</v>
      </c>
      <c r="J592" s="2" t="str">
        <f>"36123"</f>
        <v>36123</v>
      </c>
      <c r="K592" s="3">
        <v>46196</v>
      </c>
      <c r="L592" s="3">
        <v>46203</v>
      </c>
      <c r="M592" s="1" t="s">
        <v>10979</v>
      </c>
      <c r="N592" s="1" t="s">
        <v>10978</v>
      </c>
    </row>
    <row r="593" spans="1:14" s="1" customFormat="1" x14ac:dyDescent="0.35">
      <c r="A593" s="1" t="s">
        <v>5171</v>
      </c>
      <c r="B593" s="1" t="s">
        <v>1553</v>
      </c>
      <c r="C593" s="1" t="s">
        <v>10963</v>
      </c>
      <c r="D593" s="1" t="s">
        <v>10977</v>
      </c>
      <c r="E593" s="1" t="str">
        <f>"5855"</f>
        <v>5855</v>
      </c>
      <c r="F593" s="1" t="s">
        <v>7848</v>
      </c>
      <c r="G593" s="1" t="s">
        <v>7847</v>
      </c>
      <c r="H593" s="1" t="s">
        <v>16</v>
      </c>
      <c r="I593" s="4" t="str">
        <f>"1"</f>
        <v>1</v>
      </c>
      <c r="J593" s="2" t="str">
        <f>"21900"</f>
        <v>21900</v>
      </c>
      <c r="K593" s="3">
        <v>46113</v>
      </c>
      <c r="L593" s="3">
        <v>46114</v>
      </c>
      <c r="M593" s="1" t="s">
        <v>5167</v>
      </c>
      <c r="N593" s="1" t="s">
        <v>10976</v>
      </c>
    </row>
    <row r="594" spans="1:14" s="1" customFormat="1" x14ac:dyDescent="0.35">
      <c r="A594" s="1" t="s">
        <v>5171</v>
      </c>
      <c r="B594" s="1" t="s">
        <v>1553</v>
      </c>
      <c r="C594" s="1" t="s">
        <v>10971</v>
      </c>
      <c r="D594" s="1" t="s">
        <v>10975</v>
      </c>
      <c r="E594" s="1" t="str">
        <f>"5855"</f>
        <v>5855</v>
      </c>
      <c r="F594" s="1" t="str">
        <f>"015330555"</f>
        <v>015330555</v>
      </c>
      <c r="G594" s="1" t="s">
        <v>462</v>
      </c>
      <c r="H594" s="1" t="s">
        <v>16</v>
      </c>
      <c r="I594" s="4" t="str">
        <f>"16"</f>
        <v>16</v>
      </c>
      <c r="J594" s="2" t="str">
        <f>"1800"</f>
        <v>1800</v>
      </c>
      <c r="K594" s="3">
        <v>46113</v>
      </c>
      <c r="L594" s="3">
        <v>46123</v>
      </c>
      <c r="M594" s="1" t="s">
        <v>5167</v>
      </c>
      <c r="N594" s="1" t="s">
        <v>10974</v>
      </c>
    </row>
    <row r="595" spans="1:14" s="1" customFormat="1" x14ac:dyDescent="0.35">
      <c r="A595" s="1" t="s">
        <v>5171</v>
      </c>
      <c r="B595" s="1" t="s">
        <v>1553</v>
      </c>
      <c r="C595" s="1" t="s">
        <v>10971</v>
      </c>
      <c r="D595" s="1" t="s">
        <v>10973</v>
      </c>
      <c r="E595" s="1" t="str">
        <f>"5855"</f>
        <v>5855</v>
      </c>
      <c r="F595" s="1" t="str">
        <f>"015330555"</f>
        <v>015330555</v>
      </c>
      <c r="G595" s="1" t="s">
        <v>462</v>
      </c>
      <c r="H595" s="1" t="s">
        <v>16</v>
      </c>
      <c r="I595" s="4" t="str">
        <f>"20"</f>
        <v>20</v>
      </c>
      <c r="J595" s="2" t="str">
        <f>"1800"</f>
        <v>1800</v>
      </c>
      <c r="K595" s="3">
        <v>46114</v>
      </c>
      <c r="L595" s="3">
        <v>46123</v>
      </c>
      <c r="M595" s="1" t="s">
        <v>5167</v>
      </c>
      <c r="N595" s="1" t="s">
        <v>10972</v>
      </c>
    </row>
    <row r="596" spans="1:14" s="1" customFormat="1" x14ac:dyDescent="0.35">
      <c r="A596" s="1" t="s">
        <v>5216</v>
      </c>
      <c r="B596" s="1" t="s">
        <v>1553</v>
      </c>
      <c r="C596" s="1" t="s">
        <v>10971</v>
      </c>
      <c r="D596" s="1" t="s">
        <v>10970</v>
      </c>
      <c r="E596" s="1" t="str">
        <f>"1240"</f>
        <v>1240</v>
      </c>
      <c r="F596" s="1" t="str">
        <f>"014111265"</f>
        <v>014111265</v>
      </c>
      <c r="G596" s="1" t="s">
        <v>1103</v>
      </c>
      <c r="H596" s="1" t="s">
        <v>16</v>
      </c>
      <c r="I596" s="4" t="str">
        <f>"1"</f>
        <v>1</v>
      </c>
      <c r="J596" s="2" t="str">
        <f>"339"</f>
        <v>339</v>
      </c>
      <c r="K596" s="3">
        <v>46113</v>
      </c>
      <c r="L596" s="3">
        <v>46127</v>
      </c>
      <c r="M596" s="1" t="s">
        <v>5644</v>
      </c>
      <c r="N596" s="1" t="s">
        <v>10969</v>
      </c>
    </row>
    <row r="597" spans="1:14" s="1" customFormat="1" x14ac:dyDescent="0.35">
      <c r="A597" s="1" t="s">
        <v>5216</v>
      </c>
      <c r="B597" s="1" t="s">
        <v>1553</v>
      </c>
      <c r="C597" s="1" t="s">
        <v>10963</v>
      </c>
      <c r="D597" s="1" t="s">
        <v>10968</v>
      </c>
      <c r="E597" s="1" t="str">
        <f>"5855"</f>
        <v>5855</v>
      </c>
      <c r="F597" s="1" t="str">
        <f>"015345931"</f>
        <v>015345931</v>
      </c>
      <c r="G597" s="1" t="s">
        <v>1379</v>
      </c>
      <c r="H597" s="1" t="s">
        <v>16</v>
      </c>
      <c r="I597" s="4" t="str">
        <f>"4"</f>
        <v>4</v>
      </c>
      <c r="J597" s="2" t="str">
        <f>"970"</f>
        <v>970</v>
      </c>
      <c r="K597" s="3">
        <v>46121</v>
      </c>
      <c r="L597" s="3">
        <v>46127</v>
      </c>
      <c r="M597" s="1" t="s">
        <v>3457</v>
      </c>
      <c r="N597" s="1" t="s">
        <v>10967</v>
      </c>
    </row>
    <row r="598" spans="1:14" s="1" customFormat="1" x14ac:dyDescent="0.35">
      <c r="A598" s="1" t="s">
        <v>5171</v>
      </c>
      <c r="B598" s="1" t="s">
        <v>1553</v>
      </c>
      <c r="C598" s="1" t="s">
        <v>10963</v>
      </c>
      <c r="D598" s="1" t="s">
        <v>10966</v>
      </c>
      <c r="E598" s="1" t="str">
        <f>"5855"</f>
        <v>5855</v>
      </c>
      <c r="F598" s="1" t="str">
        <f>"015356166"</f>
        <v>015356166</v>
      </c>
      <c r="G598" s="1" t="s">
        <v>1379</v>
      </c>
      <c r="H598" s="1" t="s">
        <v>16</v>
      </c>
      <c r="I598" s="4" t="str">
        <f>"8"</f>
        <v>8</v>
      </c>
      <c r="J598" s="2" t="str">
        <f>"898"</f>
        <v>898</v>
      </c>
      <c r="K598" s="3">
        <v>46121</v>
      </c>
      <c r="L598" s="3">
        <v>46129</v>
      </c>
      <c r="M598" s="1" t="s">
        <v>10965</v>
      </c>
      <c r="N598" s="1" t="s">
        <v>10964</v>
      </c>
    </row>
    <row r="599" spans="1:14" s="1" customFormat="1" x14ac:dyDescent="0.35">
      <c r="A599" s="1" t="s">
        <v>5171</v>
      </c>
      <c r="B599" s="1" t="s">
        <v>1553</v>
      </c>
      <c r="C599" s="1" t="s">
        <v>10963</v>
      </c>
      <c r="D599" s="1" t="s">
        <v>10962</v>
      </c>
      <c r="E599" s="1" t="str">
        <f>"5855"</f>
        <v>5855</v>
      </c>
      <c r="F599" s="1" t="str">
        <f>"015345931"</f>
        <v>015345931</v>
      </c>
      <c r="G599" s="1" t="s">
        <v>1379</v>
      </c>
      <c r="H599" s="1" t="s">
        <v>16</v>
      </c>
      <c r="I599" s="4" t="str">
        <f>"20"</f>
        <v>20</v>
      </c>
      <c r="J599" s="2" t="str">
        <f>"970"</f>
        <v>970</v>
      </c>
      <c r="K599" s="3">
        <v>46121</v>
      </c>
      <c r="L599" s="3">
        <v>46129</v>
      </c>
      <c r="M599" s="1" t="s">
        <v>10961</v>
      </c>
      <c r="N599" s="1" t="s">
        <v>10960</v>
      </c>
    </row>
    <row r="600" spans="1:14" s="1" customFormat="1" x14ac:dyDescent="0.35">
      <c r="A600" s="1" t="s">
        <v>5171</v>
      </c>
      <c r="B600" s="1" t="s">
        <v>1553</v>
      </c>
      <c r="C600" s="1" t="s">
        <v>1556</v>
      </c>
      <c r="D600" s="1" t="s">
        <v>10959</v>
      </c>
      <c r="E600" s="1" t="str">
        <f>"5855"</f>
        <v>5855</v>
      </c>
      <c r="F600" s="1" t="str">
        <f>"015330555"</f>
        <v>015330555</v>
      </c>
      <c r="G600" s="1" t="s">
        <v>462</v>
      </c>
      <c r="H600" s="1" t="s">
        <v>16</v>
      </c>
      <c r="I600" s="4" t="str">
        <f>"2"</f>
        <v>2</v>
      </c>
      <c r="J600" s="2" t="str">
        <f>"1800"</f>
        <v>1800</v>
      </c>
      <c r="K600" s="3">
        <v>46134</v>
      </c>
      <c r="L600" s="3">
        <v>46138</v>
      </c>
      <c r="M600" s="1" t="s">
        <v>5167</v>
      </c>
      <c r="N600" s="1" t="s">
        <v>1558</v>
      </c>
    </row>
    <row r="601" spans="1:14" s="1" customFormat="1" x14ac:dyDescent="0.35">
      <c r="A601" s="1" t="s">
        <v>5171</v>
      </c>
      <c r="B601" s="1" t="s">
        <v>1553</v>
      </c>
      <c r="C601" s="1" t="s">
        <v>1556</v>
      </c>
      <c r="D601" s="1" t="s">
        <v>10958</v>
      </c>
      <c r="E601" s="1" t="str">
        <f>"5830"</f>
        <v>5830</v>
      </c>
      <c r="F601" s="1" t="str">
        <f>"016259732"</f>
        <v>016259732</v>
      </c>
      <c r="G601" s="1" t="s">
        <v>1767</v>
      </c>
      <c r="H601" s="1" t="s">
        <v>16</v>
      </c>
      <c r="I601" s="4" t="str">
        <f>"1"</f>
        <v>1</v>
      </c>
      <c r="J601" s="2" t="str">
        <f>"94423"</f>
        <v>94423</v>
      </c>
      <c r="K601" s="3">
        <v>46142</v>
      </c>
      <c r="L601" s="3">
        <v>46151</v>
      </c>
      <c r="M601" s="1" t="s">
        <v>5167</v>
      </c>
      <c r="N601" s="1" t="s">
        <v>10957</v>
      </c>
    </row>
    <row r="602" spans="1:14" s="1" customFormat="1" x14ac:dyDescent="0.35">
      <c r="A602" s="1" t="s">
        <v>5171</v>
      </c>
      <c r="B602" s="1" t="s">
        <v>1553</v>
      </c>
      <c r="C602" s="1" t="s">
        <v>1554</v>
      </c>
      <c r="D602" s="1" t="s">
        <v>10956</v>
      </c>
      <c r="E602" s="1" t="str">
        <f>"5855"</f>
        <v>5855</v>
      </c>
      <c r="F602" s="1" t="str">
        <f>"015485687"</f>
        <v>015485687</v>
      </c>
      <c r="G602" s="1" t="s">
        <v>1921</v>
      </c>
      <c r="H602" s="1" t="s">
        <v>16</v>
      </c>
      <c r="I602" s="4" t="str">
        <f>"15"</f>
        <v>15</v>
      </c>
      <c r="J602" s="2" t="str">
        <f>"10402"</f>
        <v>10402</v>
      </c>
      <c r="K602" s="3">
        <v>46043</v>
      </c>
      <c r="L602" s="3">
        <v>46176</v>
      </c>
      <c r="M602" s="1" t="s">
        <v>10955</v>
      </c>
      <c r="N602" s="1" t="s">
        <v>10954</v>
      </c>
    </row>
    <row r="603" spans="1:14" s="1" customFormat="1" x14ac:dyDescent="0.35">
      <c r="A603" s="1" t="s">
        <v>5171</v>
      </c>
      <c r="B603" s="1" t="s">
        <v>1553</v>
      </c>
      <c r="C603" s="1" t="s">
        <v>10933</v>
      </c>
      <c r="D603" s="1" t="s">
        <v>10953</v>
      </c>
      <c r="E603" s="1" t="str">
        <f>"1550"</f>
        <v>1550</v>
      </c>
      <c r="F603" s="1" t="str">
        <f>"015389256"</f>
        <v>015389256</v>
      </c>
      <c r="G603" s="1" t="s">
        <v>203</v>
      </c>
      <c r="H603" s="1" t="s">
        <v>16</v>
      </c>
      <c r="I603" s="4" t="str">
        <f>"1"</f>
        <v>1</v>
      </c>
      <c r="J603" s="2" t="str">
        <f>"100000"</f>
        <v>100000</v>
      </c>
      <c r="K603" s="3">
        <v>46179</v>
      </c>
      <c r="L603" s="3">
        <v>46180</v>
      </c>
      <c r="M603" s="1" t="s">
        <v>5167</v>
      </c>
      <c r="N603" s="1" t="s">
        <v>10952</v>
      </c>
    </row>
    <row r="604" spans="1:14" s="1" customFormat="1" x14ac:dyDescent="0.35">
      <c r="A604" s="1" t="s">
        <v>5171</v>
      </c>
      <c r="B604" s="1" t="s">
        <v>1553</v>
      </c>
      <c r="C604" s="1" t="s">
        <v>10933</v>
      </c>
      <c r="D604" s="1" t="s">
        <v>10951</v>
      </c>
      <c r="E604" s="1" t="str">
        <f>"5855"</f>
        <v>5855</v>
      </c>
      <c r="F604" s="1" t="str">
        <f>"015777174"</f>
        <v>015777174</v>
      </c>
      <c r="G604" s="1" t="s">
        <v>1366</v>
      </c>
      <c r="H604" s="1" t="s">
        <v>16</v>
      </c>
      <c r="I604" s="4" t="str">
        <f>"12"</f>
        <v>12</v>
      </c>
      <c r="J604" s="2" t="str">
        <f>"1791"</f>
        <v>1791</v>
      </c>
      <c r="K604" s="3">
        <v>46179</v>
      </c>
      <c r="L604" s="3">
        <v>46184</v>
      </c>
      <c r="M604" s="1" t="s">
        <v>5167</v>
      </c>
      <c r="N604" s="1" t="s">
        <v>10950</v>
      </c>
    </row>
    <row r="605" spans="1:14" s="1" customFormat="1" x14ac:dyDescent="0.35">
      <c r="A605" s="1" t="s">
        <v>5171</v>
      </c>
      <c r="B605" s="1" t="s">
        <v>1553</v>
      </c>
      <c r="C605" s="1" t="s">
        <v>10933</v>
      </c>
      <c r="D605" s="1" t="s">
        <v>10949</v>
      </c>
      <c r="E605" s="1" t="str">
        <f>"5855"</f>
        <v>5855</v>
      </c>
      <c r="F605" s="1" t="str">
        <f>"015777174"</f>
        <v>015777174</v>
      </c>
      <c r="G605" s="1" t="s">
        <v>1366</v>
      </c>
      <c r="H605" s="1" t="s">
        <v>16</v>
      </c>
      <c r="I605" s="4" t="str">
        <f>"20"</f>
        <v>20</v>
      </c>
      <c r="J605" s="2" t="str">
        <f>"1791"</f>
        <v>1791</v>
      </c>
      <c r="K605" s="3">
        <v>46184</v>
      </c>
      <c r="L605" s="3">
        <v>46187</v>
      </c>
      <c r="M605" s="1" t="s">
        <v>5167</v>
      </c>
      <c r="N605" s="1" t="s">
        <v>10939</v>
      </c>
    </row>
    <row r="606" spans="1:14" s="1" customFormat="1" x14ac:dyDescent="0.35">
      <c r="A606" s="1" t="s">
        <v>5171</v>
      </c>
      <c r="B606" s="1" t="s">
        <v>1553</v>
      </c>
      <c r="C606" s="1" t="s">
        <v>1556</v>
      </c>
      <c r="D606" s="1" t="s">
        <v>10948</v>
      </c>
      <c r="E606" s="1" t="str">
        <f>"5855"</f>
        <v>5855</v>
      </c>
      <c r="F606" s="1" t="str">
        <f>"015675510"</f>
        <v>015675510</v>
      </c>
      <c r="G606" s="1" t="s">
        <v>1770</v>
      </c>
      <c r="H606" s="1" t="s">
        <v>16</v>
      </c>
      <c r="I606" s="4" t="str">
        <f>"14"</f>
        <v>14</v>
      </c>
      <c r="J606" s="2" t="str">
        <f>"10756"</f>
        <v>10756</v>
      </c>
      <c r="K606" s="3">
        <v>46158</v>
      </c>
      <c r="L606" s="3">
        <v>46191</v>
      </c>
      <c r="M606" s="1" t="s">
        <v>10947</v>
      </c>
      <c r="N606" s="1" t="s">
        <v>10946</v>
      </c>
    </row>
    <row r="607" spans="1:14" s="1" customFormat="1" x14ac:dyDescent="0.35">
      <c r="A607" s="1" t="s">
        <v>5171</v>
      </c>
      <c r="B607" s="1" t="s">
        <v>1553</v>
      </c>
      <c r="C607" s="1" t="s">
        <v>10933</v>
      </c>
      <c r="D607" s="1" t="s">
        <v>10945</v>
      </c>
      <c r="E607" s="1" t="str">
        <f>"2360"</f>
        <v>2360</v>
      </c>
      <c r="F607" s="1" t="str">
        <f>"016484004"</f>
        <v>016484004</v>
      </c>
      <c r="G607" s="1" t="s">
        <v>2021</v>
      </c>
      <c r="H607" s="1" t="s">
        <v>16</v>
      </c>
      <c r="I607" s="4" t="str">
        <f>"1"</f>
        <v>1</v>
      </c>
      <c r="J607" s="2" t="str">
        <f>"50000"</f>
        <v>50000</v>
      </c>
      <c r="K607" s="3">
        <v>46179</v>
      </c>
      <c r="L607" s="3">
        <v>46195</v>
      </c>
      <c r="M607" s="1" t="s">
        <v>5167</v>
      </c>
      <c r="N607" s="1" t="s">
        <v>10944</v>
      </c>
    </row>
    <row r="608" spans="1:14" s="1" customFormat="1" x14ac:dyDescent="0.35">
      <c r="A608" s="1" t="s">
        <v>5171</v>
      </c>
      <c r="B608" s="1" t="s">
        <v>1553</v>
      </c>
      <c r="C608" s="1" t="s">
        <v>10933</v>
      </c>
      <c r="D608" s="1" t="s">
        <v>10943</v>
      </c>
      <c r="E608" s="1" t="str">
        <f>"5855"</f>
        <v>5855</v>
      </c>
      <c r="F608" s="1" t="s">
        <v>4563</v>
      </c>
      <c r="G608" s="1" t="s">
        <v>4564</v>
      </c>
      <c r="H608" s="1" t="s">
        <v>16</v>
      </c>
      <c r="I608" s="4" t="str">
        <f>"1"</f>
        <v>1</v>
      </c>
      <c r="J608" s="2" t="str">
        <f>"2200"</f>
        <v>2200</v>
      </c>
      <c r="K608" s="3">
        <v>46189</v>
      </c>
      <c r="L608" s="3">
        <v>46195</v>
      </c>
      <c r="M608" s="1" t="s">
        <v>5167</v>
      </c>
      <c r="N608" s="1" t="s">
        <v>10941</v>
      </c>
    </row>
    <row r="609" spans="1:14" s="1" customFormat="1" x14ac:dyDescent="0.35">
      <c r="A609" s="1" t="s">
        <v>5171</v>
      </c>
      <c r="B609" s="1" t="s">
        <v>1553</v>
      </c>
      <c r="C609" s="1" t="s">
        <v>10933</v>
      </c>
      <c r="D609" s="1" t="s">
        <v>10942</v>
      </c>
      <c r="E609" s="1" t="str">
        <f>"5855"</f>
        <v>5855</v>
      </c>
      <c r="F609" s="1" t="s">
        <v>4563</v>
      </c>
      <c r="G609" s="1" t="s">
        <v>4564</v>
      </c>
      <c r="H609" s="1" t="s">
        <v>16</v>
      </c>
      <c r="I609" s="4" t="str">
        <f>"1"</f>
        <v>1</v>
      </c>
      <c r="J609" s="2" t="str">
        <f>"2200"</f>
        <v>2200</v>
      </c>
      <c r="K609" s="3">
        <v>46189</v>
      </c>
      <c r="L609" s="3">
        <v>46195</v>
      </c>
      <c r="M609" s="1" t="s">
        <v>5167</v>
      </c>
      <c r="N609" s="1" t="s">
        <v>10941</v>
      </c>
    </row>
    <row r="610" spans="1:14" s="1" customFormat="1" x14ac:dyDescent="0.35">
      <c r="A610" s="1" t="s">
        <v>5171</v>
      </c>
      <c r="B610" s="1" t="s">
        <v>1553</v>
      </c>
      <c r="C610" s="1" t="s">
        <v>10933</v>
      </c>
      <c r="D610" s="1" t="s">
        <v>10940</v>
      </c>
      <c r="E610" s="1" t="str">
        <f>"5855"</f>
        <v>5855</v>
      </c>
      <c r="F610" s="1" t="str">
        <f>"015777174"</f>
        <v>015777174</v>
      </c>
      <c r="G610" s="1" t="s">
        <v>1366</v>
      </c>
      <c r="H610" s="1" t="s">
        <v>16</v>
      </c>
      <c r="I610" s="4" t="str">
        <f>"17"</f>
        <v>17</v>
      </c>
      <c r="J610" s="2" t="str">
        <f>"1791"</f>
        <v>1791</v>
      </c>
      <c r="K610" s="3">
        <v>46188</v>
      </c>
      <c r="L610" s="3">
        <v>46200</v>
      </c>
      <c r="M610" s="1" t="s">
        <v>5167</v>
      </c>
      <c r="N610" s="1" t="s">
        <v>10939</v>
      </c>
    </row>
    <row r="611" spans="1:14" s="1" customFormat="1" x14ac:dyDescent="0.35">
      <c r="A611" s="1" t="s">
        <v>5171</v>
      </c>
      <c r="B611" s="1" t="s">
        <v>1553</v>
      </c>
      <c r="C611" s="1" t="s">
        <v>10933</v>
      </c>
      <c r="D611" s="1" t="s">
        <v>10938</v>
      </c>
      <c r="E611" s="1" t="str">
        <f>"6545"</f>
        <v>6545</v>
      </c>
      <c r="F611" s="1" t="str">
        <f>"015324962"</f>
        <v>015324962</v>
      </c>
      <c r="G611" s="1" t="s">
        <v>2053</v>
      </c>
      <c r="H611" s="1" t="s">
        <v>215</v>
      </c>
      <c r="I611" s="4" t="str">
        <f>"1"</f>
        <v>1</v>
      </c>
      <c r="J611" s="2">
        <v>1868.26</v>
      </c>
      <c r="K611" s="3">
        <v>46192</v>
      </c>
      <c r="L611" s="3">
        <v>46200</v>
      </c>
      <c r="M611" s="1" t="s">
        <v>5167</v>
      </c>
      <c r="N611" s="1" t="s">
        <v>10937</v>
      </c>
    </row>
    <row r="612" spans="1:14" s="1" customFormat="1" x14ac:dyDescent="0.35">
      <c r="A612" s="1" t="s">
        <v>5171</v>
      </c>
      <c r="B612" s="1" t="s">
        <v>1553</v>
      </c>
      <c r="C612" s="1" t="s">
        <v>10933</v>
      </c>
      <c r="D612" s="1" t="s">
        <v>10936</v>
      </c>
      <c r="E612" s="1" t="str">
        <f>"5855"</f>
        <v>5855</v>
      </c>
      <c r="F612" s="1" t="str">
        <f>"014582229"</f>
        <v>014582229</v>
      </c>
      <c r="G612" s="1" t="s">
        <v>10935</v>
      </c>
      <c r="H612" s="1" t="s">
        <v>16</v>
      </c>
      <c r="I612" s="4" t="str">
        <f>"1"</f>
        <v>1</v>
      </c>
      <c r="J612" s="2" t="str">
        <f>"400000"</f>
        <v>400000</v>
      </c>
      <c r="K612" s="3">
        <v>46189</v>
      </c>
      <c r="L612" s="3">
        <v>46201</v>
      </c>
      <c r="M612" s="1" t="s">
        <v>5167</v>
      </c>
      <c r="N612" s="1" t="s">
        <v>10934</v>
      </c>
    </row>
    <row r="613" spans="1:14" s="1" customFormat="1" x14ac:dyDescent="0.35">
      <c r="A613" s="1" t="s">
        <v>5171</v>
      </c>
      <c r="B613" s="1" t="s">
        <v>1553</v>
      </c>
      <c r="C613" s="1" t="s">
        <v>10933</v>
      </c>
      <c r="D613" s="1" t="s">
        <v>10932</v>
      </c>
      <c r="E613" s="1" t="str">
        <f>"5855"</f>
        <v>5855</v>
      </c>
      <c r="F613" s="1" t="str">
        <f>"015675510"</f>
        <v>015675510</v>
      </c>
      <c r="G613" s="1" t="s">
        <v>1770</v>
      </c>
      <c r="H613" s="1" t="s">
        <v>16</v>
      </c>
      <c r="I613" s="4" t="str">
        <f>"4"</f>
        <v>4</v>
      </c>
      <c r="J613" s="2" t="str">
        <f>"10756"</f>
        <v>10756</v>
      </c>
      <c r="K613" s="3">
        <v>46192</v>
      </c>
      <c r="L613" s="3">
        <v>46201</v>
      </c>
      <c r="M613" s="1" t="s">
        <v>5167</v>
      </c>
      <c r="N613" s="1" t="s">
        <v>10931</v>
      </c>
    </row>
    <row r="614" spans="1:14" s="1" customFormat="1" x14ac:dyDescent="0.35">
      <c r="A614" s="1" t="s">
        <v>5171</v>
      </c>
      <c r="B614" s="1" t="s">
        <v>1563</v>
      </c>
      <c r="C614" s="1" t="s">
        <v>1578</v>
      </c>
      <c r="D614" s="1" t="s">
        <v>10930</v>
      </c>
      <c r="E614" s="1" t="str">
        <f>"2805"</f>
        <v>2805</v>
      </c>
      <c r="F614" s="1" t="str">
        <f>"016789363"</f>
        <v>016789363</v>
      </c>
      <c r="G614" s="1" t="s">
        <v>10660</v>
      </c>
      <c r="H614" s="1" t="s">
        <v>16</v>
      </c>
      <c r="I614" s="4" t="str">
        <f>"1"</f>
        <v>1</v>
      </c>
      <c r="J614" s="2">
        <v>24464.03</v>
      </c>
      <c r="K614" s="3">
        <v>46095</v>
      </c>
      <c r="L614" s="3">
        <v>46113</v>
      </c>
      <c r="M614" s="1" t="s">
        <v>10929</v>
      </c>
      <c r="N614" s="1" t="s">
        <v>10926</v>
      </c>
    </row>
    <row r="615" spans="1:14" s="1" customFormat="1" x14ac:dyDescent="0.35">
      <c r="A615" s="1" t="s">
        <v>5171</v>
      </c>
      <c r="B615" s="1" t="s">
        <v>1563</v>
      </c>
      <c r="C615" s="1" t="s">
        <v>1578</v>
      </c>
      <c r="D615" s="1" t="s">
        <v>10928</v>
      </c>
      <c r="E615" s="1" t="str">
        <f>"2805"</f>
        <v>2805</v>
      </c>
      <c r="F615" s="1" t="str">
        <f>"016789363"</f>
        <v>016789363</v>
      </c>
      <c r="G615" s="1" t="s">
        <v>10660</v>
      </c>
      <c r="H615" s="1" t="s">
        <v>16</v>
      </c>
      <c r="I615" s="4" t="str">
        <f>"1"</f>
        <v>1</v>
      </c>
      <c r="J615" s="2">
        <v>24464.03</v>
      </c>
      <c r="K615" s="3">
        <v>46095</v>
      </c>
      <c r="L615" s="3">
        <v>46113</v>
      </c>
      <c r="M615" s="1" t="s">
        <v>10927</v>
      </c>
      <c r="N615" s="1" t="s">
        <v>10926</v>
      </c>
    </row>
    <row r="616" spans="1:14" s="1" customFormat="1" x14ac:dyDescent="0.35">
      <c r="A616" s="1" t="s">
        <v>5171</v>
      </c>
      <c r="B616" s="1" t="s">
        <v>1563</v>
      </c>
      <c r="C616" s="1" t="s">
        <v>1575</v>
      </c>
      <c r="D616" s="1" t="s">
        <v>10925</v>
      </c>
      <c r="E616" s="1" t="str">
        <f>"2310"</f>
        <v>2310</v>
      </c>
      <c r="F616" s="1" t="s">
        <v>178</v>
      </c>
      <c r="G616" s="1" t="s">
        <v>179</v>
      </c>
      <c r="H616" s="1" t="s">
        <v>16</v>
      </c>
      <c r="I616" s="4" t="str">
        <f>"1"</f>
        <v>1</v>
      </c>
      <c r="J616" s="2" t="str">
        <f>"38900"</f>
        <v>38900</v>
      </c>
      <c r="K616" s="3">
        <v>46104</v>
      </c>
      <c r="L616" s="3">
        <v>46116</v>
      </c>
      <c r="M616" s="1" t="s">
        <v>10924</v>
      </c>
      <c r="N616" s="1" t="s">
        <v>10923</v>
      </c>
    </row>
    <row r="617" spans="1:14" s="1" customFormat="1" x14ac:dyDescent="0.35">
      <c r="A617" s="1" t="s">
        <v>5171</v>
      </c>
      <c r="B617" s="1" t="s">
        <v>1563</v>
      </c>
      <c r="C617" s="1" t="s">
        <v>1575</v>
      </c>
      <c r="D617" s="1" t="s">
        <v>10922</v>
      </c>
      <c r="E617" s="1" t="str">
        <f>"2310"</f>
        <v>2310</v>
      </c>
      <c r="F617" s="1" t="s">
        <v>178</v>
      </c>
      <c r="G617" s="1" t="s">
        <v>179</v>
      </c>
      <c r="H617" s="1" t="s">
        <v>16</v>
      </c>
      <c r="I617" s="4" t="str">
        <f>"1"</f>
        <v>1</v>
      </c>
      <c r="J617" s="2" t="str">
        <f>"24000"</f>
        <v>24000</v>
      </c>
      <c r="K617" s="3">
        <v>46104</v>
      </c>
      <c r="L617" s="3">
        <v>46116</v>
      </c>
      <c r="M617" s="1" t="s">
        <v>10921</v>
      </c>
      <c r="N617" s="1" t="s">
        <v>10920</v>
      </c>
    </row>
    <row r="618" spans="1:14" s="1" customFormat="1" x14ac:dyDescent="0.35">
      <c r="A618" s="1" t="s">
        <v>5171</v>
      </c>
      <c r="B618" s="1" t="s">
        <v>1563</v>
      </c>
      <c r="C618" s="1" t="s">
        <v>1578</v>
      </c>
      <c r="D618" s="1" t="s">
        <v>10919</v>
      </c>
      <c r="E618" s="1" t="str">
        <f>"2310"</f>
        <v>2310</v>
      </c>
      <c r="F618" s="1" t="s">
        <v>967</v>
      </c>
      <c r="G618" s="1" t="s">
        <v>968</v>
      </c>
      <c r="H618" s="1" t="s">
        <v>16</v>
      </c>
      <c r="I618" s="4" t="str">
        <f>"1"</f>
        <v>1</v>
      </c>
      <c r="J618" s="2" t="str">
        <f>"25000"</f>
        <v>25000</v>
      </c>
      <c r="K618" s="3">
        <v>46105</v>
      </c>
      <c r="L618" s="3">
        <v>46116</v>
      </c>
      <c r="M618" s="1" t="s">
        <v>10918</v>
      </c>
      <c r="N618" s="1" t="s">
        <v>10917</v>
      </c>
    </row>
    <row r="619" spans="1:14" s="1" customFormat="1" x14ac:dyDescent="0.35">
      <c r="A619" s="1" t="s">
        <v>5171</v>
      </c>
      <c r="B619" s="1" t="s">
        <v>1563</v>
      </c>
      <c r="C619" s="1" t="s">
        <v>1578</v>
      </c>
      <c r="D619" s="1" t="s">
        <v>10916</v>
      </c>
      <c r="E619" s="1" t="str">
        <f>"7830"</f>
        <v>7830</v>
      </c>
      <c r="F619" s="1" t="s">
        <v>5263</v>
      </c>
      <c r="G619" s="1" t="s">
        <v>5262</v>
      </c>
      <c r="H619" s="1" t="s">
        <v>16</v>
      </c>
      <c r="I619" s="4" t="str">
        <f>"27"</f>
        <v>27</v>
      </c>
      <c r="J619" s="2" t="str">
        <f>"50"</f>
        <v>50</v>
      </c>
      <c r="K619" s="3">
        <v>46116</v>
      </c>
      <c r="L619" s="3">
        <v>46119</v>
      </c>
      <c r="M619" s="1" t="s">
        <v>10915</v>
      </c>
      <c r="N619" s="1" t="s">
        <v>10914</v>
      </c>
    </row>
    <row r="620" spans="1:14" s="1" customFormat="1" x14ac:dyDescent="0.35">
      <c r="A620" s="1" t="s">
        <v>5171</v>
      </c>
      <c r="B620" s="1" t="s">
        <v>1563</v>
      </c>
      <c r="C620" s="1" t="s">
        <v>1578</v>
      </c>
      <c r="D620" s="1" t="s">
        <v>10913</v>
      </c>
      <c r="E620" s="1" t="str">
        <f>"3930"</f>
        <v>3930</v>
      </c>
      <c r="F620" s="1" t="str">
        <f>"014172886"</f>
        <v>014172886</v>
      </c>
      <c r="G620" s="1" t="s">
        <v>1304</v>
      </c>
      <c r="H620" s="1" t="s">
        <v>16</v>
      </c>
      <c r="I620" s="4" t="str">
        <f>"1"</f>
        <v>1</v>
      </c>
      <c r="J620" s="2" t="str">
        <f>"100199"</f>
        <v>100199</v>
      </c>
      <c r="K620" s="3">
        <v>46109</v>
      </c>
      <c r="L620" s="3">
        <v>46121</v>
      </c>
      <c r="M620" s="1" t="s">
        <v>10912</v>
      </c>
      <c r="N620" s="1" t="s">
        <v>10911</v>
      </c>
    </row>
    <row r="621" spans="1:14" s="1" customFormat="1" x14ac:dyDescent="0.35">
      <c r="A621" s="1" t="s">
        <v>5171</v>
      </c>
      <c r="B621" s="1" t="s">
        <v>1563</v>
      </c>
      <c r="C621" s="1" t="s">
        <v>10852</v>
      </c>
      <c r="D621" s="1" t="s">
        <v>10910</v>
      </c>
      <c r="E621" s="1" t="str">
        <f>"1385"</f>
        <v>1385</v>
      </c>
      <c r="F621" s="1" t="str">
        <f>"015736046"</f>
        <v>015736046</v>
      </c>
      <c r="G621" s="1" t="s">
        <v>540</v>
      </c>
      <c r="H621" s="1" t="s">
        <v>16</v>
      </c>
      <c r="I621" s="4" t="str">
        <f>"1"</f>
        <v>1</v>
      </c>
      <c r="J621" s="2">
        <v>284528.08</v>
      </c>
      <c r="K621" s="3">
        <v>46080</v>
      </c>
      <c r="L621" s="3">
        <v>46123</v>
      </c>
      <c r="M621" s="1" t="s">
        <v>10909</v>
      </c>
      <c r="N621" s="1" t="s">
        <v>10908</v>
      </c>
    </row>
    <row r="622" spans="1:14" s="1" customFormat="1" x14ac:dyDescent="0.35">
      <c r="A622" s="1" t="s">
        <v>5171</v>
      </c>
      <c r="B622" s="1" t="s">
        <v>1563</v>
      </c>
      <c r="C622" s="1" t="s">
        <v>10852</v>
      </c>
      <c r="D622" s="1" t="s">
        <v>10907</v>
      </c>
      <c r="E622" s="1" t="str">
        <f>"1385"</f>
        <v>1385</v>
      </c>
      <c r="F622" s="1" t="str">
        <f>"015736046"</f>
        <v>015736046</v>
      </c>
      <c r="G622" s="1" t="s">
        <v>540</v>
      </c>
      <c r="H622" s="1" t="s">
        <v>16</v>
      </c>
      <c r="I622" s="4" t="str">
        <f>"1"</f>
        <v>1</v>
      </c>
      <c r="J622" s="2">
        <v>284528.08</v>
      </c>
      <c r="K622" s="3">
        <v>46080</v>
      </c>
      <c r="L622" s="3">
        <v>46123</v>
      </c>
      <c r="M622" s="1" t="s">
        <v>10906</v>
      </c>
      <c r="N622" s="1" t="s">
        <v>10905</v>
      </c>
    </row>
    <row r="623" spans="1:14" s="1" customFormat="1" x14ac:dyDescent="0.35">
      <c r="A623" s="1" t="s">
        <v>5216</v>
      </c>
      <c r="B623" s="1" t="s">
        <v>1563</v>
      </c>
      <c r="C623" s="1" t="s">
        <v>1578</v>
      </c>
      <c r="D623" s="1" t="s">
        <v>10904</v>
      </c>
      <c r="E623" s="1" t="str">
        <f>"7830"</f>
        <v>7830</v>
      </c>
      <c r="F623" s="1" t="s">
        <v>1871</v>
      </c>
      <c r="G623" s="1" t="s">
        <v>1872</v>
      </c>
      <c r="H623" s="1" t="s">
        <v>16</v>
      </c>
      <c r="I623" s="4" t="str">
        <f>"1"</f>
        <v>1</v>
      </c>
      <c r="J623" s="2">
        <v>43.55</v>
      </c>
      <c r="K623" s="3">
        <v>46123</v>
      </c>
      <c r="L623" s="3">
        <v>46125</v>
      </c>
      <c r="M623" s="1" t="s">
        <v>10903</v>
      </c>
      <c r="N623" s="1" t="s">
        <v>10872</v>
      </c>
    </row>
    <row r="624" spans="1:14" s="1" customFormat="1" x14ac:dyDescent="0.35">
      <c r="A624" s="1" t="s">
        <v>5171</v>
      </c>
      <c r="B624" s="1" t="s">
        <v>1563</v>
      </c>
      <c r="C624" s="1" t="s">
        <v>1578</v>
      </c>
      <c r="D624" s="1" t="s">
        <v>10902</v>
      </c>
      <c r="E624" s="1" t="str">
        <f>"2330"</f>
        <v>2330</v>
      </c>
      <c r="F624" s="1" t="s">
        <v>70</v>
      </c>
      <c r="G624" s="1" t="s">
        <v>71</v>
      </c>
      <c r="H624" s="1" t="s">
        <v>16</v>
      </c>
      <c r="I624" s="4" t="str">
        <f>"2"</f>
        <v>2</v>
      </c>
      <c r="J624" s="2" t="str">
        <f>"16229"</f>
        <v>16229</v>
      </c>
      <c r="K624" s="3">
        <v>46116</v>
      </c>
      <c r="L624" s="3">
        <v>46126</v>
      </c>
      <c r="M624" s="1" t="s">
        <v>10901</v>
      </c>
      <c r="N624" s="1" t="s">
        <v>10900</v>
      </c>
    </row>
    <row r="625" spans="1:14" s="1" customFormat="1" x14ac:dyDescent="0.35">
      <c r="A625" s="1" t="s">
        <v>5171</v>
      </c>
      <c r="B625" s="1" t="s">
        <v>1563</v>
      </c>
      <c r="C625" s="1" t="s">
        <v>1578</v>
      </c>
      <c r="D625" s="1" t="s">
        <v>10899</v>
      </c>
      <c r="E625" s="1" t="str">
        <f>"7830"</f>
        <v>7830</v>
      </c>
      <c r="F625" s="1" t="s">
        <v>1871</v>
      </c>
      <c r="G625" s="1" t="s">
        <v>1872</v>
      </c>
      <c r="H625" s="1" t="s">
        <v>16</v>
      </c>
      <c r="I625" s="4" t="str">
        <f>"1"</f>
        <v>1</v>
      </c>
      <c r="J625" s="2">
        <v>2532.42</v>
      </c>
      <c r="K625" s="3">
        <v>46123</v>
      </c>
      <c r="L625" s="3">
        <v>46126</v>
      </c>
      <c r="M625" s="1" t="s">
        <v>10898</v>
      </c>
      <c r="N625" s="1" t="s">
        <v>10872</v>
      </c>
    </row>
    <row r="626" spans="1:14" s="1" customFormat="1" x14ac:dyDescent="0.35">
      <c r="A626" s="1" t="s">
        <v>5171</v>
      </c>
      <c r="B626" s="1" t="s">
        <v>1563</v>
      </c>
      <c r="C626" s="1" t="s">
        <v>1578</v>
      </c>
      <c r="D626" s="1" t="s">
        <v>10897</v>
      </c>
      <c r="E626" s="1" t="str">
        <f>"7830"</f>
        <v>7830</v>
      </c>
      <c r="F626" s="1" t="s">
        <v>1871</v>
      </c>
      <c r="G626" s="1" t="s">
        <v>1872</v>
      </c>
      <c r="H626" s="1" t="s">
        <v>16</v>
      </c>
      <c r="I626" s="4" t="str">
        <f>"1"</f>
        <v>1</v>
      </c>
      <c r="J626" s="2" t="str">
        <f>"2699"</f>
        <v>2699</v>
      </c>
      <c r="K626" s="3">
        <v>46123</v>
      </c>
      <c r="L626" s="3">
        <v>46126</v>
      </c>
      <c r="M626" s="1" t="s">
        <v>10896</v>
      </c>
      <c r="N626" s="1" t="s">
        <v>10872</v>
      </c>
    </row>
    <row r="627" spans="1:14" s="1" customFormat="1" x14ac:dyDescent="0.35">
      <c r="A627" s="1" t="s">
        <v>5171</v>
      </c>
      <c r="B627" s="1" t="s">
        <v>1563</v>
      </c>
      <c r="C627" s="1" t="s">
        <v>1578</v>
      </c>
      <c r="D627" s="1" t="s">
        <v>10895</v>
      </c>
      <c r="E627" s="1" t="str">
        <f>"7830"</f>
        <v>7830</v>
      </c>
      <c r="F627" s="1" t="s">
        <v>1871</v>
      </c>
      <c r="G627" s="1" t="s">
        <v>1872</v>
      </c>
      <c r="H627" s="1" t="s">
        <v>16</v>
      </c>
      <c r="I627" s="4" t="str">
        <f>"1"</f>
        <v>1</v>
      </c>
      <c r="J627" s="2">
        <v>1081.1300000000001</v>
      </c>
      <c r="K627" s="3">
        <v>46123</v>
      </c>
      <c r="L627" s="3">
        <v>46126</v>
      </c>
      <c r="M627" s="1" t="s">
        <v>10894</v>
      </c>
      <c r="N627" s="1" t="s">
        <v>10872</v>
      </c>
    </row>
    <row r="628" spans="1:14" s="1" customFormat="1" x14ac:dyDescent="0.35">
      <c r="A628" s="1" t="s">
        <v>5171</v>
      </c>
      <c r="B628" s="1" t="s">
        <v>1563</v>
      </c>
      <c r="C628" s="1" t="s">
        <v>1578</v>
      </c>
      <c r="D628" s="1" t="s">
        <v>10893</v>
      </c>
      <c r="E628" s="1" t="str">
        <f>"7830"</f>
        <v>7830</v>
      </c>
      <c r="F628" s="1" t="s">
        <v>1871</v>
      </c>
      <c r="G628" s="1" t="s">
        <v>1872</v>
      </c>
      <c r="H628" s="1" t="s">
        <v>16</v>
      </c>
      <c r="I628" s="4" t="str">
        <f>"1"</f>
        <v>1</v>
      </c>
      <c r="J628" s="2">
        <v>2718.42</v>
      </c>
      <c r="K628" s="3">
        <v>46123</v>
      </c>
      <c r="L628" s="3">
        <v>46126</v>
      </c>
      <c r="M628" s="1" t="s">
        <v>10892</v>
      </c>
      <c r="N628" s="1" t="s">
        <v>10872</v>
      </c>
    </row>
    <row r="629" spans="1:14" s="1" customFormat="1" x14ac:dyDescent="0.35">
      <c r="A629" s="1" t="s">
        <v>5171</v>
      </c>
      <c r="B629" s="1" t="s">
        <v>1563</v>
      </c>
      <c r="C629" s="1" t="s">
        <v>1578</v>
      </c>
      <c r="D629" s="1" t="s">
        <v>10891</v>
      </c>
      <c r="E629" s="1" t="str">
        <f>"7830"</f>
        <v>7830</v>
      </c>
      <c r="F629" s="1" t="s">
        <v>1871</v>
      </c>
      <c r="G629" s="1" t="s">
        <v>1872</v>
      </c>
      <c r="H629" s="1" t="s">
        <v>16</v>
      </c>
      <c r="I629" s="4" t="str">
        <f>"2"</f>
        <v>2</v>
      </c>
      <c r="J629" s="2" t="str">
        <f>"2289"</f>
        <v>2289</v>
      </c>
      <c r="K629" s="3">
        <v>46123</v>
      </c>
      <c r="L629" s="3">
        <v>46127</v>
      </c>
      <c r="M629" s="1" t="s">
        <v>10890</v>
      </c>
      <c r="N629" s="1" t="s">
        <v>10872</v>
      </c>
    </row>
    <row r="630" spans="1:14" s="1" customFormat="1" x14ac:dyDescent="0.35">
      <c r="A630" s="1" t="s">
        <v>5171</v>
      </c>
      <c r="B630" s="1" t="s">
        <v>1563</v>
      </c>
      <c r="C630" s="1" t="s">
        <v>1578</v>
      </c>
      <c r="D630" s="1" t="s">
        <v>10889</v>
      </c>
      <c r="E630" s="1" t="str">
        <f>"7830"</f>
        <v>7830</v>
      </c>
      <c r="F630" s="1" t="s">
        <v>1871</v>
      </c>
      <c r="G630" s="1" t="s">
        <v>1872</v>
      </c>
      <c r="H630" s="1" t="s">
        <v>16</v>
      </c>
      <c r="I630" s="4" t="str">
        <f>"1"</f>
        <v>1</v>
      </c>
      <c r="J630" s="2" t="str">
        <f>"607"</f>
        <v>607</v>
      </c>
      <c r="K630" s="3">
        <v>46123</v>
      </c>
      <c r="L630" s="3">
        <v>46127</v>
      </c>
      <c r="M630" s="1" t="s">
        <v>10888</v>
      </c>
      <c r="N630" s="1" t="s">
        <v>10872</v>
      </c>
    </row>
    <row r="631" spans="1:14" s="1" customFormat="1" x14ac:dyDescent="0.35">
      <c r="A631" s="1" t="s">
        <v>5171</v>
      </c>
      <c r="B631" s="1" t="s">
        <v>1563</v>
      </c>
      <c r="C631" s="1" t="s">
        <v>1578</v>
      </c>
      <c r="D631" s="1" t="s">
        <v>10887</v>
      </c>
      <c r="E631" s="1" t="str">
        <f>"3930"</f>
        <v>3930</v>
      </c>
      <c r="F631" s="1" t="s">
        <v>1476</v>
      </c>
      <c r="G631" s="1" t="s">
        <v>1477</v>
      </c>
      <c r="H631" s="1" t="s">
        <v>16</v>
      </c>
      <c r="I631" s="4" t="str">
        <f>"1"</f>
        <v>1</v>
      </c>
      <c r="J631" s="2" t="str">
        <f>"35000"</f>
        <v>35000</v>
      </c>
      <c r="K631" s="3">
        <v>46123</v>
      </c>
      <c r="L631" s="3">
        <v>46128</v>
      </c>
      <c r="M631" s="1" t="s">
        <v>10886</v>
      </c>
      <c r="N631" s="1" t="s">
        <v>10885</v>
      </c>
    </row>
    <row r="632" spans="1:14" s="1" customFormat="1" x14ac:dyDescent="0.35">
      <c r="A632" s="1" t="s">
        <v>5171</v>
      </c>
      <c r="B632" s="1" t="s">
        <v>1563</v>
      </c>
      <c r="C632" s="1" t="s">
        <v>1578</v>
      </c>
      <c r="D632" s="1" t="s">
        <v>10884</v>
      </c>
      <c r="E632" s="1" t="str">
        <f>"1385"</f>
        <v>1385</v>
      </c>
      <c r="F632" s="1" t="str">
        <f>"015736046"</f>
        <v>015736046</v>
      </c>
      <c r="G632" s="1" t="s">
        <v>540</v>
      </c>
      <c r="H632" s="1" t="s">
        <v>16</v>
      </c>
      <c r="I632" s="4" t="str">
        <f>"1"</f>
        <v>1</v>
      </c>
      <c r="J632" s="2">
        <v>284528.08</v>
      </c>
      <c r="K632" s="3">
        <v>46084</v>
      </c>
      <c r="L632" s="3">
        <v>46132</v>
      </c>
      <c r="M632" s="1" t="s">
        <v>10883</v>
      </c>
      <c r="N632" s="1" t="s">
        <v>10882</v>
      </c>
    </row>
    <row r="633" spans="1:14" s="1" customFormat="1" x14ac:dyDescent="0.35">
      <c r="A633" s="1" t="s">
        <v>5171</v>
      </c>
      <c r="B633" s="1" t="s">
        <v>1563</v>
      </c>
      <c r="C633" s="1" t="s">
        <v>1578</v>
      </c>
      <c r="D633" s="1" t="s">
        <v>10881</v>
      </c>
      <c r="E633" s="1" t="str">
        <f>"3950"</f>
        <v>3950</v>
      </c>
      <c r="F633" s="1" t="str">
        <f>"014626034"</f>
        <v>014626034</v>
      </c>
      <c r="G633" s="1" t="s">
        <v>10880</v>
      </c>
      <c r="H633" s="1" t="s">
        <v>16</v>
      </c>
      <c r="I633" s="4" t="str">
        <f>"1"</f>
        <v>1</v>
      </c>
      <c r="J633" s="2">
        <v>9306.5</v>
      </c>
      <c r="K633" s="3">
        <v>46109</v>
      </c>
      <c r="L633" s="3">
        <v>46132</v>
      </c>
      <c r="M633" s="1" t="s">
        <v>10879</v>
      </c>
      <c r="N633" s="1" t="s">
        <v>10878</v>
      </c>
    </row>
    <row r="634" spans="1:14" s="1" customFormat="1" x14ac:dyDescent="0.35">
      <c r="A634" s="1" t="s">
        <v>5171</v>
      </c>
      <c r="B634" s="1" t="s">
        <v>1563</v>
      </c>
      <c r="C634" s="1" t="s">
        <v>1578</v>
      </c>
      <c r="D634" s="1" t="s">
        <v>10877</v>
      </c>
      <c r="E634" s="1" t="str">
        <f>"2320"</f>
        <v>2320</v>
      </c>
      <c r="F634" s="1" t="s">
        <v>975</v>
      </c>
      <c r="G634" s="1" t="s">
        <v>976</v>
      </c>
      <c r="H634" s="1" t="s">
        <v>16</v>
      </c>
      <c r="I634" s="4" t="str">
        <f>"1"</f>
        <v>1</v>
      </c>
      <c r="J634" s="2" t="str">
        <f>"58000"</f>
        <v>58000</v>
      </c>
      <c r="K634" s="3">
        <v>46116</v>
      </c>
      <c r="L634" s="3">
        <v>46132</v>
      </c>
      <c r="M634" s="1" t="s">
        <v>10876</v>
      </c>
      <c r="N634" s="1" t="s">
        <v>10875</v>
      </c>
    </row>
    <row r="635" spans="1:14" s="1" customFormat="1" x14ac:dyDescent="0.35">
      <c r="A635" s="1" t="s">
        <v>5171</v>
      </c>
      <c r="B635" s="1" t="s">
        <v>1563</v>
      </c>
      <c r="C635" s="1" t="s">
        <v>1578</v>
      </c>
      <c r="D635" s="1" t="s">
        <v>10874</v>
      </c>
      <c r="E635" s="1" t="str">
        <f>"7830"</f>
        <v>7830</v>
      </c>
      <c r="F635" s="1" t="s">
        <v>1871</v>
      </c>
      <c r="G635" s="1" t="s">
        <v>1872</v>
      </c>
      <c r="H635" s="1" t="s">
        <v>16</v>
      </c>
      <c r="I635" s="4" t="str">
        <f>"8"</f>
        <v>8</v>
      </c>
      <c r="J635" s="2" t="str">
        <f>"50"</f>
        <v>50</v>
      </c>
      <c r="K635" s="3">
        <v>46123</v>
      </c>
      <c r="L635" s="3">
        <v>46133</v>
      </c>
      <c r="M635" s="1" t="s">
        <v>10873</v>
      </c>
      <c r="N635" s="1" t="s">
        <v>10872</v>
      </c>
    </row>
    <row r="636" spans="1:14" s="1" customFormat="1" x14ac:dyDescent="0.35">
      <c r="A636" s="1" t="s">
        <v>5171</v>
      </c>
      <c r="B636" s="1" t="s">
        <v>1563</v>
      </c>
      <c r="C636" s="1" t="s">
        <v>1578</v>
      </c>
      <c r="D636" s="1" t="s">
        <v>10871</v>
      </c>
      <c r="E636" s="1" t="str">
        <f>"2310"</f>
        <v>2310</v>
      </c>
      <c r="F636" s="1" t="s">
        <v>3035</v>
      </c>
      <c r="G636" s="1" t="s">
        <v>3036</v>
      </c>
      <c r="H636" s="1" t="s">
        <v>16</v>
      </c>
      <c r="I636" s="4" t="str">
        <f>"1"</f>
        <v>1</v>
      </c>
      <c r="J636" s="2">
        <v>34810.660000000003</v>
      </c>
      <c r="K636" s="3">
        <v>46131</v>
      </c>
      <c r="L636" s="3">
        <v>46140</v>
      </c>
      <c r="M636" s="1" t="s">
        <v>10870</v>
      </c>
      <c r="N636" s="1" t="s">
        <v>10869</v>
      </c>
    </row>
    <row r="637" spans="1:14" s="1" customFormat="1" x14ac:dyDescent="0.35">
      <c r="A637" s="1" t="s">
        <v>5171</v>
      </c>
      <c r="B637" s="1" t="s">
        <v>1563</v>
      </c>
      <c r="C637" s="1" t="s">
        <v>1578</v>
      </c>
      <c r="D637" s="1" t="s">
        <v>10868</v>
      </c>
      <c r="E637" s="1" t="str">
        <f>"3825"</f>
        <v>3825</v>
      </c>
      <c r="F637" s="1" t="str">
        <f>"011402431"</f>
        <v>011402431</v>
      </c>
      <c r="G637" s="1" t="s">
        <v>10867</v>
      </c>
      <c r="H637" s="1" t="s">
        <v>16</v>
      </c>
      <c r="I637" s="4" t="str">
        <f>"1"</f>
        <v>1</v>
      </c>
      <c r="J637" s="2" t="str">
        <f>"5100"</f>
        <v>5100</v>
      </c>
      <c r="K637" s="3">
        <v>46131</v>
      </c>
      <c r="L637" s="3">
        <v>46144</v>
      </c>
      <c r="M637" s="1" t="s">
        <v>10866</v>
      </c>
      <c r="N637" s="1" t="s">
        <v>10865</v>
      </c>
    </row>
    <row r="638" spans="1:14" s="1" customFormat="1" x14ac:dyDescent="0.35">
      <c r="A638" s="1" t="s">
        <v>5171</v>
      </c>
      <c r="B638" s="1" t="s">
        <v>1563</v>
      </c>
      <c r="C638" s="1" t="s">
        <v>1578</v>
      </c>
      <c r="D638" s="1" t="s">
        <v>10864</v>
      </c>
      <c r="E638" s="1" t="str">
        <f>"2320"</f>
        <v>2320</v>
      </c>
      <c r="F638" s="1" t="str">
        <f>"010907782"</f>
        <v>010907782</v>
      </c>
      <c r="G638" s="1" t="s">
        <v>4227</v>
      </c>
      <c r="H638" s="1" t="s">
        <v>16</v>
      </c>
      <c r="I638" s="4" t="str">
        <f>"1"</f>
        <v>1</v>
      </c>
      <c r="J638" s="2" t="str">
        <f>"30485"</f>
        <v>30485</v>
      </c>
      <c r="K638" s="3">
        <v>46116</v>
      </c>
      <c r="L638" s="3">
        <v>46148</v>
      </c>
      <c r="M638" s="1" t="s">
        <v>10863</v>
      </c>
      <c r="N638" s="1" t="s">
        <v>10862</v>
      </c>
    </row>
    <row r="639" spans="1:14" s="1" customFormat="1" x14ac:dyDescent="0.35">
      <c r="A639" s="1" t="s">
        <v>5171</v>
      </c>
      <c r="B639" s="1" t="s">
        <v>1563</v>
      </c>
      <c r="C639" s="1" t="s">
        <v>1578</v>
      </c>
      <c r="D639" s="1" t="s">
        <v>10861</v>
      </c>
      <c r="E639" s="1" t="str">
        <f>"3930"</f>
        <v>3930</v>
      </c>
      <c r="F639" s="1" t="str">
        <f>"010764237"</f>
        <v>010764237</v>
      </c>
      <c r="G639" s="1" t="s">
        <v>1304</v>
      </c>
      <c r="H639" s="1" t="s">
        <v>16</v>
      </c>
      <c r="I639" s="4" t="str">
        <f>"1"</f>
        <v>1</v>
      </c>
      <c r="J639" s="2" t="str">
        <f>"75000"</f>
        <v>75000</v>
      </c>
      <c r="K639" s="3">
        <v>46131</v>
      </c>
      <c r="L639" s="3">
        <v>46155</v>
      </c>
      <c r="M639" s="1" t="s">
        <v>10860</v>
      </c>
      <c r="N639" s="1" t="s">
        <v>10859</v>
      </c>
    </row>
    <row r="640" spans="1:14" s="1" customFormat="1" x14ac:dyDescent="0.35">
      <c r="A640" s="1" t="s">
        <v>5171</v>
      </c>
      <c r="B640" s="1" t="s">
        <v>1563</v>
      </c>
      <c r="C640" s="1" t="s">
        <v>1578</v>
      </c>
      <c r="D640" s="1" t="s">
        <v>10858</v>
      </c>
      <c r="E640" s="1" t="str">
        <f>"4933"</f>
        <v>4933</v>
      </c>
      <c r="F640" s="1" t="str">
        <f>"013972539"</f>
        <v>013972539</v>
      </c>
      <c r="G640" s="1" t="s">
        <v>5371</v>
      </c>
      <c r="H640" s="1" t="s">
        <v>16</v>
      </c>
      <c r="I640" s="4" t="str">
        <f>"1"</f>
        <v>1</v>
      </c>
      <c r="J640" s="2">
        <v>10706.72</v>
      </c>
      <c r="K640" s="3">
        <v>46131</v>
      </c>
      <c r="L640" s="3">
        <v>46157</v>
      </c>
      <c r="M640" s="1" t="s">
        <v>10857</v>
      </c>
      <c r="N640" s="1" t="s">
        <v>10856</v>
      </c>
    </row>
    <row r="641" spans="1:14" s="1" customFormat="1" x14ac:dyDescent="0.35">
      <c r="A641" s="1" t="s">
        <v>5171</v>
      </c>
      <c r="B641" s="1" t="s">
        <v>1563</v>
      </c>
      <c r="C641" s="1" t="s">
        <v>1570</v>
      </c>
      <c r="D641" s="1" t="s">
        <v>10855</v>
      </c>
      <c r="E641" s="1" t="str">
        <f>"3930"</f>
        <v>3930</v>
      </c>
      <c r="F641" s="1" t="s">
        <v>1476</v>
      </c>
      <c r="G641" s="1" t="s">
        <v>1477</v>
      </c>
      <c r="H641" s="1" t="s">
        <v>16</v>
      </c>
      <c r="I641" s="4" t="str">
        <f>"1"</f>
        <v>1</v>
      </c>
      <c r="J641" s="2" t="str">
        <f>"20383"</f>
        <v>20383</v>
      </c>
      <c r="K641" s="3">
        <v>46158</v>
      </c>
      <c r="L641" s="3">
        <v>46161</v>
      </c>
      <c r="M641" s="1" t="s">
        <v>10854</v>
      </c>
      <c r="N641" s="1" t="s">
        <v>10853</v>
      </c>
    </row>
    <row r="642" spans="1:14" s="1" customFormat="1" x14ac:dyDescent="0.35">
      <c r="A642" s="1" t="s">
        <v>5171</v>
      </c>
      <c r="B642" s="1" t="s">
        <v>1563</v>
      </c>
      <c r="C642" s="1" t="s">
        <v>10852</v>
      </c>
      <c r="D642" s="1" t="s">
        <v>10851</v>
      </c>
      <c r="E642" s="1" t="str">
        <f>"1385"</f>
        <v>1385</v>
      </c>
      <c r="F642" s="1" t="str">
        <f>"015736046"</f>
        <v>015736046</v>
      </c>
      <c r="G642" s="1" t="s">
        <v>540</v>
      </c>
      <c r="H642" s="1" t="s">
        <v>16</v>
      </c>
      <c r="I642" s="4" t="str">
        <f>"1"</f>
        <v>1</v>
      </c>
      <c r="J642" s="2">
        <v>284528.08</v>
      </c>
      <c r="K642" s="3">
        <v>46170</v>
      </c>
      <c r="L642" s="3">
        <v>46172</v>
      </c>
      <c r="M642" s="1" t="s">
        <v>5167</v>
      </c>
      <c r="N642" s="1" t="s">
        <v>10850</v>
      </c>
    </row>
    <row r="643" spans="1:14" s="1" customFormat="1" x14ac:dyDescent="0.35">
      <c r="A643" s="1" t="s">
        <v>5171</v>
      </c>
      <c r="B643" s="1" t="s">
        <v>1563</v>
      </c>
      <c r="C643" s="1" t="s">
        <v>1575</v>
      </c>
      <c r="D643" s="1" t="s">
        <v>10849</v>
      </c>
      <c r="E643" s="1" t="str">
        <f>"2310"</f>
        <v>2310</v>
      </c>
      <c r="F643" s="1" t="str">
        <f>"000676727"</f>
        <v>000676727</v>
      </c>
      <c r="G643" s="1" t="s">
        <v>1489</v>
      </c>
      <c r="H643" s="1" t="s">
        <v>16</v>
      </c>
      <c r="I643" s="4" t="str">
        <f>"1"</f>
        <v>1</v>
      </c>
      <c r="J643" s="2" t="str">
        <f>"16400"</f>
        <v>16400</v>
      </c>
      <c r="K643" s="3">
        <v>46170</v>
      </c>
      <c r="L643" s="3">
        <v>46172</v>
      </c>
      <c r="M643" s="1" t="s">
        <v>5167</v>
      </c>
      <c r="N643" s="1" t="s">
        <v>10848</v>
      </c>
    </row>
    <row r="644" spans="1:14" s="1" customFormat="1" x14ac:dyDescent="0.35">
      <c r="A644" s="1" t="s">
        <v>5171</v>
      </c>
      <c r="B644" s="1" t="s">
        <v>1563</v>
      </c>
      <c r="C644" s="1" t="s">
        <v>1619</v>
      </c>
      <c r="D644" s="1" t="s">
        <v>10847</v>
      </c>
      <c r="E644" s="1" t="str">
        <f>"6115"</f>
        <v>6115</v>
      </c>
      <c r="F644" s="1" t="str">
        <f>"016122549"</f>
        <v>016122549</v>
      </c>
      <c r="G644" s="1" t="s">
        <v>2431</v>
      </c>
      <c r="H644" s="1" t="s">
        <v>16</v>
      </c>
      <c r="I644" s="4" t="str">
        <f>"4"</f>
        <v>4</v>
      </c>
      <c r="J644" s="2" t="str">
        <f>"7873"</f>
        <v>7873</v>
      </c>
      <c r="K644" s="3">
        <v>46155</v>
      </c>
      <c r="L644" s="3">
        <v>46189</v>
      </c>
      <c r="M644" s="1" t="s">
        <v>10846</v>
      </c>
      <c r="N644" s="1" t="s">
        <v>10845</v>
      </c>
    </row>
    <row r="645" spans="1:14" s="1" customFormat="1" x14ac:dyDescent="0.35">
      <c r="A645" s="1" t="s">
        <v>5171</v>
      </c>
      <c r="B645" s="1" t="s">
        <v>1563</v>
      </c>
      <c r="C645" s="1" t="s">
        <v>1570</v>
      </c>
      <c r="D645" s="1" t="s">
        <v>10844</v>
      </c>
      <c r="E645" s="1" t="str">
        <f>"7010"</f>
        <v>7010</v>
      </c>
      <c r="F645" s="1" t="str">
        <f>"017008237"</f>
        <v>017008237</v>
      </c>
      <c r="G645" s="1" t="s">
        <v>1422</v>
      </c>
      <c r="H645" s="1" t="s">
        <v>16</v>
      </c>
      <c r="I645" s="4" t="str">
        <f>"8"</f>
        <v>8</v>
      </c>
      <c r="J645" s="2" t="str">
        <f>"2141"</f>
        <v>2141</v>
      </c>
      <c r="K645" s="3">
        <v>46184</v>
      </c>
      <c r="L645" s="3">
        <v>46191</v>
      </c>
      <c r="M645" s="1" t="s">
        <v>10843</v>
      </c>
      <c r="N645" s="1" t="s">
        <v>10840</v>
      </c>
    </row>
    <row r="646" spans="1:14" s="1" customFormat="1" x14ac:dyDescent="0.35">
      <c r="A646" s="1" t="s">
        <v>5171</v>
      </c>
      <c r="B646" s="1" t="s">
        <v>1563</v>
      </c>
      <c r="C646" s="1" t="s">
        <v>1570</v>
      </c>
      <c r="D646" s="1" t="s">
        <v>10842</v>
      </c>
      <c r="E646" s="1" t="str">
        <f>"7010"</f>
        <v>7010</v>
      </c>
      <c r="F646" s="1" t="str">
        <f>"017139517"</f>
        <v>017139517</v>
      </c>
      <c r="G646" s="1" t="s">
        <v>1422</v>
      </c>
      <c r="H646" s="1" t="s">
        <v>16</v>
      </c>
      <c r="I646" s="4" t="str">
        <f>"8"</f>
        <v>8</v>
      </c>
      <c r="J646" s="2">
        <v>1469.19</v>
      </c>
      <c r="K646" s="3">
        <v>46184</v>
      </c>
      <c r="L646" s="3">
        <v>46191</v>
      </c>
      <c r="M646" s="1" t="s">
        <v>10841</v>
      </c>
      <c r="N646" s="1" t="s">
        <v>10840</v>
      </c>
    </row>
    <row r="647" spans="1:14" s="1" customFormat="1" x14ac:dyDescent="0.35">
      <c r="A647" s="1" t="s">
        <v>5171</v>
      </c>
      <c r="B647" s="1" t="s">
        <v>1622</v>
      </c>
      <c r="C647" s="1" t="s">
        <v>1626</v>
      </c>
      <c r="D647" s="1" t="s">
        <v>10839</v>
      </c>
      <c r="E647" s="1" t="str">
        <f>"6115"</f>
        <v>6115</v>
      </c>
      <c r="F647" s="1" t="str">
        <f>"015933959"</f>
        <v>015933959</v>
      </c>
      <c r="G647" s="1" t="s">
        <v>224</v>
      </c>
      <c r="H647" s="1" t="s">
        <v>458</v>
      </c>
      <c r="I647" s="4" t="str">
        <f>"1"</f>
        <v>1</v>
      </c>
      <c r="J647" s="2" t="str">
        <f>"130000"</f>
        <v>130000</v>
      </c>
      <c r="K647" s="3">
        <v>46082</v>
      </c>
      <c r="L647" s="3">
        <v>46113</v>
      </c>
      <c r="M647" s="1" t="s">
        <v>10838</v>
      </c>
      <c r="N647" s="1" t="s">
        <v>10837</v>
      </c>
    </row>
    <row r="648" spans="1:14" s="1" customFormat="1" x14ac:dyDescent="0.35">
      <c r="A648" s="1" t="s">
        <v>5171</v>
      </c>
      <c r="B648" s="1" t="s">
        <v>1622</v>
      </c>
      <c r="C648" s="1" t="s">
        <v>1626</v>
      </c>
      <c r="D648" s="1" t="s">
        <v>10836</v>
      </c>
      <c r="E648" s="1" t="str">
        <f>"7025"</f>
        <v>7025</v>
      </c>
      <c r="F648" s="1" t="str">
        <f>"016041808"</f>
        <v>016041808</v>
      </c>
      <c r="G648" s="1" t="s">
        <v>2959</v>
      </c>
      <c r="H648" s="1" t="s">
        <v>16</v>
      </c>
      <c r="I648" s="4" t="str">
        <f>"10"</f>
        <v>10</v>
      </c>
      <c r="J648" s="2" t="str">
        <f>"481"</f>
        <v>481</v>
      </c>
      <c r="K648" s="3">
        <v>46103</v>
      </c>
      <c r="L648" s="3">
        <v>46113</v>
      </c>
      <c r="M648" s="1" t="s">
        <v>10835</v>
      </c>
      <c r="N648" s="1" t="s">
        <v>10834</v>
      </c>
    </row>
    <row r="649" spans="1:14" s="1" customFormat="1" x14ac:dyDescent="0.35">
      <c r="A649" s="1" t="s">
        <v>5171</v>
      </c>
      <c r="B649" s="1" t="s">
        <v>1622</v>
      </c>
      <c r="C649" s="1" t="s">
        <v>1649</v>
      </c>
      <c r="D649" s="1" t="s">
        <v>10833</v>
      </c>
      <c r="E649" s="1" t="str">
        <f>"3830"</f>
        <v>3830</v>
      </c>
      <c r="F649" s="1" t="s">
        <v>75</v>
      </c>
      <c r="G649" s="1" t="s">
        <v>76</v>
      </c>
      <c r="H649" s="1" t="s">
        <v>16</v>
      </c>
      <c r="I649" s="4" t="str">
        <f>"1"</f>
        <v>1</v>
      </c>
      <c r="J649" s="2" t="str">
        <f>"8500"</f>
        <v>8500</v>
      </c>
      <c r="K649" s="3">
        <v>46086</v>
      </c>
      <c r="L649" s="3">
        <v>46113</v>
      </c>
      <c r="M649" s="1" t="s">
        <v>10832</v>
      </c>
      <c r="N649" s="1" t="s">
        <v>10831</v>
      </c>
    </row>
    <row r="650" spans="1:14" s="1" customFormat="1" x14ac:dyDescent="0.35">
      <c r="A650" s="1" t="s">
        <v>5171</v>
      </c>
      <c r="B650" s="1" t="s">
        <v>1622</v>
      </c>
      <c r="C650" s="1" t="s">
        <v>1626</v>
      </c>
      <c r="D650" s="1" t="s">
        <v>10830</v>
      </c>
      <c r="E650" s="1" t="str">
        <f>"2310"</f>
        <v>2310</v>
      </c>
      <c r="F650" s="1" t="s">
        <v>178</v>
      </c>
      <c r="G650" s="1" t="s">
        <v>179</v>
      </c>
      <c r="H650" s="1" t="s">
        <v>16</v>
      </c>
      <c r="I650" s="4" t="str">
        <f>"1"</f>
        <v>1</v>
      </c>
      <c r="J650" s="2" t="str">
        <f>"38900"</f>
        <v>38900</v>
      </c>
      <c r="K650" s="3">
        <v>46103</v>
      </c>
      <c r="L650" s="3">
        <v>46116</v>
      </c>
      <c r="M650" s="1" t="s">
        <v>10829</v>
      </c>
      <c r="N650" s="1" t="s">
        <v>10826</v>
      </c>
    </row>
    <row r="651" spans="1:14" s="1" customFormat="1" x14ac:dyDescent="0.35">
      <c r="A651" s="1" t="s">
        <v>5171</v>
      </c>
      <c r="B651" s="1" t="s">
        <v>1622</v>
      </c>
      <c r="C651" s="1" t="s">
        <v>1626</v>
      </c>
      <c r="D651" s="1" t="s">
        <v>10828</v>
      </c>
      <c r="E651" s="1" t="str">
        <f>"2310"</f>
        <v>2310</v>
      </c>
      <c r="F651" s="1" t="s">
        <v>967</v>
      </c>
      <c r="G651" s="1" t="s">
        <v>968</v>
      </c>
      <c r="H651" s="1" t="s">
        <v>16</v>
      </c>
      <c r="I651" s="4" t="str">
        <f>"1"</f>
        <v>1</v>
      </c>
      <c r="J651" s="2" t="str">
        <f>"25000"</f>
        <v>25000</v>
      </c>
      <c r="K651" s="3">
        <v>46103</v>
      </c>
      <c r="L651" s="3">
        <v>46116</v>
      </c>
      <c r="M651" s="1" t="s">
        <v>10827</v>
      </c>
      <c r="N651" s="1" t="s">
        <v>10826</v>
      </c>
    </row>
    <row r="652" spans="1:14" s="1" customFormat="1" x14ac:dyDescent="0.35">
      <c r="A652" s="1" t="s">
        <v>5171</v>
      </c>
      <c r="B652" s="1" t="s">
        <v>1622</v>
      </c>
      <c r="C652" s="1" t="s">
        <v>1678</v>
      </c>
      <c r="D652" s="1" t="s">
        <v>10825</v>
      </c>
      <c r="E652" s="1" t="str">
        <f>"2340"</f>
        <v>2340</v>
      </c>
      <c r="F652" s="1" t="str">
        <f>"005857495"</f>
        <v>005857495</v>
      </c>
      <c r="G652" s="1" t="s">
        <v>509</v>
      </c>
      <c r="H652" s="1" t="s">
        <v>16</v>
      </c>
      <c r="I652" s="4" t="str">
        <f>"1"</f>
        <v>1</v>
      </c>
      <c r="J652" s="2">
        <v>12499.99</v>
      </c>
      <c r="K652" s="3">
        <v>46105</v>
      </c>
      <c r="L652" s="3">
        <v>46116</v>
      </c>
      <c r="M652" s="1" t="s">
        <v>10824</v>
      </c>
      <c r="N652" s="1" t="s">
        <v>10823</v>
      </c>
    </row>
    <row r="653" spans="1:14" s="1" customFormat="1" x14ac:dyDescent="0.35">
      <c r="A653" s="1" t="s">
        <v>5171</v>
      </c>
      <c r="B653" s="1" t="s">
        <v>1622</v>
      </c>
      <c r="C653" s="1" t="s">
        <v>1626</v>
      </c>
      <c r="D653" s="1" t="s">
        <v>10822</v>
      </c>
      <c r="E653" s="1" t="str">
        <f>"2340"</f>
        <v>2340</v>
      </c>
      <c r="F653" s="1" t="str">
        <f>"015746673"</f>
        <v>015746673</v>
      </c>
      <c r="G653" s="1" t="s">
        <v>1435</v>
      </c>
      <c r="H653" s="1" t="s">
        <v>16</v>
      </c>
      <c r="I653" s="4" t="str">
        <f>"1"</f>
        <v>1</v>
      </c>
      <c r="J653" s="2" t="str">
        <f>"11365"</f>
        <v>11365</v>
      </c>
      <c r="K653" s="3">
        <v>46117</v>
      </c>
      <c r="L653" s="3">
        <v>46119</v>
      </c>
      <c r="M653" s="1" t="s">
        <v>10821</v>
      </c>
      <c r="N653" s="1" t="s">
        <v>10683</v>
      </c>
    </row>
    <row r="654" spans="1:14" s="1" customFormat="1" x14ac:dyDescent="0.35">
      <c r="A654" s="1" t="s">
        <v>5216</v>
      </c>
      <c r="B654" s="1" t="s">
        <v>1622</v>
      </c>
      <c r="C654" s="1" t="s">
        <v>1674</v>
      </c>
      <c r="D654" s="1" t="s">
        <v>10820</v>
      </c>
      <c r="E654" s="1" t="str">
        <f>"2310"</f>
        <v>2310</v>
      </c>
      <c r="F654" s="1" t="s">
        <v>4971</v>
      </c>
      <c r="G654" s="1" t="s">
        <v>4972</v>
      </c>
      <c r="H654" s="1" t="s">
        <v>16</v>
      </c>
      <c r="I654" s="4" t="str">
        <f>"1"</f>
        <v>1</v>
      </c>
      <c r="J654" s="2" t="str">
        <f>"75963"</f>
        <v>75963</v>
      </c>
      <c r="K654" s="3">
        <v>46121</v>
      </c>
      <c r="L654" s="3">
        <v>46122</v>
      </c>
      <c r="M654" s="1" t="s">
        <v>10819</v>
      </c>
      <c r="N654" s="1" t="s">
        <v>10818</v>
      </c>
    </row>
    <row r="655" spans="1:14" s="1" customFormat="1" x14ac:dyDescent="0.35">
      <c r="A655" s="1" t="s">
        <v>5171</v>
      </c>
      <c r="B655" s="1" t="s">
        <v>1622</v>
      </c>
      <c r="C655" s="1" t="s">
        <v>1626</v>
      </c>
      <c r="D655" s="1" t="s">
        <v>10817</v>
      </c>
      <c r="E655" s="1" t="str">
        <f>"2320"</f>
        <v>2320</v>
      </c>
      <c r="F655" s="1" t="s">
        <v>971</v>
      </c>
      <c r="G655" s="1" t="s">
        <v>972</v>
      </c>
      <c r="H655" s="1" t="s">
        <v>16</v>
      </c>
      <c r="I655" s="4" t="str">
        <f>"1"</f>
        <v>1</v>
      </c>
      <c r="J655" s="2" t="str">
        <f>"55000"</f>
        <v>55000</v>
      </c>
      <c r="K655" s="3">
        <v>46111</v>
      </c>
      <c r="L655" s="3">
        <v>46123</v>
      </c>
      <c r="M655" s="1" t="s">
        <v>10816</v>
      </c>
      <c r="N655" s="1" t="s">
        <v>10815</v>
      </c>
    </row>
    <row r="656" spans="1:14" s="1" customFormat="1" x14ac:dyDescent="0.35">
      <c r="A656" s="1" t="s">
        <v>5171</v>
      </c>
      <c r="B656" s="1" t="s">
        <v>1622</v>
      </c>
      <c r="C656" s="1" t="s">
        <v>1674</v>
      </c>
      <c r="D656" s="1" t="s">
        <v>10814</v>
      </c>
      <c r="E656" s="1" t="str">
        <f>"6230"</f>
        <v>6230</v>
      </c>
      <c r="F656" s="1" t="str">
        <f>"013827265"</f>
        <v>013827265</v>
      </c>
      <c r="G656" s="1" t="s">
        <v>3215</v>
      </c>
      <c r="H656" s="1" t="s">
        <v>16</v>
      </c>
      <c r="I656" s="4" t="str">
        <f>"1"</f>
        <v>1</v>
      </c>
      <c r="J656" s="2" t="str">
        <f>"18400"</f>
        <v>18400</v>
      </c>
      <c r="K656" s="3">
        <v>46110</v>
      </c>
      <c r="L656" s="3">
        <v>46123</v>
      </c>
      <c r="M656" s="1" t="s">
        <v>10813</v>
      </c>
      <c r="N656" s="1" t="s">
        <v>10812</v>
      </c>
    </row>
    <row r="657" spans="1:14" s="1" customFormat="1" x14ac:dyDescent="0.35">
      <c r="A657" s="1" t="s">
        <v>5171</v>
      </c>
      <c r="B657" s="1" t="s">
        <v>1622</v>
      </c>
      <c r="C657" s="1" t="s">
        <v>1649</v>
      </c>
      <c r="D657" s="1" t="s">
        <v>10811</v>
      </c>
      <c r="E657" s="1" t="str">
        <f>"6685"</f>
        <v>6685</v>
      </c>
      <c r="F657" s="1" t="s">
        <v>10810</v>
      </c>
      <c r="G657" s="1" t="s">
        <v>10809</v>
      </c>
      <c r="H657" s="1" t="s">
        <v>16</v>
      </c>
      <c r="I657" s="4" t="str">
        <f>"50"</f>
        <v>50</v>
      </c>
      <c r="J657" s="2">
        <v>83.48</v>
      </c>
      <c r="K657" s="3">
        <v>46094</v>
      </c>
      <c r="L657" s="3">
        <v>46125</v>
      </c>
      <c r="M657" s="1" t="s">
        <v>10808</v>
      </c>
      <c r="N657" s="1" t="s">
        <v>10807</v>
      </c>
    </row>
    <row r="658" spans="1:14" s="1" customFormat="1" x14ac:dyDescent="0.35">
      <c r="A658" s="1" t="s">
        <v>5216</v>
      </c>
      <c r="B658" s="1" t="s">
        <v>1622</v>
      </c>
      <c r="C658" s="1" t="s">
        <v>1626</v>
      </c>
      <c r="D658" s="1" t="s">
        <v>10806</v>
      </c>
      <c r="E658" s="1" t="str">
        <f>"5855"</f>
        <v>5855</v>
      </c>
      <c r="F658" s="1" t="str">
        <f>"016187614"</f>
        <v>016187614</v>
      </c>
      <c r="G658" s="1" t="s">
        <v>9183</v>
      </c>
      <c r="H658" s="1" t="s">
        <v>16</v>
      </c>
      <c r="I658" s="4" t="str">
        <f>"5"</f>
        <v>5</v>
      </c>
      <c r="J658" s="2" t="str">
        <f>"360000"</f>
        <v>360000</v>
      </c>
      <c r="K658" s="3">
        <v>46124</v>
      </c>
      <c r="L658" s="3">
        <v>46126</v>
      </c>
      <c r="M658" s="1" t="s">
        <v>10805</v>
      </c>
      <c r="N658" s="1" t="s">
        <v>1634</v>
      </c>
    </row>
    <row r="659" spans="1:14" s="1" customFormat="1" x14ac:dyDescent="0.35">
      <c r="A659" s="1" t="s">
        <v>5216</v>
      </c>
      <c r="B659" s="1" t="s">
        <v>1622</v>
      </c>
      <c r="C659" s="1" t="s">
        <v>1649</v>
      </c>
      <c r="D659" s="1" t="s">
        <v>10804</v>
      </c>
      <c r="E659" s="1" t="str">
        <f>"2320"</f>
        <v>2320</v>
      </c>
      <c r="F659" s="1" t="s">
        <v>975</v>
      </c>
      <c r="G659" s="1" t="s">
        <v>976</v>
      </c>
      <c r="H659" s="1" t="s">
        <v>16</v>
      </c>
      <c r="I659" s="4" t="str">
        <f>"1"</f>
        <v>1</v>
      </c>
      <c r="J659" s="2">
        <v>592904.18000000005</v>
      </c>
      <c r="K659" s="3">
        <v>46125</v>
      </c>
      <c r="L659" s="3">
        <v>46126</v>
      </c>
      <c r="M659" s="1" t="s">
        <v>10803</v>
      </c>
      <c r="N659" s="1" t="s">
        <v>10802</v>
      </c>
    </row>
    <row r="660" spans="1:14" s="1" customFormat="1" x14ac:dyDescent="0.35">
      <c r="A660" s="1" t="s">
        <v>5171</v>
      </c>
      <c r="B660" s="1" t="s">
        <v>1622</v>
      </c>
      <c r="C660" s="1" t="s">
        <v>1626</v>
      </c>
      <c r="D660" s="1" t="s">
        <v>10801</v>
      </c>
      <c r="E660" s="1" t="str">
        <f>"7010"</f>
        <v>7010</v>
      </c>
      <c r="F660" s="1" t="s">
        <v>1640</v>
      </c>
      <c r="G660" s="1" t="s">
        <v>1641</v>
      </c>
      <c r="H660" s="1" t="s">
        <v>16</v>
      </c>
      <c r="I660" s="4" t="str">
        <f>"2"</f>
        <v>2</v>
      </c>
      <c r="J660" s="2" t="str">
        <f>"5000"</f>
        <v>5000</v>
      </c>
      <c r="K660" s="3">
        <v>46124</v>
      </c>
      <c r="L660" s="3">
        <v>46126</v>
      </c>
      <c r="M660" s="1" t="s">
        <v>10800</v>
      </c>
      <c r="N660" s="1" t="s">
        <v>10799</v>
      </c>
    </row>
    <row r="661" spans="1:14" s="1" customFormat="1" x14ac:dyDescent="0.35">
      <c r="A661" s="1" t="s">
        <v>5171</v>
      </c>
      <c r="B661" s="1" t="s">
        <v>1622</v>
      </c>
      <c r="C661" s="1" t="s">
        <v>1626</v>
      </c>
      <c r="D661" s="1" t="s">
        <v>10798</v>
      </c>
      <c r="E661" s="1" t="str">
        <f>"5985"</f>
        <v>5985</v>
      </c>
      <c r="F661" s="1" t="str">
        <f>"013428778"</f>
        <v>013428778</v>
      </c>
      <c r="G661" s="1" t="s">
        <v>10796</v>
      </c>
      <c r="H661" s="1" t="s">
        <v>16</v>
      </c>
      <c r="I661" s="4" t="str">
        <f>"3"</f>
        <v>3</v>
      </c>
      <c r="J661" s="2">
        <v>10932.62</v>
      </c>
      <c r="K661" s="3">
        <v>46124</v>
      </c>
      <c r="L661" s="3">
        <v>46126</v>
      </c>
      <c r="M661" s="1" t="s">
        <v>5167</v>
      </c>
      <c r="N661" s="1" t="s">
        <v>10795</v>
      </c>
    </row>
    <row r="662" spans="1:14" s="1" customFormat="1" x14ac:dyDescent="0.35">
      <c r="A662" s="1" t="s">
        <v>5171</v>
      </c>
      <c r="B662" s="1" t="s">
        <v>1622</v>
      </c>
      <c r="C662" s="1" t="s">
        <v>1626</v>
      </c>
      <c r="D662" s="1" t="s">
        <v>10797</v>
      </c>
      <c r="E662" s="1" t="str">
        <f>"5985"</f>
        <v>5985</v>
      </c>
      <c r="F662" s="1" t="str">
        <f>"013816341"</f>
        <v>013816341</v>
      </c>
      <c r="G662" s="1" t="s">
        <v>10796</v>
      </c>
      <c r="H662" s="1" t="s">
        <v>16</v>
      </c>
      <c r="I662" s="4" t="str">
        <f>"4"</f>
        <v>4</v>
      </c>
      <c r="J662" s="2">
        <v>5967.53</v>
      </c>
      <c r="K662" s="3">
        <v>46124</v>
      </c>
      <c r="L662" s="3">
        <v>46126</v>
      </c>
      <c r="M662" s="1" t="s">
        <v>5167</v>
      </c>
      <c r="N662" s="1" t="s">
        <v>10795</v>
      </c>
    </row>
    <row r="663" spans="1:14" s="1" customFormat="1" x14ac:dyDescent="0.35">
      <c r="A663" s="1" t="s">
        <v>5171</v>
      </c>
      <c r="B663" s="1" t="s">
        <v>1622</v>
      </c>
      <c r="C663" s="1" t="s">
        <v>1674</v>
      </c>
      <c r="D663" s="1" t="s">
        <v>10794</v>
      </c>
      <c r="E663" s="1" t="str">
        <f>"2320"</f>
        <v>2320</v>
      </c>
      <c r="F663" s="1" t="str">
        <f>"008925938"</f>
        <v>008925938</v>
      </c>
      <c r="G663" s="1" t="s">
        <v>271</v>
      </c>
      <c r="H663" s="1" t="s">
        <v>16</v>
      </c>
      <c r="I663" s="4" t="str">
        <f>"1"</f>
        <v>1</v>
      </c>
      <c r="J663" s="2" t="str">
        <f>"27290"</f>
        <v>27290</v>
      </c>
      <c r="K663" s="3">
        <v>46110</v>
      </c>
      <c r="L663" s="3">
        <v>46126</v>
      </c>
      <c r="M663" s="1" t="s">
        <v>10793</v>
      </c>
      <c r="N663" s="1" t="s">
        <v>10792</v>
      </c>
    </row>
    <row r="664" spans="1:14" s="1" customFormat="1" x14ac:dyDescent="0.35">
      <c r="A664" s="1" t="s">
        <v>5171</v>
      </c>
      <c r="B664" s="1" t="s">
        <v>1622</v>
      </c>
      <c r="C664" s="1" t="s">
        <v>1674</v>
      </c>
      <c r="D664" s="1" t="s">
        <v>10791</v>
      </c>
      <c r="E664" s="1" t="str">
        <f>"7110"</f>
        <v>7110</v>
      </c>
      <c r="F664" s="1" t="s">
        <v>10790</v>
      </c>
      <c r="G664" s="1" t="s">
        <v>10789</v>
      </c>
      <c r="H664" s="1" t="s">
        <v>16</v>
      </c>
      <c r="I664" s="4" t="str">
        <f>"1"</f>
        <v>1</v>
      </c>
      <c r="J664" s="2" t="str">
        <f>"150"</f>
        <v>150</v>
      </c>
      <c r="K664" s="3">
        <v>46110</v>
      </c>
      <c r="L664" s="3">
        <v>46126</v>
      </c>
      <c r="M664" s="1" t="s">
        <v>10788</v>
      </c>
      <c r="N664" s="1" t="s">
        <v>10787</v>
      </c>
    </row>
    <row r="665" spans="1:14" s="1" customFormat="1" x14ac:dyDescent="0.35">
      <c r="A665" s="1" t="s">
        <v>5230</v>
      </c>
      <c r="B665" s="1" t="s">
        <v>1622</v>
      </c>
      <c r="C665" s="1" t="s">
        <v>10617</v>
      </c>
      <c r="D665" s="1" t="s">
        <v>10786</v>
      </c>
      <c r="E665" s="1" t="str">
        <f>"1095"</f>
        <v>1095</v>
      </c>
      <c r="F665" s="1" t="str">
        <f>"015267860"</f>
        <v>015267860</v>
      </c>
      <c r="G665" s="1" t="s">
        <v>25</v>
      </c>
      <c r="H665" s="1" t="s">
        <v>16</v>
      </c>
      <c r="I665" s="4" t="str">
        <f>"1"</f>
        <v>1</v>
      </c>
      <c r="J665" s="2" t="str">
        <f>"1107"</f>
        <v>1107</v>
      </c>
      <c r="K665" s="3">
        <v>46127</v>
      </c>
      <c r="L665" s="3">
        <v>46127</v>
      </c>
      <c r="N665" s="1" t="s">
        <v>10785</v>
      </c>
    </row>
    <row r="666" spans="1:14" s="1" customFormat="1" x14ac:dyDescent="0.35">
      <c r="A666" s="1" t="s">
        <v>5171</v>
      </c>
      <c r="B666" s="1" t="s">
        <v>1622</v>
      </c>
      <c r="C666" s="1" t="s">
        <v>1626</v>
      </c>
      <c r="D666" s="1" t="s">
        <v>10784</v>
      </c>
      <c r="E666" s="1" t="str">
        <f>"1385"</f>
        <v>1385</v>
      </c>
      <c r="F666" s="1" t="str">
        <f>"016274491"</f>
        <v>016274491</v>
      </c>
      <c r="G666" s="1" t="s">
        <v>2146</v>
      </c>
      <c r="H666" s="1" t="s">
        <v>16</v>
      </c>
      <c r="I666" s="4" t="str">
        <f>"2"</f>
        <v>2</v>
      </c>
      <c r="J666" s="2">
        <v>11556.33</v>
      </c>
      <c r="K666" s="3">
        <v>46059</v>
      </c>
      <c r="L666" s="3">
        <v>46128</v>
      </c>
      <c r="M666" s="1" t="s">
        <v>10783</v>
      </c>
      <c r="N666" s="1" t="s">
        <v>10782</v>
      </c>
    </row>
    <row r="667" spans="1:14" s="1" customFormat="1" x14ac:dyDescent="0.35">
      <c r="A667" s="1" t="s">
        <v>5171</v>
      </c>
      <c r="B667" s="1" t="s">
        <v>1622</v>
      </c>
      <c r="C667" s="1" t="s">
        <v>1626</v>
      </c>
      <c r="D667" s="1" t="s">
        <v>10781</v>
      </c>
      <c r="E667" s="1" t="str">
        <f>"5895"</f>
        <v>5895</v>
      </c>
      <c r="F667" s="1" t="str">
        <f>"016997317"</f>
        <v>016997317</v>
      </c>
      <c r="G667" s="1" t="s">
        <v>4873</v>
      </c>
      <c r="H667" s="1" t="s">
        <v>16</v>
      </c>
      <c r="I667" s="4" t="str">
        <f>"1"</f>
        <v>1</v>
      </c>
      <c r="J667" s="2" t="str">
        <f>"310627"</f>
        <v>310627</v>
      </c>
      <c r="K667" s="3">
        <v>46091</v>
      </c>
      <c r="L667" s="3">
        <v>46128</v>
      </c>
      <c r="M667" s="1" t="s">
        <v>10780</v>
      </c>
      <c r="N667" s="1" t="s">
        <v>10779</v>
      </c>
    </row>
    <row r="668" spans="1:14" s="1" customFormat="1" x14ac:dyDescent="0.35">
      <c r="A668" s="1" t="s">
        <v>5171</v>
      </c>
      <c r="B668" s="1" t="s">
        <v>1622</v>
      </c>
      <c r="C668" s="1" t="s">
        <v>1649</v>
      </c>
      <c r="D668" s="1" t="s">
        <v>10778</v>
      </c>
      <c r="E668" s="1" t="str">
        <f>"3830"</f>
        <v>3830</v>
      </c>
      <c r="F668" s="1" t="s">
        <v>75</v>
      </c>
      <c r="G668" s="1" t="s">
        <v>76</v>
      </c>
      <c r="H668" s="1" t="s">
        <v>16</v>
      </c>
      <c r="I668" s="4" t="str">
        <f>"1"</f>
        <v>1</v>
      </c>
      <c r="J668" s="2" t="str">
        <f>"7700"</f>
        <v>7700</v>
      </c>
      <c r="K668" s="3">
        <v>46125</v>
      </c>
      <c r="L668" s="3">
        <v>46128</v>
      </c>
      <c r="M668" s="1" t="s">
        <v>10777</v>
      </c>
      <c r="N668" s="1" t="s">
        <v>10776</v>
      </c>
    </row>
    <row r="669" spans="1:14" s="1" customFormat="1" x14ac:dyDescent="0.35">
      <c r="A669" s="1" t="s">
        <v>5171</v>
      </c>
      <c r="B669" s="1" t="s">
        <v>1622</v>
      </c>
      <c r="C669" s="1" t="s">
        <v>1626</v>
      </c>
      <c r="D669" s="1" t="s">
        <v>10775</v>
      </c>
      <c r="E669" s="1" t="str">
        <f>"5855"</f>
        <v>5855</v>
      </c>
      <c r="F669" s="1" t="str">
        <f>"016187613"</f>
        <v>016187613</v>
      </c>
      <c r="G669" s="1" t="s">
        <v>9183</v>
      </c>
      <c r="H669" s="1" t="s">
        <v>16</v>
      </c>
      <c r="I669" s="4" t="str">
        <f>"1"</f>
        <v>1</v>
      </c>
      <c r="J669" s="2" t="str">
        <f>"1050000"</f>
        <v>1050000</v>
      </c>
      <c r="K669" s="3">
        <v>46124</v>
      </c>
      <c r="L669" s="3">
        <v>46129</v>
      </c>
      <c r="M669" s="1" t="s">
        <v>10774</v>
      </c>
      <c r="N669" s="1" t="s">
        <v>1634</v>
      </c>
    </row>
    <row r="670" spans="1:14" s="1" customFormat="1" x14ac:dyDescent="0.35">
      <c r="A670" s="1" t="s">
        <v>5171</v>
      </c>
      <c r="B670" s="1" t="s">
        <v>1622</v>
      </c>
      <c r="C670" s="1" t="s">
        <v>1674</v>
      </c>
      <c r="D670" s="1" t="s">
        <v>10773</v>
      </c>
      <c r="E670" s="1" t="str">
        <f>"5855"</f>
        <v>5855</v>
      </c>
      <c r="F670" s="1" t="s">
        <v>5542</v>
      </c>
      <c r="G670" s="1" t="s">
        <v>5541</v>
      </c>
      <c r="H670" s="1" t="s">
        <v>16</v>
      </c>
      <c r="I670" s="4" t="str">
        <f>"1"</f>
        <v>1</v>
      </c>
      <c r="J670" s="2" t="str">
        <f>"21000"</f>
        <v>21000</v>
      </c>
      <c r="K670" s="3">
        <v>46121</v>
      </c>
      <c r="L670" s="3">
        <v>46129</v>
      </c>
      <c r="M670" s="1" t="s">
        <v>10772</v>
      </c>
      <c r="N670" s="1" t="s">
        <v>10771</v>
      </c>
    </row>
    <row r="671" spans="1:14" s="1" customFormat="1" x14ac:dyDescent="0.35">
      <c r="A671" s="1" t="s">
        <v>5171</v>
      </c>
      <c r="B671" s="1" t="s">
        <v>1622</v>
      </c>
      <c r="C671" s="1" t="s">
        <v>1674</v>
      </c>
      <c r="D671" s="1" t="s">
        <v>10770</v>
      </c>
      <c r="E671" s="1" t="str">
        <f>"6115"</f>
        <v>6115</v>
      </c>
      <c r="F671" s="1" t="str">
        <f>"014619335"</f>
        <v>014619335</v>
      </c>
      <c r="G671" s="1" t="s">
        <v>1390</v>
      </c>
      <c r="H671" s="1" t="s">
        <v>16</v>
      </c>
      <c r="I671" s="4" t="str">
        <f>"1"</f>
        <v>1</v>
      </c>
      <c r="J671" s="2">
        <v>26705.200000000001</v>
      </c>
      <c r="K671" s="3">
        <v>46126</v>
      </c>
      <c r="L671" s="3">
        <v>46129</v>
      </c>
      <c r="M671" s="1" t="s">
        <v>10769</v>
      </c>
      <c r="N671" s="1" t="s">
        <v>10768</v>
      </c>
    </row>
    <row r="672" spans="1:14" s="1" customFormat="1" x14ac:dyDescent="0.35">
      <c r="A672" s="1" t="s">
        <v>5171</v>
      </c>
      <c r="B672" s="1" t="s">
        <v>1622</v>
      </c>
      <c r="C672" s="1" t="s">
        <v>1626</v>
      </c>
      <c r="D672" s="1" t="s">
        <v>10767</v>
      </c>
      <c r="E672" s="1" t="str">
        <f>"2340"</f>
        <v>2340</v>
      </c>
      <c r="F672" s="1" t="s">
        <v>84</v>
      </c>
      <c r="G672" s="1" t="s">
        <v>85</v>
      </c>
      <c r="H672" s="1" t="s">
        <v>16</v>
      </c>
      <c r="I672" s="4" t="str">
        <f>"1"</f>
        <v>1</v>
      </c>
      <c r="J672" s="2" t="str">
        <f>"19891"</f>
        <v>19891</v>
      </c>
      <c r="K672" s="3">
        <v>46117</v>
      </c>
      <c r="L672" s="3">
        <v>46130</v>
      </c>
      <c r="M672" s="1" t="s">
        <v>10766</v>
      </c>
      <c r="N672" s="1" t="s">
        <v>10683</v>
      </c>
    </row>
    <row r="673" spans="1:14" s="1" customFormat="1" x14ac:dyDescent="0.35">
      <c r="A673" s="1" t="s">
        <v>5171</v>
      </c>
      <c r="B673" s="1" t="s">
        <v>1622</v>
      </c>
      <c r="C673" s="1" t="s">
        <v>1649</v>
      </c>
      <c r="D673" s="1" t="s">
        <v>10765</v>
      </c>
      <c r="E673" s="1" t="str">
        <f>"2330"</f>
        <v>2330</v>
      </c>
      <c r="F673" s="1" t="s">
        <v>70</v>
      </c>
      <c r="G673" s="1" t="s">
        <v>71</v>
      </c>
      <c r="H673" s="1" t="s">
        <v>16</v>
      </c>
      <c r="I673" s="4" t="str">
        <f>"1"</f>
        <v>1</v>
      </c>
      <c r="J673" s="2" t="str">
        <f>"13750"</f>
        <v>13750</v>
      </c>
      <c r="K673" s="3">
        <v>46126</v>
      </c>
      <c r="L673" s="3">
        <v>46130</v>
      </c>
      <c r="M673" s="1" t="s">
        <v>10764</v>
      </c>
      <c r="N673" s="1" t="s">
        <v>10763</v>
      </c>
    </row>
    <row r="674" spans="1:14" s="1" customFormat="1" x14ac:dyDescent="0.35">
      <c r="A674" s="1" t="s">
        <v>5171</v>
      </c>
      <c r="B674" s="1" t="s">
        <v>1622</v>
      </c>
      <c r="C674" s="1" t="s">
        <v>1674</v>
      </c>
      <c r="D674" s="1" t="s">
        <v>10762</v>
      </c>
      <c r="E674" s="1" t="str">
        <f>"8465"</f>
        <v>8465</v>
      </c>
      <c r="F674" s="1" t="str">
        <f>"013288268"</f>
        <v>013288268</v>
      </c>
      <c r="G674" s="1" t="s">
        <v>10755</v>
      </c>
      <c r="H674" s="1" t="s">
        <v>311</v>
      </c>
      <c r="I674" s="4" t="str">
        <f>"60"</f>
        <v>60</v>
      </c>
      <c r="J674" s="2">
        <v>27.76</v>
      </c>
      <c r="K674" s="3">
        <v>46122</v>
      </c>
      <c r="L674" s="3">
        <v>46130</v>
      </c>
      <c r="M674" s="1" t="s">
        <v>10761</v>
      </c>
      <c r="N674" s="1" t="s">
        <v>10760</v>
      </c>
    </row>
    <row r="675" spans="1:14" s="1" customFormat="1" x14ac:dyDescent="0.35">
      <c r="A675" s="1" t="s">
        <v>5171</v>
      </c>
      <c r="B675" s="1" t="s">
        <v>1622</v>
      </c>
      <c r="C675" s="1" t="s">
        <v>10617</v>
      </c>
      <c r="D675" s="1" t="s">
        <v>10759</v>
      </c>
      <c r="E675" s="1" t="str">
        <f>"1095"</f>
        <v>1095</v>
      </c>
      <c r="F675" s="1" t="str">
        <f>"015267860"</f>
        <v>015267860</v>
      </c>
      <c r="G675" s="1" t="s">
        <v>25</v>
      </c>
      <c r="H675" s="1" t="s">
        <v>16</v>
      </c>
      <c r="I675" s="4" t="str">
        <f>"2"</f>
        <v>2</v>
      </c>
      <c r="J675" s="2" t="str">
        <f>"1107"</f>
        <v>1107</v>
      </c>
      <c r="K675" s="3">
        <v>46127</v>
      </c>
      <c r="L675" s="3">
        <v>46132</v>
      </c>
      <c r="M675" s="1" t="s">
        <v>10758</v>
      </c>
      <c r="N675" s="1" t="s">
        <v>10757</v>
      </c>
    </row>
    <row r="676" spans="1:14" s="1" customFormat="1" x14ac:dyDescent="0.35">
      <c r="A676" s="1" t="s">
        <v>5171</v>
      </c>
      <c r="B676" s="1" t="s">
        <v>1622</v>
      </c>
      <c r="C676" s="1" t="s">
        <v>1674</v>
      </c>
      <c r="D676" s="1" t="s">
        <v>10756</v>
      </c>
      <c r="E676" s="1" t="str">
        <f>"8465"</f>
        <v>8465</v>
      </c>
      <c r="F676" s="1" t="str">
        <f>"013288268"</f>
        <v>013288268</v>
      </c>
      <c r="G676" s="1" t="s">
        <v>10755</v>
      </c>
      <c r="H676" s="1" t="s">
        <v>311</v>
      </c>
      <c r="I676" s="4" t="str">
        <f>"1"</f>
        <v>1</v>
      </c>
      <c r="J676" s="2">
        <v>27.76</v>
      </c>
      <c r="K676" s="3">
        <v>46116</v>
      </c>
      <c r="L676" s="3">
        <v>46132</v>
      </c>
      <c r="M676" s="1" t="s">
        <v>10754</v>
      </c>
      <c r="N676" s="1" t="s">
        <v>10753</v>
      </c>
    </row>
    <row r="677" spans="1:14" s="1" customFormat="1" x14ac:dyDescent="0.35">
      <c r="A677" s="1" t="s">
        <v>5171</v>
      </c>
      <c r="B677" s="1" t="s">
        <v>1622</v>
      </c>
      <c r="C677" s="1" t="s">
        <v>10617</v>
      </c>
      <c r="D677" s="1" t="s">
        <v>10752</v>
      </c>
      <c r="E677" s="1" t="str">
        <f>"1940"</f>
        <v>1940</v>
      </c>
      <c r="F677" s="1" t="s">
        <v>1503</v>
      </c>
      <c r="G677" s="1" t="s">
        <v>1504</v>
      </c>
      <c r="H677" s="1" t="s">
        <v>16</v>
      </c>
      <c r="I677" s="4" t="str">
        <f>"1"</f>
        <v>1</v>
      </c>
      <c r="J677" s="2" t="str">
        <f>"2500"</f>
        <v>2500</v>
      </c>
      <c r="K677" s="3">
        <v>46132</v>
      </c>
      <c r="L677" s="3">
        <v>46137</v>
      </c>
      <c r="M677" s="1" t="s">
        <v>10751</v>
      </c>
      <c r="N677" s="1" t="s">
        <v>10750</v>
      </c>
    </row>
    <row r="678" spans="1:14" s="1" customFormat="1" x14ac:dyDescent="0.35">
      <c r="A678" s="1" t="s">
        <v>5171</v>
      </c>
      <c r="B678" s="1" t="s">
        <v>1622</v>
      </c>
      <c r="C678" s="1" t="s">
        <v>1649</v>
      </c>
      <c r="D678" s="1" t="s">
        <v>10749</v>
      </c>
      <c r="E678" s="1" t="str">
        <f>"2420"</f>
        <v>2420</v>
      </c>
      <c r="F678" s="1" t="str">
        <f>"010325533"</f>
        <v>010325533</v>
      </c>
      <c r="G678" s="1" t="s">
        <v>2318</v>
      </c>
      <c r="H678" s="1" t="s">
        <v>16</v>
      </c>
      <c r="I678" s="4" t="str">
        <f>"1"</f>
        <v>1</v>
      </c>
      <c r="J678" s="2">
        <v>21040.82</v>
      </c>
      <c r="K678" s="3">
        <v>46125</v>
      </c>
      <c r="L678" s="3">
        <v>46137</v>
      </c>
      <c r="M678" s="1" t="s">
        <v>10748</v>
      </c>
      <c r="N678" s="1" t="s">
        <v>10747</v>
      </c>
    </row>
    <row r="679" spans="1:14" s="1" customFormat="1" x14ac:dyDescent="0.35">
      <c r="A679" s="1" t="s">
        <v>5171</v>
      </c>
      <c r="B679" s="1" t="s">
        <v>1622</v>
      </c>
      <c r="C679" s="1" t="s">
        <v>1626</v>
      </c>
      <c r="D679" s="1" t="s">
        <v>10746</v>
      </c>
      <c r="E679" s="1" t="str">
        <f>"5855"</f>
        <v>5855</v>
      </c>
      <c r="F679" s="1" t="str">
        <f>"016187613"</f>
        <v>016187613</v>
      </c>
      <c r="G679" s="1" t="s">
        <v>9183</v>
      </c>
      <c r="H679" s="1" t="s">
        <v>16</v>
      </c>
      <c r="I679" s="4" t="str">
        <f>"2"</f>
        <v>2</v>
      </c>
      <c r="J679" s="2" t="str">
        <f>"1050000"</f>
        <v>1050000</v>
      </c>
      <c r="K679" s="3">
        <v>46131</v>
      </c>
      <c r="L679" s="3">
        <v>46139</v>
      </c>
      <c r="M679" s="1" t="s">
        <v>10745</v>
      </c>
      <c r="N679" s="1" t="s">
        <v>10744</v>
      </c>
    </row>
    <row r="680" spans="1:14" s="1" customFormat="1" x14ac:dyDescent="0.35">
      <c r="A680" s="1" t="s">
        <v>5171</v>
      </c>
      <c r="B680" s="1" t="s">
        <v>1622</v>
      </c>
      <c r="C680" s="1" t="s">
        <v>1626</v>
      </c>
      <c r="D680" s="1" t="s">
        <v>10743</v>
      </c>
      <c r="E680" s="1" t="str">
        <f>"5855"</f>
        <v>5855</v>
      </c>
      <c r="F680" s="1" t="str">
        <f>"016266338"</f>
        <v>016266338</v>
      </c>
      <c r="G680" s="1" t="s">
        <v>10742</v>
      </c>
      <c r="H680" s="1" t="s">
        <v>16</v>
      </c>
      <c r="I680" s="4" t="str">
        <f>"9"</f>
        <v>9</v>
      </c>
      <c r="J680" s="2" t="str">
        <f>"343745"</f>
        <v>343745</v>
      </c>
      <c r="K680" s="3">
        <v>46131</v>
      </c>
      <c r="L680" s="3">
        <v>46140</v>
      </c>
      <c r="M680" s="1" t="s">
        <v>10741</v>
      </c>
      <c r="N680" s="1" t="s">
        <v>10740</v>
      </c>
    </row>
    <row r="681" spans="1:14" s="1" customFormat="1" x14ac:dyDescent="0.35">
      <c r="A681" s="1" t="s">
        <v>5171</v>
      </c>
      <c r="B681" s="1" t="s">
        <v>1622</v>
      </c>
      <c r="C681" s="1" t="s">
        <v>1674</v>
      </c>
      <c r="D681" s="1" t="s">
        <v>10739</v>
      </c>
      <c r="E681" s="1" t="str">
        <f>"6115"</f>
        <v>6115</v>
      </c>
      <c r="F681" s="1" t="str">
        <f>"013199032"</f>
        <v>013199032</v>
      </c>
      <c r="G681" s="1" t="s">
        <v>224</v>
      </c>
      <c r="H681" s="1" t="s">
        <v>16</v>
      </c>
      <c r="I681" s="4" t="str">
        <f>"1"</f>
        <v>1</v>
      </c>
      <c r="J681" s="2" t="str">
        <f>"17730"</f>
        <v>17730</v>
      </c>
      <c r="K681" s="3">
        <v>46126</v>
      </c>
      <c r="L681" s="3">
        <v>46141</v>
      </c>
      <c r="M681" s="1" t="s">
        <v>10738</v>
      </c>
      <c r="N681" s="1" t="s">
        <v>10737</v>
      </c>
    </row>
    <row r="682" spans="1:14" s="1" customFormat="1" x14ac:dyDescent="0.35">
      <c r="A682" s="1" t="s">
        <v>5171</v>
      </c>
      <c r="B682" s="1" t="s">
        <v>1622</v>
      </c>
      <c r="C682" s="1" t="s">
        <v>1626</v>
      </c>
      <c r="D682" s="1" t="s">
        <v>10736</v>
      </c>
      <c r="E682" s="1" t="str">
        <f>"2340"</f>
        <v>2340</v>
      </c>
      <c r="F682" s="1" t="s">
        <v>61</v>
      </c>
      <c r="G682" s="1" t="s">
        <v>62</v>
      </c>
      <c r="H682" s="1" t="s">
        <v>16</v>
      </c>
      <c r="I682" s="4" t="str">
        <f>"1"</f>
        <v>1</v>
      </c>
      <c r="J682" s="2" t="str">
        <f>"1000"</f>
        <v>1000</v>
      </c>
      <c r="K682" s="3">
        <v>46131</v>
      </c>
      <c r="L682" s="3">
        <v>46143</v>
      </c>
      <c r="M682" s="1" t="s">
        <v>10735</v>
      </c>
      <c r="N682" s="1" t="s">
        <v>10683</v>
      </c>
    </row>
    <row r="683" spans="1:14" s="1" customFormat="1" x14ac:dyDescent="0.35">
      <c r="A683" s="1" t="s">
        <v>5171</v>
      </c>
      <c r="B683" s="1" t="s">
        <v>1622</v>
      </c>
      <c r="C683" s="1" t="s">
        <v>1674</v>
      </c>
      <c r="D683" s="1" t="s">
        <v>10734</v>
      </c>
      <c r="E683" s="1" t="str">
        <f>"1005"</f>
        <v>1005</v>
      </c>
      <c r="F683" s="1" t="str">
        <f>"014536655"</f>
        <v>014536655</v>
      </c>
      <c r="G683" s="1" t="s">
        <v>1979</v>
      </c>
      <c r="H683" s="1" t="s">
        <v>16</v>
      </c>
      <c r="I683" s="4" t="str">
        <f>"20"</f>
        <v>20</v>
      </c>
      <c r="J683" s="2">
        <v>4.9400000000000004</v>
      </c>
      <c r="K683" s="3">
        <v>46120</v>
      </c>
      <c r="L683" s="3">
        <v>46143</v>
      </c>
      <c r="M683" s="1" t="s">
        <v>10733</v>
      </c>
      <c r="N683" s="1" t="s">
        <v>10732</v>
      </c>
    </row>
    <row r="684" spans="1:14" s="1" customFormat="1" x14ac:dyDescent="0.35">
      <c r="A684" s="1" t="s">
        <v>5171</v>
      </c>
      <c r="B684" s="1" t="s">
        <v>1622</v>
      </c>
      <c r="C684" s="1" t="s">
        <v>1678</v>
      </c>
      <c r="D684" s="1" t="s">
        <v>10731</v>
      </c>
      <c r="E684" s="1" t="str">
        <f>"2340"</f>
        <v>2340</v>
      </c>
      <c r="F684" s="1" t="s">
        <v>84</v>
      </c>
      <c r="G684" s="1" t="s">
        <v>85</v>
      </c>
      <c r="H684" s="1" t="s">
        <v>16</v>
      </c>
      <c r="I684" s="4" t="str">
        <f>"1"</f>
        <v>1</v>
      </c>
      <c r="J684" s="2">
        <v>31905.14</v>
      </c>
      <c r="K684" s="3">
        <v>46139</v>
      </c>
      <c r="L684" s="3">
        <v>46143</v>
      </c>
      <c r="M684" s="1" t="s">
        <v>10730</v>
      </c>
      <c r="N684" s="1" t="s">
        <v>10729</v>
      </c>
    </row>
    <row r="685" spans="1:14" s="1" customFormat="1" x14ac:dyDescent="0.35">
      <c r="A685" s="1" t="s">
        <v>5171</v>
      </c>
      <c r="B685" s="1" t="s">
        <v>1622</v>
      </c>
      <c r="C685" s="1" t="s">
        <v>1678</v>
      </c>
      <c r="D685" s="1" t="s">
        <v>10728</v>
      </c>
      <c r="E685" s="1" t="str">
        <f>"2340"</f>
        <v>2340</v>
      </c>
      <c r="F685" s="1" t="s">
        <v>84</v>
      </c>
      <c r="G685" s="1" t="s">
        <v>85</v>
      </c>
      <c r="H685" s="1" t="s">
        <v>16</v>
      </c>
      <c r="I685" s="4" t="str">
        <f>"1"</f>
        <v>1</v>
      </c>
      <c r="J685" s="2" t="str">
        <f>"3000"</f>
        <v>3000</v>
      </c>
      <c r="K685" s="3">
        <v>46139</v>
      </c>
      <c r="L685" s="3">
        <v>46143</v>
      </c>
      <c r="M685" s="1" t="s">
        <v>10727</v>
      </c>
      <c r="N685" s="1" t="s">
        <v>10726</v>
      </c>
    </row>
    <row r="686" spans="1:14" s="1" customFormat="1" x14ac:dyDescent="0.35">
      <c r="A686" s="1" t="s">
        <v>5171</v>
      </c>
      <c r="B686" s="1" t="s">
        <v>1622</v>
      </c>
      <c r="C686" s="1" t="s">
        <v>10676</v>
      </c>
      <c r="D686" s="1" t="s">
        <v>10725</v>
      </c>
      <c r="E686" s="1" t="str">
        <f>"1240"</f>
        <v>1240</v>
      </c>
      <c r="F686" s="1" t="s">
        <v>1800</v>
      </c>
      <c r="G686" s="1" t="s">
        <v>1801</v>
      </c>
      <c r="H686" s="1" t="s">
        <v>16</v>
      </c>
      <c r="I686" s="4" t="str">
        <f>"13"</f>
        <v>13</v>
      </c>
      <c r="J686" s="2" t="str">
        <f>"2499"</f>
        <v>2499</v>
      </c>
      <c r="K686" s="3">
        <v>46140</v>
      </c>
      <c r="L686" s="3">
        <v>46143</v>
      </c>
      <c r="M686" s="1" t="s">
        <v>10724</v>
      </c>
      <c r="N686" s="1" t="s">
        <v>10723</v>
      </c>
    </row>
    <row r="687" spans="1:14" s="1" customFormat="1" x14ac:dyDescent="0.35">
      <c r="A687" s="1" t="s">
        <v>5171</v>
      </c>
      <c r="B687" s="1" t="s">
        <v>1622</v>
      </c>
      <c r="C687" s="1" t="s">
        <v>1626</v>
      </c>
      <c r="D687" s="1" t="s">
        <v>10722</v>
      </c>
      <c r="E687" s="1" t="str">
        <f>"2310"</f>
        <v>2310</v>
      </c>
      <c r="F687" s="1" t="s">
        <v>178</v>
      </c>
      <c r="G687" s="1" t="s">
        <v>179</v>
      </c>
      <c r="H687" s="1" t="s">
        <v>16</v>
      </c>
      <c r="I687" s="4" t="str">
        <f>"1"</f>
        <v>1</v>
      </c>
      <c r="J687" s="2" t="str">
        <f>"12554"</f>
        <v>12554</v>
      </c>
      <c r="K687" s="3">
        <v>46131</v>
      </c>
      <c r="L687" s="3">
        <v>46144</v>
      </c>
      <c r="M687" s="1" t="s">
        <v>10721</v>
      </c>
      <c r="N687" s="1" t="s">
        <v>10720</v>
      </c>
    </row>
    <row r="688" spans="1:14" s="1" customFormat="1" x14ac:dyDescent="0.35">
      <c r="A688" s="1" t="s">
        <v>5171</v>
      </c>
      <c r="B688" s="1" t="s">
        <v>1622</v>
      </c>
      <c r="C688" s="1" t="s">
        <v>1626</v>
      </c>
      <c r="D688" s="1" t="s">
        <v>10719</v>
      </c>
      <c r="E688" s="1" t="str">
        <f>"2320"</f>
        <v>2320</v>
      </c>
      <c r="F688" s="1" t="str">
        <f>"010919076"</f>
        <v>010919076</v>
      </c>
      <c r="G688" s="1" t="s">
        <v>2303</v>
      </c>
      <c r="H688" s="1" t="s">
        <v>16</v>
      </c>
      <c r="I688" s="4" t="str">
        <f>"1"</f>
        <v>1</v>
      </c>
      <c r="J688" s="2" t="str">
        <f>"18044"</f>
        <v>18044</v>
      </c>
      <c r="K688" s="3">
        <v>46131</v>
      </c>
      <c r="L688" s="3">
        <v>46144</v>
      </c>
      <c r="M688" s="1" t="s">
        <v>10718</v>
      </c>
      <c r="N688" s="1" t="s">
        <v>10713</v>
      </c>
    </row>
    <row r="689" spans="1:14" s="1" customFormat="1" x14ac:dyDescent="0.35">
      <c r="A689" s="1" t="s">
        <v>5171</v>
      </c>
      <c r="B689" s="1" t="s">
        <v>1622</v>
      </c>
      <c r="C689" s="1" t="s">
        <v>1626</v>
      </c>
      <c r="D689" s="1" t="s">
        <v>10717</v>
      </c>
      <c r="E689" s="1" t="str">
        <f>"2320"</f>
        <v>2320</v>
      </c>
      <c r="F689" s="1" t="str">
        <f>"010919076"</f>
        <v>010919076</v>
      </c>
      <c r="G689" s="1" t="s">
        <v>2303</v>
      </c>
      <c r="H689" s="1" t="s">
        <v>16</v>
      </c>
      <c r="I689" s="4" t="str">
        <f>"1"</f>
        <v>1</v>
      </c>
      <c r="J689" s="2" t="str">
        <f>"18044"</f>
        <v>18044</v>
      </c>
      <c r="K689" s="3">
        <v>46131</v>
      </c>
      <c r="L689" s="3">
        <v>46144</v>
      </c>
      <c r="M689" s="1" t="s">
        <v>10716</v>
      </c>
      <c r="N689" s="1" t="s">
        <v>10713</v>
      </c>
    </row>
    <row r="690" spans="1:14" s="1" customFormat="1" x14ac:dyDescent="0.35">
      <c r="A690" s="1" t="s">
        <v>5171</v>
      </c>
      <c r="B690" s="1" t="s">
        <v>1622</v>
      </c>
      <c r="C690" s="1" t="s">
        <v>1626</v>
      </c>
      <c r="D690" s="1" t="s">
        <v>10715</v>
      </c>
      <c r="E690" s="1" t="str">
        <f>"2320"</f>
        <v>2320</v>
      </c>
      <c r="F690" s="1" t="str">
        <f>"005802954"</f>
        <v>005802954</v>
      </c>
      <c r="G690" s="1" t="s">
        <v>271</v>
      </c>
      <c r="H690" s="1" t="s">
        <v>16</v>
      </c>
      <c r="I690" s="4" t="str">
        <f>"1"</f>
        <v>1</v>
      </c>
      <c r="J690" s="2">
        <v>47279.54</v>
      </c>
      <c r="K690" s="3">
        <v>46131</v>
      </c>
      <c r="L690" s="3">
        <v>46144</v>
      </c>
      <c r="M690" s="1" t="s">
        <v>10714</v>
      </c>
      <c r="N690" s="1" t="s">
        <v>10713</v>
      </c>
    </row>
    <row r="691" spans="1:14" s="1" customFormat="1" x14ac:dyDescent="0.35">
      <c r="A691" s="1" t="s">
        <v>5171</v>
      </c>
      <c r="B691" s="1" t="s">
        <v>1622</v>
      </c>
      <c r="C691" s="1" t="s">
        <v>1626</v>
      </c>
      <c r="D691" s="1" t="s">
        <v>10712</v>
      </c>
      <c r="E691" s="1" t="str">
        <f>"5440"</f>
        <v>5440</v>
      </c>
      <c r="F691" s="1" t="s">
        <v>142</v>
      </c>
      <c r="G691" s="1" t="s">
        <v>143</v>
      </c>
      <c r="H691" s="1" t="s">
        <v>16</v>
      </c>
      <c r="I691" s="4" t="str">
        <f>"4"</f>
        <v>4</v>
      </c>
      <c r="J691" s="2">
        <v>313.99</v>
      </c>
      <c r="K691" s="3">
        <v>46131</v>
      </c>
      <c r="L691" s="3">
        <v>46144</v>
      </c>
      <c r="M691" s="1" t="s">
        <v>10711</v>
      </c>
      <c r="N691" s="1" t="s">
        <v>10710</v>
      </c>
    </row>
    <row r="692" spans="1:14" s="1" customFormat="1" x14ac:dyDescent="0.35">
      <c r="A692" s="1" t="s">
        <v>5171</v>
      </c>
      <c r="B692" s="1" t="s">
        <v>1622</v>
      </c>
      <c r="C692" s="1" t="s">
        <v>1649</v>
      </c>
      <c r="D692" s="1" t="s">
        <v>10709</v>
      </c>
      <c r="E692" s="1" t="str">
        <f>"8145"</f>
        <v>8145</v>
      </c>
      <c r="F692" s="1" t="str">
        <f>"013849260"</f>
        <v>013849260</v>
      </c>
      <c r="G692" s="1" t="s">
        <v>1668</v>
      </c>
      <c r="H692" s="1" t="s">
        <v>458</v>
      </c>
      <c r="I692" s="4" t="str">
        <f>"2"</f>
        <v>2</v>
      </c>
      <c r="J692" s="2">
        <v>4091.21</v>
      </c>
      <c r="K692" s="3">
        <v>46128</v>
      </c>
      <c r="L692" s="3">
        <v>46150</v>
      </c>
      <c r="M692" s="1" t="s">
        <v>10708</v>
      </c>
      <c r="N692" s="1" t="s">
        <v>10707</v>
      </c>
    </row>
    <row r="693" spans="1:14" s="1" customFormat="1" x14ac:dyDescent="0.35">
      <c r="A693" s="1" t="s">
        <v>5171</v>
      </c>
      <c r="B693" s="1" t="s">
        <v>1622</v>
      </c>
      <c r="C693" s="1" t="s">
        <v>1626</v>
      </c>
      <c r="D693" s="1" t="s">
        <v>10706</v>
      </c>
      <c r="E693" s="1" t="str">
        <f>"5830"</f>
        <v>5830</v>
      </c>
      <c r="F693" s="1" t="str">
        <f>"016708863"</f>
        <v>016708863</v>
      </c>
      <c r="G693" s="1" t="s">
        <v>1767</v>
      </c>
      <c r="H693" s="1" t="s">
        <v>16</v>
      </c>
      <c r="I693" s="4" t="str">
        <f>"1"</f>
        <v>1</v>
      </c>
      <c r="J693" s="2" t="str">
        <f>"27775"</f>
        <v>27775</v>
      </c>
      <c r="K693" s="3">
        <v>46144</v>
      </c>
      <c r="L693" s="3">
        <v>46151</v>
      </c>
      <c r="M693" s="1" t="s">
        <v>10705</v>
      </c>
      <c r="N693" s="1" t="s">
        <v>10704</v>
      </c>
    </row>
    <row r="694" spans="1:14" s="1" customFormat="1" x14ac:dyDescent="0.35">
      <c r="A694" s="1" t="s">
        <v>5171</v>
      </c>
      <c r="B694" s="1" t="s">
        <v>1622</v>
      </c>
      <c r="C694" s="1" t="s">
        <v>10622</v>
      </c>
      <c r="D694" s="1" t="s">
        <v>10703</v>
      </c>
      <c r="E694" s="1" t="str">
        <f>"5830"</f>
        <v>5830</v>
      </c>
      <c r="F694" s="1" t="str">
        <f>"016259732"</f>
        <v>016259732</v>
      </c>
      <c r="G694" s="1" t="s">
        <v>1767</v>
      </c>
      <c r="H694" s="1" t="s">
        <v>16</v>
      </c>
      <c r="I694" s="4" t="str">
        <f>"1"</f>
        <v>1</v>
      </c>
      <c r="J694" s="2" t="str">
        <f>"94423"</f>
        <v>94423</v>
      </c>
      <c r="K694" s="3">
        <v>46145</v>
      </c>
      <c r="L694" s="3">
        <v>46151</v>
      </c>
      <c r="M694" s="1" t="s">
        <v>10702</v>
      </c>
      <c r="N694" s="1" t="s">
        <v>10623</v>
      </c>
    </row>
    <row r="695" spans="1:14" s="1" customFormat="1" x14ac:dyDescent="0.35">
      <c r="A695" s="1" t="s">
        <v>5171</v>
      </c>
      <c r="B695" s="1" t="s">
        <v>1622</v>
      </c>
      <c r="C695" s="1" t="s">
        <v>1649</v>
      </c>
      <c r="D695" s="1" t="s">
        <v>10701</v>
      </c>
      <c r="E695" s="1" t="str">
        <f>"3930"</f>
        <v>3930</v>
      </c>
      <c r="F695" s="1" t="s">
        <v>1476</v>
      </c>
      <c r="G695" s="1" t="s">
        <v>1477</v>
      </c>
      <c r="H695" s="1" t="s">
        <v>16</v>
      </c>
      <c r="I695" s="4" t="str">
        <f>"1"</f>
        <v>1</v>
      </c>
      <c r="J695" s="2" t="str">
        <f>"39217"</f>
        <v>39217</v>
      </c>
      <c r="K695" s="3">
        <v>46152</v>
      </c>
      <c r="L695" s="3">
        <v>46154</v>
      </c>
      <c r="M695" s="1" t="s">
        <v>10700</v>
      </c>
      <c r="N695" s="1" t="s">
        <v>10699</v>
      </c>
    </row>
    <row r="696" spans="1:14" s="1" customFormat="1" x14ac:dyDescent="0.35">
      <c r="A696" s="1" t="s">
        <v>5171</v>
      </c>
      <c r="B696" s="1" t="s">
        <v>1622</v>
      </c>
      <c r="C696" s="1" t="s">
        <v>10622</v>
      </c>
      <c r="D696" s="1" t="s">
        <v>10698</v>
      </c>
      <c r="E696" s="1" t="str">
        <f>"6115"</f>
        <v>6115</v>
      </c>
      <c r="F696" s="1" t="str">
        <f>"016122549"</f>
        <v>016122549</v>
      </c>
      <c r="G696" s="1" t="s">
        <v>2431</v>
      </c>
      <c r="H696" s="1" t="s">
        <v>16</v>
      </c>
      <c r="I696" s="4" t="str">
        <f>"8"</f>
        <v>8</v>
      </c>
      <c r="J696" s="2" t="str">
        <f>"7873"</f>
        <v>7873</v>
      </c>
      <c r="K696" s="3">
        <v>46145</v>
      </c>
      <c r="L696" s="3">
        <v>46157</v>
      </c>
      <c r="M696" s="1" t="s">
        <v>10697</v>
      </c>
      <c r="N696" s="1" t="s">
        <v>10648</v>
      </c>
    </row>
    <row r="697" spans="1:14" s="1" customFormat="1" x14ac:dyDescent="0.35">
      <c r="A697" s="1" t="s">
        <v>5171</v>
      </c>
      <c r="B697" s="1" t="s">
        <v>1622</v>
      </c>
      <c r="C697" s="1" t="s">
        <v>1649</v>
      </c>
      <c r="D697" s="1" t="s">
        <v>10696</v>
      </c>
      <c r="E697" s="1" t="str">
        <f>"4110"</f>
        <v>4110</v>
      </c>
      <c r="F697" s="1" t="s">
        <v>388</v>
      </c>
      <c r="G697" s="1" t="s">
        <v>389</v>
      </c>
      <c r="H697" s="1" t="s">
        <v>16</v>
      </c>
      <c r="I697" s="4" t="str">
        <f>"1"</f>
        <v>1</v>
      </c>
      <c r="J697" s="2" t="str">
        <f>"475"</f>
        <v>475</v>
      </c>
      <c r="K697" s="3">
        <v>46134</v>
      </c>
      <c r="L697" s="3">
        <v>46161</v>
      </c>
      <c r="M697" s="1" t="s">
        <v>10695</v>
      </c>
      <c r="N697" s="1" t="s">
        <v>1653</v>
      </c>
    </row>
    <row r="698" spans="1:14" s="1" customFormat="1" x14ac:dyDescent="0.35">
      <c r="A698" s="1" t="s">
        <v>5171</v>
      </c>
      <c r="B698" s="1" t="s">
        <v>1622</v>
      </c>
      <c r="C698" s="1" t="s">
        <v>1649</v>
      </c>
      <c r="D698" s="1" t="s">
        <v>10694</v>
      </c>
      <c r="E698" s="1" t="str">
        <f>"4110"</f>
        <v>4110</v>
      </c>
      <c r="F698" s="1" t="s">
        <v>388</v>
      </c>
      <c r="G698" s="1" t="s">
        <v>389</v>
      </c>
      <c r="H698" s="1" t="s">
        <v>16</v>
      </c>
      <c r="I698" s="4" t="str">
        <f>"1"</f>
        <v>1</v>
      </c>
      <c r="J698" s="2" t="str">
        <f>"475"</f>
        <v>475</v>
      </c>
      <c r="K698" s="3">
        <v>46134</v>
      </c>
      <c r="L698" s="3">
        <v>46161</v>
      </c>
      <c r="M698" s="1" t="s">
        <v>10693</v>
      </c>
      <c r="N698" s="1" t="s">
        <v>1653</v>
      </c>
    </row>
    <row r="699" spans="1:14" s="1" customFormat="1" x14ac:dyDescent="0.35">
      <c r="A699" s="1" t="s">
        <v>5171</v>
      </c>
      <c r="B699" s="1" t="s">
        <v>1622</v>
      </c>
      <c r="C699" s="1" t="s">
        <v>1649</v>
      </c>
      <c r="D699" s="1" t="s">
        <v>10692</v>
      </c>
      <c r="E699" s="1" t="str">
        <f>"4110"</f>
        <v>4110</v>
      </c>
      <c r="F699" s="1" t="s">
        <v>388</v>
      </c>
      <c r="G699" s="1" t="s">
        <v>389</v>
      </c>
      <c r="H699" s="1" t="s">
        <v>16</v>
      </c>
      <c r="I699" s="4" t="str">
        <f>"1"</f>
        <v>1</v>
      </c>
      <c r="J699" s="2" t="str">
        <f>"475"</f>
        <v>475</v>
      </c>
      <c r="K699" s="3">
        <v>46134</v>
      </c>
      <c r="L699" s="3">
        <v>46161</v>
      </c>
      <c r="M699" s="1" t="s">
        <v>10691</v>
      </c>
      <c r="N699" s="1" t="s">
        <v>1653</v>
      </c>
    </row>
    <row r="700" spans="1:14" s="1" customFormat="1" x14ac:dyDescent="0.35">
      <c r="A700" s="1" t="s">
        <v>5171</v>
      </c>
      <c r="B700" s="1" t="s">
        <v>1622</v>
      </c>
      <c r="C700" s="1" t="s">
        <v>10617</v>
      </c>
      <c r="D700" s="1" t="s">
        <v>10690</v>
      </c>
      <c r="E700" s="1" t="str">
        <f>"1940"</f>
        <v>1940</v>
      </c>
      <c r="F700" s="1" t="str">
        <f>"001093313"</f>
        <v>001093313</v>
      </c>
      <c r="G700" s="1" t="s">
        <v>4904</v>
      </c>
      <c r="H700" s="1" t="s">
        <v>16</v>
      </c>
      <c r="I700" s="4" t="str">
        <f>"1"</f>
        <v>1</v>
      </c>
      <c r="J700" s="2" t="str">
        <f>"4663"</f>
        <v>4663</v>
      </c>
      <c r="K700" s="3">
        <v>46148</v>
      </c>
      <c r="L700" s="3">
        <v>46163</v>
      </c>
      <c r="M700" s="1" t="s">
        <v>10689</v>
      </c>
      <c r="N700" s="1" t="s">
        <v>10688</v>
      </c>
    </row>
    <row r="701" spans="1:14" s="1" customFormat="1" x14ac:dyDescent="0.35">
      <c r="A701" s="1" t="s">
        <v>5216</v>
      </c>
      <c r="B701" s="1" t="s">
        <v>1622</v>
      </c>
      <c r="C701" s="1" t="s">
        <v>1674</v>
      </c>
      <c r="D701" s="1" t="s">
        <v>10687</v>
      </c>
      <c r="E701" s="1" t="str">
        <f>"2320"</f>
        <v>2320</v>
      </c>
      <c r="F701" s="1" t="str">
        <f>"015068483"</f>
        <v>015068483</v>
      </c>
      <c r="G701" s="1" t="s">
        <v>3486</v>
      </c>
      <c r="H701" s="1" t="s">
        <v>16</v>
      </c>
      <c r="I701" s="4" t="str">
        <f>"1"</f>
        <v>1</v>
      </c>
      <c r="J701" s="2" t="str">
        <f>"100185"</f>
        <v>100185</v>
      </c>
      <c r="K701" s="3">
        <v>46169</v>
      </c>
      <c r="L701" s="3">
        <v>46169</v>
      </c>
      <c r="M701" s="1" t="s">
        <v>9436</v>
      </c>
      <c r="N701" s="1" t="s">
        <v>10686</v>
      </c>
    </row>
    <row r="702" spans="1:14" s="1" customFormat="1" x14ac:dyDescent="0.35">
      <c r="A702" s="1" t="s">
        <v>5171</v>
      </c>
      <c r="B702" s="1" t="s">
        <v>1622</v>
      </c>
      <c r="C702" s="1" t="s">
        <v>1626</v>
      </c>
      <c r="D702" s="1" t="s">
        <v>10685</v>
      </c>
      <c r="E702" s="1" t="str">
        <f>"2340"</f>
        <v>2340</v>
      </c>
      <c r="F702" s="1" t="s">
        <v>61</v>
      </c>
      <c r="G702" s="1" t="s">
        <v>62</v>
      </c>
      <c r="H702" s="1" t="s">
        <v>16</v>
      </c>
      <c r="I702" s="4" t="str">
        <f>"1"</f>
        <v>1</v>
      </c>
      <c r="J702" s="2" t="str">
        <f>"1000"</f>
        <v>1000</v>
      </c>
      <c r="K702" s="3">
        <v>46131</v>
      </c>
      <c r="L702" s="3">
        <v>46170</v>
      </c>
      <c r="M702" s="1" t="s">
        <v>10684</v>
      </c>
      <c r="N702" s="1" t="s">
        <v>10683</v>
      </c>
    </row>
    <row r="703" spans="1:14" s="1" customFormat="1" x14ac:dyDescent="0.35">
      <c r="A703" s="1" t="s">
        <v>5171</v>
      </c>
      <c r="B703" s="1" t="s">
        <v>1622</v>
      </c>
      <c r="C703" s="1" t="s">
        <v>1626</v>
      </c>
      <c r="D703" s="1" t="s">
        <v>10682</v>
      </c>
      <c r="E703" s="1" t="str">
        <f>"4910"</f>
        <v>4910</v>
      </c>
      <c r="F703" s="1" t="s">
        <v>289</v>
      </c>
      <c r="G703" s="1" t="s">
        <v>290</v>
      </c>
      <c r="H703" s="1" t="s">
        <v>16</v>
      </c>
      <c r="I703" s="4" t="str">
        <f>"1"</f>
        <v>1</v>
      </c>
      <c r="J703" s="2" t="str">
        <f>"2000"</f>
        <v>2000</v>
      </c>
      <c r="K703" s="3">
        <v>46131</v>
      </c>
      <c r="L703" s="3">
        <v>46170</v>
      </c>
      <c r="M703" s="1" t="s">
        <v>10681</v>
      </c>
      <c r="N703" s="1" t="s">
        <v>10680</v>
      </c>
    </row>
    <row r="704" spans="1:14" s="1" customFormat="1" x14ac:dyDescent="0.35">
      <c r="A704" s="1" t="s">
        <v>5171</v>
      </c>
      <c r="B704" s="1" t="s">
        <v>1622</v>
      </c>
      <c r="C704" s="1" t="s">
        <v>10632</v>
      </c>
      <c r="D704" s="1" t="s">
        <v>10679</v>
      </c>
      <c r="E704" s="1" t="str">
        <f>"5855"</f>
        <v>5855</v>
      </c>
      <c r="F704" s="1" t="str">
        <f>"015481555"</f>
        <v>015481555</v>
      </c>
      <c r="G704" s="1" t="s">
        <v>175</v>
      </c>
      <c r="H704" s="1" t="s">
        <v>16</v>
      </c>
      <c r="I704" s="4" t="str">
        <f>"1"</f>
        <v>1</v>
      </c>
      <c r="J704" s="2">
        <v>9366.36</v>
      </c>
      <c r="K704" s="3">
        <v>46168</v>
      </c>
      <c r="L704" s="3">
        <v>46171</v>
      </c>
      <c r="M704" s="1" t="s">
        <v>10678</v>
      </c>
      <c r="N704" s="1" t="s">
        <v>10677</v>
      </c>
    </row>
    <row r="705" spans="1:14" s="1" customFormat="1" x14ac:dyDescent="0.35">
      <c r="A705" s="1" t="s">
        <v>5216</v>
      </c>
      <c r="B705" s="1" t="s">
        <v>1622</v>
      </c>
      <c r="C705" s="1" t="s">
        <v>10676</v>
      </c>
      <c r="D705" s="1" t="s">
        <v>10675</v>
      </c>
      <c r="E705" s="1" t="str">
        <f>"1005"</f>
        <v>1005</v>
      </c>
      <c r="F705" s="1" t="str">
        <f>"016976892"</f>
        <v>016976892</v>
      </c>
      <c r="G705" s="1" t="s">
        <v>4878</v>
      </c>
      <c r="H705" s="1" t="s">
        <v>16</v>
      </c>
      <c r="I705" s="4" t="str">
        <f>"4"</f>
        <v>4</v>
      </c>
      <c r="J705" s="2" t="str">
        <f>"1804"</f>
        <v>1804</v>
      </c>
      <c r="K705" s="3">
        <v>46170</v>
      </c>
      <c r="L705" s="3">
        <v>46174</v>
      </c>
      <c r="M705" s="1" t="s">
        <v>10674</v>
      </c>
      <c r="N705" s="1" t="s">
        <v>10673</v>
      </c>
    </row>
    <row r="706" spans="1:14" s="1" customFormat="1" x14ac:dyDescent="0.35">
      <c r="A706" s="1" t="s">
        <v>5171</v>
      </c>
      <c r="B706" s="1" t="s">
        <v>1622</v>
      </c>
      <c r="C706" s="1" t="s">
        <v>1649</v>
      </c>
      <c r="D706" s="1" t="s">
        <v>10672</v>
      </c>
      <c r="E706" s="1" t="str">
        <f>"8145"</f>
        <v>8145</v>
      </c>
      <c r="F706" s="1" t="str">
        <f>"016062890"</f>
        <v>016062890</v>
      </c>
      <c r="G706" s="1" t="s">
        <v>10671</v>
      </c>
      <c r="H706" s="1" t="s">
        <v>16</v>
      </c>
      <c r="I706" s="4" t="str">
        <f>"1"</f>
        <v>1</v>
      </c>
      <c r="J706" s="2">
        <v>81789.19</v>
      </c>
      <c r="K706" s="3">
        <v>46173</v>
      </c>
      <c r="L706" s="3">
        <v>46175</v>
      </c>
      <c r="M706" s="1" t="s">
        <v>5167</v>
      </c>
      <c r="N706" s="1" t="s">
        <v>10670</v>
      </c>
    </row>
    <row r="707" spans="1:14" s="1" customFormat="1" x14ac:dyDescent="0.35">
      <c r="A707" s="1" t="s">
        <v>5171</v>
      </c>
      <c r="B707" s="1" t="s">
        <v>1622</v>
      </c>
      <c r="C707" s="1" t="s">
        <v>10669</v>
      </c>
      <c r="D707" s="1" t="s">
        <v>10668</v>
      </c>
      <c r="E707" s="1" t="str">
        <f>"2340"</f>
        <v>2340</v>
      </c>
      <c r="F707" s="1" t="s">
        <v>84</v>
      </c>
      <c r="G707" s="1" t="s">
        <v>85</v>
      </c>
      <c r="H707" s="1" t="s">
        <v>16</v>
      </c>
      <c r="I707" s="4" t="str">
        <f>"1"</f>
        <v>1</v>
      </c>
      <c r="J707" s="2">
        <v>37739.58</v>
      </c>
      <c r="K707" s="3">
        <v>46174</v>
      </c>
      <c r="L707" s="3">
        <v>46175</v>
      </c>
      <c r="M707" s="1" t="s">
        <v>5167</v>
      </c>
      <c r="N707" s="1" t="s">
        <v>10667</v>
      </c>
    </row>
    <row r="708" spans="1:14" s="1" customFormat="1" x14ac:dyDescent="0.35">
      <c r="A708" s="1" t="s">
        <v>5171</v>
      </c>
      <c r="B708" s="1" t="s">
        <v>1622</v>
      </c>
      <c r="C708" s="1" t="s">
        <v>10632</v>
      </c>
      <c r="D708" s="1" t="s">
        <v>10666</v>
      </c>
      <c r="E708" s="1" t="str">
        <f>"2340"</f>
        <v>2340</v>
      </c>
      <c r="F708" s="1" t="s">
        <v>84</v>
      </c>
      <c r="G708" s="1" t="s">
        <v>85</v>
      </c>
      <c r="H708" s="1" t="s">
        <v>16</v>
      </c>
      <c r="I708" s="4" t="str">
        <f>"1"</f>
        <v>1</v>
      </c>
      <c r="J708" s="2">
        <v>37739.58</v>
      </c>
      <c r="K708" s="3">
        <v>46174</v>
      </c>
      <c r="L708" s="3">
        <v>46175</v>
      </c>
      <c r="M708" s="1" t="s">
        <v>5167</v>
      </c>
      <c r="N708" s="1" t="s">
        <v>10665</v>
      </c>
    </row>
    <row r="709" spans="1:14" s="1" customFormat="1" x14ac:dyDescent="0.35">
      <c r="A709" s="1" t="s">
        <v>5171</v>
      </c>
      <c r="B709" s="1" t="s">
        <v>1622</v>
      </c>
      <c r="C709" s="1" t="s">
        <v>1623</v>
      </c>
      <c r="D709" s="1" t="s">
        <v>10664</v>
      </c>
      <c r="E709" s="1" t="str">
        <f>"5855"</f>
        <v>5855</v>
      </c>
      <c r="F709" s="1" t="str">
        <f>"015485687"</f>
        <v>015485687</v>
      </c>
      <c r="G709" s="1" t="s">
        <v>1921</v>
      </c>
      <c r="H709" s="1" t="s">
        <v>16</v>
      </c>
      <c r="I709" s="4" t="str">
        <f>"5"</f>
        <v>5</v>
      </c>
      <c r="J709" s="2" t="str">
        <f>"10402"</f>
        <v>10402</v>
      </c>
      <c r="K709" s="3">
        <v>46079</v>
      </c>
      <c r="L709" s="3">
        <v>46176</v>
      </c>
      <c r="M709" s="1" t="s">
        <v>10663</v>
      </c>
      <c r="N709" s="1" t="s">
        <v>10662</v>
      </c>
    </row>
    <row r="710" spans="1:14" s="1" customFormat="1" x14ac:dyDescent="0.35">
      <c r="A710" s="1" t="s">
        <v>5171</v>
      </c>
      <c r="B710" s="1" t="s">
        <v>1622</v>
      </c>
      <c r="C710" s="1" t="s">
        <v>10617</v>
      </c>
      <c r="D710" s="1" t="s">
        <v>10661</v>
      </c>
      <c r="E710" s="1" t="str">
        <f>"2805"</f>
        <v>2805</v>
      </c>
      <c r="F710" s="1" t="str">
        <f>"016594859"</f>
        <v>016594859</v>
      </c>
      <c r="G710" s="1" t="s">
        <v>10660</v>
      </c>
      <c r="H710" s="1" t="s">
        <v>16</v>
      </c>
      <c r="I710" s="4" t="str">
        <f>"2"</f>
        <v>2</v>
      </c>
      <c r="J710" s="2" t="str">
        <f>"13906"</f>
        <v>13906</v>
      </c>
      <c r="K710" s="3">
        <v>46143</v>
      </c>
      <c r="L710" s="3">
        <v>46176</v>
      </c>
      <c r="M710" s="1" t="s">
        <v>10659</v>
      </c>
      <c r="N710" s="1" t="s">
        <v>10658</v>
      </c>
    </row>
    <row r="711" spans="1:14" s="1" customFormat="1" x14ac:dyDescent="0.35">
      <c r="A711" s="1" t="s">
        <v>5171</v>
      </c>
      <c r="B711" s="1" t="s">
        <v>1622</v>
      </c>
      <c r="C711" s="1" t="s">
        <v>10632</v>
      </c>
      <c r="D711" s="1" t="s">
        <v>10657</v>
      </c>
      <c r="E711" s="1" t="str">
        <f>"5855"</f>
        <v>5855</v>
      </c>
      <c r="F711" s="1" t="s">
        <v>4563</v>
      </c>
      <c r="G711" s="1" t="s">
        <v>4564</v>
      </c>
      <c r="H711" s="1" t="s">
        <v>16</v>
      </c>
      <c r="I711" s="4" t="str">
        <f>"1"</f>
        <v>1</v>
      </c>
      <c r="J711" s="2" t="str">
        <f>"2200"</f>
        <v>2200</v>
      </c>
      <c r="K711" s="3">
        <v>46181</v>
      </c>
      <c r="L711" s="3">
        <v>46184</v>
      </c>
      <c r="M711" s="1" t="s">
        <v>10656</v>
      </c>
      <c r="N711" s="1" t="s">
        <v>10655</v>
      </c>
    </row>
    <row r="712" spans="1:14" s="1" customFormat="1" x14ac:dyDescent="0.35">
      <c r="A712" s="1" t="s">
        <v>5171</v>
      </c>
      <c r="B712" s="1" t="s">
        <v>1622</v>
      </c>
      <c r="C712" s="1" t="s">
        <v>10632</v>
      </c>
      <c r="D712" s="1" t="s">
        <v>10657</v>
      </c>
      <c r="E712" s="1" t="str">
        <f>"5855"</f>
        <v>5855</v>
      </c>
      <c r="F712" s="1" t="s">
        <v>4563</v>
      </c>
      <c r="G712" s="1" t="s">
        <v>4564</v>
      </c>
      <c r="H712" s="1" t="s">
        <v>16</v>
      </c>
      <c r="I712" s="4" t="str">
        <f>"1"</f>
        <v>1</v>
      </c>
      <c r="J712" s="2" t="str">
        <f>"2200"</f>
        <v>2200</v>
      </c>
      <c r="K712" s="3">
        <v>46181</v>
      </c>
      <c r="L712" s="3">
        <v>46184</v>
      </c>
      <c r="M712" s="1" t="s">
        <v>10656</v>
      </c>
      <c r="N712" s="1" t="s">
        <v>10655</v>
      </c>
    </row>
    <row r="713" spans="1:14" s="1" customFormat="1" x14ac:dyDescent="0.35">
      <c r="A713" s="1" t="s">
        <v>5171</v>
      </c>
      <c r="B713" s="1" t="s">
        <v>1622</v>
      </c>
      <c r="C713" s="1" t="s">
        <v>10632</v>
      </c>
      <c r="D713" s="1" t="s">
        <v>10654</v>
      </c>
      <c r="E713" s="1" t="str">
        <f>"1005"</f>
        <v>1005</v>
      </c>
      <c r="F713" s="1" t="str">
        <f>"016135199"</f>
        <v>016135199</v>
      </c>
      <c r="G713" s="1" t="s">
        <v>183</v>
      </c>
      <c r="H713" s="1" t="s">
        <v>16</v>
      </c>
      <c r="I713" s="4" t="str">
        <f>"300"</f>
        <v>300</v>
      </c>
      <c r="J713" s="2" t="str">
        <f>"20"</f>
        <v>20</v>
      </c>
      <c r="K713" s="3">
        <v>46182</v>
      </c>
      <c r="L713" s="3">
        <v>46184</v>
      </c>
      <c r="N713" s="1" t="s">
        <v>10653</v>
      </c>
    </row>
    <row r="714" spans="1:14" s="1" customFormat="1" x14ac:dyDescent="0.35">
      <c r="A714" s="1" t="s">
        <v>5171</v>
      </c>
      <c r="B714" s="1" t="s">
        <v>1622</v>
      </c>
      <c r="C714" s="1" t="s">
        <v>10632</v>
      </c>
      <c r="D714" s="1" t="s">
        <v>10652</v>
      </c>
      <c r="E714" s="1" t="str">
        <f>"5855"</f>
        <v>5855</v>
      </c>
      <c r="F714" s="1" t="s">
        <v>4563</v>
      </c>
      <c r="G714" s="1" t="s">
        <v>4564</v>
      </c>
      <c r="H714" s="1" t="s">
        <v>16</v>
      </c>
      <c r="I714" s="4" t="str">
        <f>"1"</f>
        <v>1</v>
      </c>
      <c r="J714" s="2" t="str">
        <f>"2200"</f>
        <v>2200</v>
      </c>
      <c r="K714" s="3">
        <v>46184</v>
      </c>
      <c r="L714" s="3">
        <v>46184</v>
      </c>
      <c r="M714" s="1" t="s">
        <v>5469</v>
      </c>
      <c r="N714" s="1" t="s">
        <v>10651</v>
      </c>
    </row>
    <row r="715" spans="1:14" s="1" customFormat="1" x14ac:dyDescent="0.35">
      <c r="A715" s="1" t="s">
        <v>5171</v>
      </c>
      <c r="B715" s="1" t="s">
        <v>1622</v>
      </c>
      <c r="C715" s="1" t="s">
        <v>10622</v>
      </c>
      <c r="D715" s="1" t="s">
        <v>10650</v>
      </c>
      <c r="E715" s="1" t="str">
        <f>"4240"</f>
        <v>4240</v>
      </c>
      <c r="F715" s="1" t="s">
        <v>2930</v>
      </c>
      <c r="G715" s="1" t="s">
        <v>2931</v>
      </c>
      <c r="H715" s="1" t="s">
        <v>16</v>
      </c>
      <c r="I715" s="4" t="str">
        <f>"1"</f>
        <v>1</v>
      </c>
      <c r="J715" s="2" t="str">
        <f>"49800"</f>
        <v>49800</v>
      </c>
      <c r="K715" s="3">
        <v>46145</v>
      </c>
      <c r="L715" s="3">
        <v>46188</v>
      </c>
      <c r="M715" s="1" t="s">
        <v>10649</v>
      </c>
      <c r="N715" s="1" t="s">
        <v>10648</v>
      </c>
    </row>
    <row r="716" spans="1:14" s="1" customFormat="1" x14ac:dyDescent="0.35">
      <c r="A716" s="1" t="s">
        <v>5230</v>
      </c>
      <c r="B716" s="1" t="s">
        <v>1622</v>
      </c>
      <c r="C716" s="1" t="s">
        <v>10632</v>
      </c>
      <c r="D716" s="1" t="s">
        <v>10647</v>
      </c>
      <c r="E716" s="1" t="str">
        <f>"5855"</f>
        <v>5855</v>
      </c>
      <c r="F716" s="1" t="str">
        <f>"015294726"</f>
        <v>015294726</v>
      </c>
      <c r="G716" s="1" t="s">
        <v>1379</v>
      </c>
      <c r="H716" s="1" t="s">
        <v>16</v>
      </c>
      <c r="I716" s="4" t="str">
        <f>"30"</f>
        <v>30</v>
      </c>
      <c r="J716" s="2" t="str">
        <f>"1200"</f>
        <v>1200</v>
      </c>
      <c r="K716" s="3">
        <v>46192</v>
      </c>
      <c r="L716" s="3">
        <v>46192</v>
      </c>
      <c r="N716" s="1" t="s">
        <v>10646</v>
      </c>
    </row>
    <row r="717" spans="1:14" s="1" customFormat="1" x14ac:dyDescent="0.35">
      <c r="A717" s="1" t="s">
        <v>5171</v>
      </c>
      <c r="B717" s="1" t="s">
        <v>1622</v>
      </c>
      <c r="C717" s="1" t="s">
        <v>10632</v>
      </c>
      <c r="D717" s="1" t="s">
        <v>10645</v>
      </c>
      <c r="E717" s="1" t="str">
        <f>"5855"</f>
        <v>5855</v>
      </c>
      <c r="F717" s="1" t="str">
        <f>"015356166"</f>
        <v>015356166</v>
      </c>
      <c r="G717" s="1" t="s">
        <v>1379</v>
      </c>
      <c r="H717" s="1" t="s">
        <v>16</v>
      </c>
      <c r="I717" s="4" t="str">
        <f>"24"</f>
        <v>24</v>
      </c>
      <c r="J717" s="2" t="str">
        <f>"898"</f>
        <v>898</v>
      </c>
      <c r="K717" s="3">
        <v>46191</v>
      </c>
      <c r="L717" s="3">
        <v>46192</v>
      </c>
      <c r="M717" s="1" t="s">
        <v>5167</v>
      </c>
      <c r="N717" s="1" t="s">
        <v>10644</v>
      </c>
    </row>
    <row r="718" spans="1:14" s="1" customFormat="1" x14ac:dyDescent="0.35">
      <c r="A718" s="1" t="s">
        <v>5171</v>
      </c>
      <c r="B718" s="1" t="s">
        <v>1622</v>
      </c>
      <c r="C718" s="1" t="s">
        <v>10632</v>
      </c>
      <c r="D718" s="1" t="s">
        <v>10643</v>
      </c>
      <c r="E718" s="1" t="str">
        <f>"5855"</f>
        <v>5855</v>
      </c>
      <c r="F718" s="1" t="s">
        <v>7063</v>
      </c>
      <c r="G718" s="1" t="s">
        <v>7062</v>
      </c>
      <c r="H718" s="1" t="s">
        <v>16</v>
      </c>
      <c r="I718" s="4" t="str">
        <f>"1"</f>
        <v>1</v>
      </c>
      <c r="J718" s="2" t="str">
        <f>"37500"</f>
        <v>37500</v>
      </c>
      <c r="K718" s="3">
        <v>46189</v>
      </c>
      <c r="L718" s="3">
        <v>46192</v>
      </c>
      <c r="M718" s="1" t="s">
        <v>10642</v>
      </c>
      <c r="N718" s="1" t="s">
        <v>10641</v>
      </c>
    </row>
    <row r="719" spans="1:14" s="1" customFormat="1" x14ac:dyDescent="0.35">
      <c r="A719" s="1" t="s">
        <v>5171</v>
      </c>
      <c r="B719" s="1" t="s">
        <v>1622</v>
      </c>
      <c r="C719" s="1" t="s">
        <v>1626</v>
      </c>
      <c r="D719" s="1" t="s">
        <v>10640</v>
      </c>
      <c r="E719" s="1" t="str">
        <f>"5445"</f>
        <v>5445</v>
      </c>
      <c r="F719" s="1" t="s">
        <v>10639</v>
      </c>
      <c r="G719" s="1" t="s">
        <v>10638</v>
      </c>
      <c r="H719" s="1" t="s">
        <v>16</v>
      </c>
      <c r="I719" s="4" t="str">
        <f>"1"</f>
        <v>1</v>
      </c>
      <c r="J719" s="2" t="str">
        <f>"19565"</f>
        <v>19565</v>
      </c>
      <c r="K719" s="3">
        <v>46117</v>
      </c>
      <c r="L719" s="3">
        <v>46195</v>
      </c>
      <c r="M719" s="1" t="s">
        <v>10637</v>
      </c>
      <c r="N719" s="1" t="s">
        <v>10636</v>
      </c>
    </row>
    <row r="720" spans="1:14" s="1" customFormat="1" x14ac:dyDescent="0.35">
      <c r="A720" s="1" t="s">
        <v>5216</v>
      </c>
      <c r="B720" s="1" t="s">
        <v>1622</v>
      </c>
      <c r="C720" s="1" t="s">
        <v>10635</v>
      </c>
      <c r="D720" s="1" t="s">
        <v>10634</v>
      </c>
      <c r="E720" s="1" t="str">
        <f>"5855"</f>
        <v>5855</v>
      </c>
      <c r="F720" s="1" t="s">
        <v>4563</v>
      </c>
      <c r="G720" s="1" t="s">
        <v>4564</v>
      </c>
      <c r="H720" s="1" t="s">
        <v>16</v>
      </c>
      <c r="I720" s="4" t="str">
        <f>"1"</f>
        <v>1</v>
      </c>
      <c r="J720" s="2" t="str">
        <f>"538298"</f>
        <v>538298</v>
      </c>
      <c r="K720" s="3">
        <v>46192</v>
      </c>
      <c r="L720" s="3">
        <v>46196</v>
      </c>
      <c r="M720" s="1" t="s">
        <v>10630</v>
      </c>
      <c r="N720" s="1" t="s">
        <v>10633</v>
      </c>
    </row>
    <row r="721" spans="1:14" s="1" customFormat="1" x14ac:dyDescent="0.35">
      <c r="A721" s="1" t="s">
        <v>5216</v>
      </c>
      <c r="B721" s="1" t="s">
        <v>1622</v>
      </c>
      <c r="C721" s="1" t="s">
        <v>10632</v>
      </c>
      <c r="D721" s="1" t="s">
        <v>10631</v>
      </c>
      <c r="E721" s="1" t="str">
        <f>"5855"</f>
        <v>5855</v>
      </c>
      <c r="F721" s="1" t="s">
        <v>4563</v>
      </c>
      <c r="G721" s="1" t="s">
        <v>4564</v>
      </c>
      <c r="H721" s="1" t="s">
        <v>16</v>
      </c>
      <c r="I721" s="4" t="str">
        <f>"1"</f>
        <v>1</v>
      </c>
      <c r="J721" s="2" t="str">
        <f>"538298"</f>
        <v>538298</v>
      </c>
      <c r="K721" s="3">
        <v>46192</v>
      </c>
      <c r="L721" s="3">
        <v>46196</v>
      </c>
      <c r="M721" s="1" t="s">
        <v>10630</v>
      </c>
      <c r="N721" s="1" t="s">
        <v>10629</v>
      </c>
    </row>
    <row r="722" spans="1:14" s="1" customFormat="1" x14ac:dyDescent="0.35">
      <c r="A722" s="1" t="s">
        <v>5171</v>
      </c>
      <c r="B722" s="1" t="s">
        <v>1622</v>
      </c>
      <c r="C722" s="1" t="s">
        <v>10617</v>
      </c>
      <c r="D722" s="1" t="s">
        <v>10628</v>
      </c>
      <c r="E722" s="1" t="str">
        <f>"1940"</f>
        <v>1940</v>
      </c>
      <c r="F722" s="1" t="s">
        <v>1503</v>
      </c>
      <c r="G722" s="1" t="s">
        <v>1504</v>
      </c>
      <c r="H722" s="1" t="s">
        <v>16</v>
      </c>
      <c r="I722" s="4" t="str">
        <f>"1"</f>
        <v>1</v>
      </c>
      <c r="J722" s="2" t="str">
        <f>"2500"</f>
        <v>2500</v>
      </c>
      <c r="K722" s="3">
        <v>46195</v>
      </c>
      <c r="L722" s="3">
        <v>46200</v>
      </c>
      <c r="M722" s="1" t="s">
        <v>10627</v>
      </c>
      <c r="N722" s="1" t="s">
        <v>10626</v>
      </c>
    </row>
    <row r="723" spans="1:14" s="1" customFormat="1" x14ac:dyDescent="0.35">
      <c r="A723" s="1" t="s">
        <v>5171</v>
      </c>
      <c r="B723" s="1" t="s">
        <v>1622</v>
      </c>
      <c r="C723" s="1" t="s">
        <v>10622</v>
      </c>
      <c r="D723" s="1" t="s">
        <v>10625</v>
      </c>
      <c r="E723" s="1" t="str">
        <f>"5830"</f>
        <v>5830</v>
      </c>
      <c r="F723" s="1" t="str">
        <f>"016708863"</f>
        <v>016708863</v>
      </c>
      <c r="G723" s="1" t="s">
        <v>1767</v>
      </c>
      <c r="H723" s="1" t="s">
        <v>16</v>
      </c>
      <c r="I723" s="4" t="str">
        <f>"1"</f>
        <v>1</v>
      </c>
      <c r="J723" s="2" t="str">
        <f>"27775"</f>
        <v>27775</v>
      </c>
      <c r="K723" s="3">
        <v>46145</v>
      </c>
      <c r="L723" s="3">
        <v>46202</v>
      </c>
      <c r="M723" s="1" t="s">
        <v>10624</v>
      </c>
      <c r="N723" s="1" t="s">
        <v>10623</v>
      </c>
    </row>
    <row r="724" spans="1:14" s="1" customFormat="1" x14ac:dyDescent="0.35">
      <c r="A724" s="1" t="s">
        <v>5171</v>
      </c>
      <c r="B724" s="1" t="s">
        <v>1622</v>
      </c>
      <c r="C724" s="1" t="s">
        <v>10622</v>
      </c>
      <c r="D724" s="1" t="s">
        <v>10621</v>
      </c>
      <c r="E724" s="1" t="str">
        <f>"5830"</f>
        <v>5830</v>
      </c>
      <c r="F724" s="1" t="str">
        <f>"016708863"</f>
        <v>016708863</v>
      </c>
      <c r="G724" s="1" t="s">
        <v>1767</v>
      </c>
      <c r="H724" s="1" t="s">
        <v>16</v>
      </c>
      <c r="I724" s="4" t="str">
        <f>"8"</f>
        <v>8</v>
      </c>
      <c r="J724" s="2" t="str">
        <f>"27775"</f>
        <v>27775</v>
      </c>
      <c r="K724" s="3">
        <v>46145</v>
      </c>
      <c r="L724" s="3">
        <v>46202</v>
      </c>
      <c r="M724" s="1" t="s">
        <v>10620</v>
      </c>
      <c r="N724" s="1" t="s">
        <v>10619</v>
      </c>
    </row>
    <row r="725" spans="1:14" s="1" customFormat="1" x14ac:dyDescent="0.35">
      <c r="A725" s="1" t="s">
        <v>5216</v>
      </c>
      <c r="B725" s="1" t="s">
        <v>1622</v>
      </c>
      <c r="C725" s="1" t="s">
        <v>10617</v>
      </c>
      <c r="D725" s="1" t="s">
        <v>10618</v>
      </c>
      <c r="E725" s="1" t="str">
        <f>"1940"</f>
        <v>1940</v>
      </c>
      <c r="F725" s="1" t="s">
        <v>1503</v>
      </c>
      <c r="G725" s="1" t="s">
        <v>1504</v>
      </c>
      <c r="H725" s="1" t="s">
        <v>16</v>
      </c>
      <c r="I725" s="4" t="str">
        <f>"1"</f>
        <v>1</v>
      </c>
      <c r="J725" s="2" t="str">
        <f>"2500"</f>
        <v>2500</v>
      </c>
      <c r="K725" s="3">
        <v>46202</v>
      </c>
      <c r="L725" s="3">
        <v>46203</v>
      </c>
      <c r="M725" s="1" t="s">
        <v>10615</v>
      </c>
      <c r="N725" s="1" t="s">
        <v>10614</v>
      </c>
    </row>
    <row r="726" spans="1:14" s="1" customFormat="1" x14ac:dyDescent="0.35">
      <c r="A726" s="1" t="s">
        <v>5216</v>
      </c>
      <c r="B726" s="1" t="s">
        <v>1622</v>
      </c>
      <c r="C726" s="1" t="s">
        <v>10617</v>
      </c>
      <c r="D726" s="1" t="s">
        <v>10616</v>
      </c>
      <c r="E726" s="1" t="str">
        <f>"1940"</f>
        <v>1940</v>
      </c>
      <c r="F726" s="1" t="s">
        <v>1503</v>
      </c>
      <c r="G726" s="1" t="s">
        <v>1504</v>
      </c>
      <c r="H726" s="1" t="s">
        <v>16</v>
      </c>
      <c r="I726" s="4" t="str">
        <f>"1"</f>
        <v>1</v>
      </c>
      <c r="J726" s="2" t="str">
        <f>"2500"</f>
        <v>2500</v>
      </c>
      <c r="K726" s="3">
        <v>46202</v>
      </c>
      <c r="L726" s="3">
        <v>46203</v>
      </c>
      <c r="M726" s="1" t="s">
        <v>10615</v>
      </c>
      <c r="N726" s="1" t="s">
        <v>10614</v>
      </c>
    </row>
    <row r="727" spans="1:14" s="1" customFormat="1" x14ac:dyDescent="0.35">
      <c r="A727" s="1" t="s">
        <v>5171</v>
      </c>
      <c r="B727" s="1" t="s">
        <v>1684</v>
      </c>
      <c r="C727" s="1" t="s">
        <v>1798</v>
      </c>
      <c r="D727" s="1" t="s">
        <v>10613</v>
      </c>
      <c r="E727" s="1" t="str">
        <f>"1240"</f>
        <v>1240</v>
      </c>
      <c r="F727" s="1" t="s">
        <v>1800</v>
      </c>
      <c r="G727" s="1" t="s">
        <v>1801</v>
      </c>
      <c r="H727" s="1" t="s">
        <v>16</v>
      </c>
      <c r="I727" s="4" t="str">
        <f>"2"</f>
        <v>2</v>
      </c>
      <c r="J727" s="2" t="str">
        <f>"1000"</f>
        <v>1000</v>
      </c>
      <c r="K727" s="3">
        <v>46107</v>
      </c>
      <c r="L727" s="3">
        <v>46113</v>
      </c>
      <c r="M727" s="1" t="s">
        <v>10612</v>
      </c>
      <c r="N727" s="1" t="s">
        <v>10611</v>
      </c>
    </row>
    <row r="728" spans="1:14" s="1" customFormat="1" x14ac:dyDescent="0.35">
      <c r="A728" s="1" t="s">
        <v>5171</v>
      </c>
      <c r="B728" s="1" t="s">
        <v>1684</v>
      </c>
      <c r="C728" s="1" t="s">
        <v>1685</v>
      </c>
      <c r="D728" s="1" t="s">
        <v>10610</v>
      </c>
      <c r="E728" s="1" t="str">
        <f>"8145"</f>
        <v>8145</v>
      </c>
      <c r="F728" s="1" t="s">
        <v>489</v>
      </c>
      <c r="G728" s="1" t="s">
        <v>490</v>
      </c>
      <c r="H728" s="1" t="s">
        <v>16</v>
      </c>
      <c r="I728" s="4" t="str">
        <f>"3"</f>
        <v>3</v>
      </c>
      <c r="J728" s="2" t="str">
        <f>"200"</f>
        <v>200</v>
      </c>
      <c r="K728" s="3">
        <v>46104</v>
      </c>
      <c r="L728" s="3">
        <v>46114</v>
      </c>
      <c r="M728" s="1" t="s">
        <v>10609</v>
      </c>
      <c r="N728" s="1" t="s">
        <v>10608</v>
      </c>
    </row>
    <row r="729" spans="1:14" s="1" customFormat="1" x14ac:dyDescent="0.35">
      <c r="A729" s="1" t="s">
        <v>5171</v>
      </c>
      <c r="B729" s="1" t="s">
        <v>1684</v>
      </c>
      <c r="C729" s="1" t="s">
        <v>1685</v>
      </c>
      <c r="D729" s="1" t="s">
        <v>10607</v>
      </c>
      <c r="E729" s="1" t="str">
        <f>"8465"</f>
        <v>8465</v>
      </c>
      <c r="F729" s="1" t="str">
        <f>"016982343"</f>
        <v>016982343</v>
      </c>
      <c r="G729" s="1" t="s">
        <v>5097</v>
      </c>
      <c r="H729" s="1" t="s">
        <v>215</v>
      </c>
      <c r="I729" s="4" t="str">
        <f>"30"</f>
        <v>30</v>
      </c>
      <c r="J729" s="2">
        <v>199.39</v>
      </c>
      <c r="K729" s="3">
        <v>46104</v>
      </c>
      <c r="L729" s="3">
        <v>46115</v>
      </c>
      <c r="M729" s="1" t="s">
        <v>10606</v>
      </c>
      <c r="N729" s="1" t="s">
        <v>10605</v>
      </c>
    </row>
    <row r="730" spans="1:14" s="1" customFormat="1" x14ac:dyDescent="0.35">
      <c r="A730" s="1" t="s">
        <v>5171</v>
      </c>
      <c r="B730" s="1" t="s">
        <v>1684</v>
      </c>
      <c r="C730" s="1" t="s">
        <v>1685</v>
      </c>
      <c r="D730" s="1" t="s">
        <v>10604</v>
      </c>
      <c r="E730" s="1" t="str">
        <f>"1240"</f>
        <v>1240</v>
      </c>
      <c r="F730" s="1" t="str">
        <f>"014111265"</f>
        <v>014111265</v>
      </c>
      <c r="G730" s="1" t="s">
        <v>1103</v>
      </c>
      <c r="H730" s="1" t="s">
        <v>16</v>
      </c>
      <c r="I730" s="4" t="str">
        <f>"1"</f>
        <v>1</v>
      </c>
      <c r="J730" s="2" t="str">
        <f>"339"</f>
        <v>339</v>
      </c>
      <c r="K730" s="3">
        <v>46115</v>
      </c>
      <c r="L730" s="3">
        <v>46116</v>
      </c>
      <c r="M730" s="1" t="s">
        <v>5167</v>
      </c>
      <c r="N730" s="1" t="s">
        <v>10552</v>
      </c>
    </row>
    <row r="731" spans="1:14" s="1" customFormat="1" x14ac:dyDescent="0.35">
      <c r="A731" s="1" t="s">
        <v>5171</v>
      </c>
      <c r="B731" s="1" t="s">
        <v>1684</v>
      </c>
      <c r="C731" s="1" t="s">
        <v>1685</v>
      </c>
      <c r="D731" s="1" t="s">
        <v>10603</v>
      </c>
      <c r="E731" s="1" t="str">
        <f>"1240"</f>
        <v>1240</v>
      </c>
      <c r="F731" s="1" t="str">
        <f>"014111265"</f>
        <v>014111265</v>
      </c>
      <c r="G731" s="1" t="s">
        <v>1103</v>
      </c>
      <c r="H731" s="1" t="s">
        <v>16</v>
      </c>
      <c r="I731" s="4" t="str">
        <f>"1"</f>
        <v>1</v>
      </c>
      <c r="J731" s="2" t="str">
        <f>"339"</f>
        <v>339</v>
      </c>
      <c r="K731" s="3">
        <v>46115</v>
      </c>
      <c r="L731" s="3">
        <v>46116</v>
      </c>
      <c r="M731" s="1" t="s">
        <v>5167</v>
      </c>
      <c r="N731" s="1" t="s">
        <v>10552</v>
      </c>
    </row>
    <row r="732" spans="1:14" s="1" customFormat="1" x14ac:dyDescent="0.35">
      <c r="A732" s="1" t="s">
        <v>5171</v>
      </c>
      <c r="B732" s="1" t="s">
        <v>1684</v>
      </c>
      <c r="C732" s="1" t="s">
        <v>1798</v>
      </c>
      <c r="D732" s="1" t="s">
        <v>10602</v>
      </c>
      <c r="E732" s="1" t="str">
        <f>"5855"</f>
        <v>5855</v>
      </c>
      <c r="F732" s="1" t="s">
        <v>4563</v>
      </c>
      <c r="G732" s="1" t="s">
        <v>4564</v>
      </c>
      <c r="H732" s="1" t="s">
        <v>16</v>
      </c>
      <c r="I732" s="4" t="str">
        <f>"12"</f>
        <v>12</v>
      </c>
      <c r="J732" s="2" t="str">
        <f>"1200"</f>
        <v>1200</v>
      </c>
      <c r="K732" s="3">
        <v>46107</v>
      </c>
      <c r="L732" s="3">
        <v>46116</v>
      </c>
      <c r="M732" s="1" t="s">
        <v>10601</v>
      </c>
      <c r="N732" s="1" t="s">
        <v>10600</v>
      </c>
    </row>
    <row r="733" spans="1:14" s="1" customFormat="1" x14ac:dyDescent="0.35">
      <c r="A733" s="1" t="s">
        <v>5171</v>
      </c>
      <c r="B733" s="1" t="s">
        <v>1684</v>
      </c>
      <c r="C733" s="1" t="s">
        <v>1798</v>
      </c>
      <c r="D733" s="1" t="s">
        <v>10599</v>
      </c>
      <c r="E733" s="1" t="str">
        <f>"5855"</f>
        <v>5855</v>
      </c>
      <c r="F733" s="1" t="s">
        <v>7848</v>
      </c>
      <c r="G733" s="1" t="s">
        <v>7847</v>
      </c>
      <c r="H733" s="1" t="s">
        <v>16</v>
      </c>
      <c r="I733" s="4" t="str">
        <f>"14"</f>
        <v>14</v>
      </c>
      <c r="J733" s="2">
        <v>6502.57</v>
      </c>
      <c r="K733" s="3">
        <v>46113</v>
      </c>
      <c r="L733" s="3">
        <v>46116</v>
      </c>
      <c r="M733" s="1" t="s">
        <v>10598</v>
      </c>
      <c r="N733" s="1" t="s">
        <v>10597</v>
      </c>
    </row>
    <row r="734" spans="1:14" s="1" customFormat="1" x14ac:dyDescent="0.35">
      <c r="A734" s="1" t="s">
        <v>5171</v>
      </c>
      <c r="B734" s="1" t="s">
        <v>1684</v>
      </c>
      <c r="C734" s="1" t="s">
        <v>1685</v>
      </c>
      <c r="D734" s="1" t="s">
        <v>10596</v>
      </c>
      <c r="E734" s="1" t="str">
        <f>"1240"</f>
        <v>1240</v>
      </c>
      <c r="F734" s="1" t="str">
        <f>"014111265"</f>
        <v>014111265</v>
      </c>
      <c r="G734" s="1" t="s">
        <v>1103</v>
      </c>
      <c r="H734" s="1" t="s">
        <v>16</v>
      </c>
      <c r="I734" s="4" t="str">
        <f>"1"</f>
        <v>1</v>
      </c>
      <c r="J734" s="2" t="str">
        <f>"339"</f>
        <v>339</v>
      </c>
      <c r="K734" s="3">
        <v>46115</v>
      </c>
      <c r="L734" s="3">
        <v>46119</v>
      </c>
      <c r="M734" s="1" t="s">
        <v>10595</v>
      </c>
      <c r="N734" s="1" t="s">
        <v>10552</v>
      </c>
    </row>
    <row r="735" spans="1:14" s="1" customFormat="1" x14ac:dyDescent="0.35">
      <c r="A735" s="1" t="s">
        <v>5171</v>
      </c>
      <c r="B735" s="1" t="s">
        <v>1684</v>
      </c>
      <c r="C735" s="1" t="s">
        <v>1685</v>
      </c>
      <c r="D735" s="1" t="s">
        <v>10594</v>
      </c>
      <c r="E735" s="1" t="str">
        <f>"1240"</f>
        <v>1240</v>
      </c>
      <c r="F735" s="1" t="str">
        <f>"014111265"</f>
        <v>014111265</v>
      </c>
      <c r="G735" s="1" t="s">
        <v>1103</v>
      </c>
      <c r="H735" s="1" t="s">
        <v>16</v>
      </c>
      <c r="I735" s="4" t="str">
        <f>"1"</f>
        <v>1</v>
      </c>
      <c r="J735" s="2" t="str">
        <f>"339"</f>
        <v>339</v>
      </c>
      <c r="K735" s="3">
        <v>46115</v>
      </c>
      <c r="L735" s="3">
        <v>46119</v>
      </c>
      <c r="M735" s="1" t="s">
        <v>10593</v>
      </c>
      <c r="N735" s="1" t="s">
        <v>10552</v>
      </c>
    </row>
    <row r="736" spans="1:14" s="1" customFormat="1" x14ac:dyDescent="0.35">
      <c r="A736" s="1" t="s">
        <v>5171</v>
      </c>
      <c r="B736" s="1" t="s">
        <v>1684</v>
      </c>
      <c r="C736" s="1" t="s">
        <v>1685</v>
      </c>
      <c r="D736" s="1" t="s">
        <v>10592</v>
      </c>
      <c r="E736" s="1" t="str">
        <f>"1240"</f>
        <v>1240</v>
      </c>
      <c r="F736" s="1" t="str">
        <f>"014111265"</f>
        <v>014111265</v>
      </c>
      <c r="G736" s="1" t="s">
        <v>1103</v>
      </c>
      <c r="H736" s="1" t="s">
        <v>16</v>
      </c>
      <c r="I736" s="4" t="str">
        <f>"1"</f>
        <v>1</v>
      </c>
      <c r="J736" s="2" t="str">
        <f>"339"</f>
        <v>339</v>
      </c>
      <c r="K736" s="3">
        <v>46115</v>
      </c>
      <c r="L736" s="3">
        <v>46119</v>
      </c>
      <c r="M736" s="1" t="s">
        <v>10591</v>
      </c>
      <c r="N736" s="1" t="s">
        <v>10552</v>
      </c>
    </row>
    <row r="737" spans="1:14" s="1" customFormat="1" x14ac:dyDescent="0.35">
      <c r="A737" s="1" t="s">
        <v>5171</v>
      </c>
      <c r="B737" s="1" t="s">
        <v>1684</v>
      </c>
      <c r="C737" s="1" t="s">
        <v>1685</v>
      </c>
      <c r="D737" s="1" t="s">
        <v>10590</v>
      </c>
      <c r="E737" s="1" t="str">
        <f>"1240"</f>
        <v>1240</v>
      </c>
      <c r="F737" s="1" t="str">
        <f>"014111265"</f>
        <v>014111265</v>
      </c>
      <c r="G737" s="1" t="s">
        <v>1103</v>
      </c>
      <c r="H737" s="1" t="s">
        <v>16</v>
      </c>
      <c r="I737" s="4" t="str">
        <f>"1"</f>
        <v>1</v>
      </c>
      <c r="J737" s="2" t="str">
        <f>"339"</f>
        <v>339</v>
      </c>
      <c r="K737" s="3">
        <v>46116</v>
      </c>
      <c r="L737" s="3">
        <v>46119</v>
      </c>
      <c r="M737" s="1" t="s">
        <v>10589</v>
      </c>
      <c r="N737" s="1" t="s">
        <v>10547</v>
      </c>
    </row>
    <row r="738" spans="1:14" s="1" customFormat="1" x14ac:dyDescent="0.35">
      <c r="A738" s="1" t="s">
        <v>5171</v>
      </c>
      <c r="B738" s="1" t="s">
        <v>1684</v>
      </c>
      <c r="C738" s="1" t="s">
        <v>1685</v>
      </c>
      <c r="D738" s="1" t="s">
        <v>10588</v>
      </c>
      <c r="E738" s="1" t="str">
        <f>"1240"</f>
        <v>1240</v>
      </c>
      <c r="F738" s="1" t="str">
        <f>"014111265"</f>
        <v>014111265</v>
      </c>
      <c r="G738" s="1" t="s">
        <v>1103</v>
      </c>
      <c r="H738" s="1" t="s">
        <v>16</v>
      </c>
      <c r="I738" s="4" t="str">
        <f>"1"</f>
        <v>1</v>
      </c>
      <c r="J738" s="2" t="str">
        <f>"339"</f>
        <v>339</v>
      </c>
      <c r="K738" s="3">
        <v>46116</v>
      </c>
      <c r="L738" s="3">
        <v>46119</v>
      </c>
      <c r="M738" s="1" t="s">
        <v>10587</v>
      </c>
      <c r="N738" s="1" t="s">
        <v>10547</v>
      </c>
    </row>
    <row r="739" spans="1:14" s="1" customFormat="1" x14ac:dyDescent="0.35">
      <c r="A739" s="1" t="s">
        <v>5171</v>
      </c>
      <c r="B739" s="1" t="s">
        <v>1684</v>
      </c>
      <c r="C739" s="1" t="s">
        <v>1685</v>
      </c>
      <c r="D739" s="1" t="s">
        <v>10586</v>
      </c>
      <c r="E739" s="1" t="str">
        <f>"1240"</f>
        <v>1240</v>
      </c>
      <c r="F739" s="1" t="str">
        <f>"014111265"</f>
        <v>014111265</v>
      </c>
      <c r="G739" s="1" t="s">
        <v>1103</v>
      </c>
      <c r="H739" s="1" t="s">
        <v>16</v>
      </c>
      <c r="I739" s="4" t="str">
        <f>"1"</f>
        <v>1</v>
      </c>
      <c r="J739" s="2" t="str">
        <f>"339"</f>
        <v>339</v>
      </c>
      <c r="K739" s="3">
        <v>46116</v>
      </c>
      <c r="L739" s="3">
        <v>46119</v>
      </c>
      <c r="M739" s="1" t="s">
        <v>10585</v>
      </c>
      <c r="N739" s="1" t="s">
        <v>10547</v>
      </c>
    </row>
    <row r="740" spans="1:14" s="1" customFormat="1" x14ac:dyDescent="0.35">
      <c r="A740" s="1" t="s">
        <v>5171</v>
      </c>
      <c r="B740" s="1" t="s">
        <v>1684</v>
      </c>
      <c r="C740" s="1" t="s">
        <v>1685</v>
      </c>
      <c r="D740" s="1" t="s">
        <v>10584</v>
      </c>
      <c r="E740" s="1" t="str">
        <f>"1095"</f>
        <v>1095</v>
      </c>
      <c r="F740" s="1" t="str">
        <f>"015717608"</f>
        <v>015717608</v>
      </c>
      <c r="G740" s="1" t="s">
        <v>2010</v>
      </c>
      <c r="H740" s="1" t="s">
        <v>16</v>
      </c>
      <c r="I740" s="4" t="str">
        <f>"1"</f>
        <v>1</v>
      </c>
      <c r="J740" s="2">
        <v>3956.72</v>
      </c>
      <c r="K740" s="3">
        <v>46073</v>
      </c>
      <c r="L740" s="3">
        <v>46121</v>
      </c>
      <c r="M740" s="1" t="s">
        <v>10583</v>
      </c>
      <c r="N740" s="1" t="s">
        <v>10582</v>
      </c>
    </row>
    <row r="741" spans="1:14" s="1" customFormat="1" x14ac:dyDescent="0.35">
      <c r="A741" s="1" t="s">
        <v>5171</v>
      </c>
      <c r="B741" s="1" t="s">
        <v>1684</v>
      </c>
      <c r="C741" s="1" t="s">
        <v>1685</v>
      </c>
      <c r="D741" s="1" t="s">
        <v>10581</v>
      </c>
      <c r="E741" s="1" t="str">
        <f>"8465"</f>
        <v>8465</v>
      </c>
      <c r="F741" s="1" t="str">
        <f>"015247324"</f>
        <v>015247324</v>
      </c>
      <c r="G741" s="1" t="s">
        <v>3587</v>
      </c>
      <c r="H741" s="1" t="s">
        <v>16</v>
      </c>
      <c r="I741" s="4" t="str">
        <f>"10"</f>
        <v>10</v>
      </c>
      <c r="J741" s="2">
        <v>5.25</v>
      </c>
      <c r="K741" s="3">
        <v>46073</v>
      </c>
      <c r="L741" s="3">
        <v>46121</v>
      </c>
      <c r="M741" s="1" t="s">
        <v>10580</v>
      </c>
      <c r="N741" s="1" t="s">
        <v>10576</v>
      </c>
    </row>
    <row r="742" spans="1:14" s="1" customFormat="1" x14ac:dyDescent="0.35">
      <c r="A742" s="1" t="s">
        <v>5171</v>
      </c>
      <c r="B742" s="1" t="s">
        <v>1684</v>
      </c>
      <c r="C742" s="1" t="s">
        <v>1685</v>
      </c>
      <c r="D742" s="1" t="s">
        <v>10579</v>
      </c>
      <c r="E742" s="1" t="str">
        <f>"8465"</f>
        <v>8465</v>
      </c>
      <c r="F742" s="1" t="str">
        <f>"015250606"</f>
        <v>015250606</v>
      </c>
      <c r="G742" s="1" t="s">
        <v>10578</v>
      </c>
      <c r="H742" s="1" t="s">
        <v>16</v>
      </c>
      <c r="I742" s="4" t="str">
        <f>"20"</f>
        <v>20</v>
      </c>
      <c r="J742" s="2">
        <v>5.4</v>
      </c>
      <c r="K742" s="3">
        <v>46073</v>
      </c>
      <c r="L742" s="3">
        <v>46121</v>
      </c>
      <c r="M742" s="1" t="s">
        <v>10577</v>
      </c>
      <c r="N742" s="1" t="s">
        <v>10576</v>
      </c>
    </row>
    <row r="743" spans="1:14" s="1" customFormat="1" x14ac:dyDescent="0.35">
      <c r="A743" s="1" t="s">
        <v>5171</v>
      </c>
      <c r="B743" s="1" t="s">
        <v>1684</v>
      </c>
      <c r="C743" s="1" t="s">
        <v>1685</v>
      </c>
      <c r="D743" s="1" t="s">
        <v>10575</v>
      </c>
      <c r="E743" s="1" t="str">
        <f>"2330"</f>
        <v>2330</v>
      </c>
      <c r="F743" s="1" t="str">
        <f>"013875443"</f>
        <v>013875443</v>
      </c>
      <c r="G743" s="1" t="s">
        <v>979</v>
      </c>
      <c r="H743" s="1" t="s">
        <v>16</v>
      </c>
      <c r="I743" s="4" t="str">
        <f>"1"</f>
        <v>1</v>
      </c>
      <c r="J743" s="2" t="str">
        <f>"9535"</f>
        <v>9535</v>
      </c>
      <c r="K743" s="3">
        <v>46076</v>
      </c>
      <c r="L743" s="3">
        <v>46121</v>
      </c>
      <c r="M743" s="1" t="s">
        <v>10574</v>
      </c>
      <c r="N743" s="1" t="s">
        <v>10573</v>
      </c>
    </row>
    <row r="744" spans="1:14" s="1" customFormat="1" x14ac:dyDescent="0.35">
      <c r="A744" s="1" t="s">
        <v>5171</v>
      </c>
      <c r="B744" s="1" t="s">
        <v>1684</v>
      </c>
      <c r="C744" s="1" t="s">
        <v>1685</v>
      </c>
      <c r="D744" s="1" t="s">
        <v>10572</v>
      </c>
      <c r="E744" s="1" t="str">
        <f>"5180"</f>
        <v>5180</v>
      </c>
      <c r="F744" s="1" t="str">
        <f>"015966670"</f>
        <v>015966670</v>
      </c>
      <c r="G744" s="1" t="s">
        <v>10571</v>
      </c>
      <c r="H744" s="1" t="s">
        <v>215</v>
      </c>
      <c r="I744" s="4" t="str">
        <f>"1"</f>
        <v>1</v>
      </c>
      <c r="J744" s="2" t="str">
        <f>"32447"</f>
        <v>32447</v>
      </c>
      <c r="K744" s="3">
        <v>46106</v>
      </c>
      <c r="L744" s="3">
        <v>46121</v>
      </c>
      <c r="M744" s="1" t="s">
        <v>10570</v>
      </c>
      <c r="N744" s="1" t="s">
        <v>10569</v>
      </c>
    </row>
    <row r="745" spans="1:14" s="1" customFormat="1" x14ac:dyDescent="0.35">
      <c r="A745" s="1" t="s">
        <v>5171</v>
      </c>
      <c r="B745" s="1" t="s">
        <v>1684</v>
      </c>
      <c r="C745" s="1" t="s">
        <v>1685</v>
      </c>
      <c r="D745" s="1" t="s">
        <v>10568</v>
      </c>
      <c r="E745" s="1" t="str">
        <f>"8465"</f>
        <v>8465</v>
      </c>
      <c r="F745" s="1" t="str">
        <f>"014955058"</f>
        <v>014955058</v>
      </c>
      <c r="G745" s="1" t="s">
        <v>8735</v>
      </c>
      <c r="H745" s="1" t="s">
        <v>16</v>
      </c>
      <c r="I745" s="4" t="str">
        <f>"3"</f>
        <v>3</v>
      </c>
      <c r="J745" s="2">
        <v>134.6</v>
      </c>
      <c r="K745" s="3">
        <v>46122</v>
      </c>
      <c r="L745" s="3">
        <v>46123</v>
      </c>
      <c r="M745" s="1" t="s">
        <v>5167</v>
      </c>
      <c r="N745" s="1" t="s">
        <v>10567</v>
      </c>
    </row>
    <row r="746" spans="1:14" s="1" customFormat="1" x14ac:dyDescent="0.35">
      <c r="A746" s="1" t="s">
        <v>5171</v>
      </c>
      <c r="B746" s="1" t="s">
        <v>1684</v>
      </c>
      <c r="C746" s="1" t="s">
        <v>1798</v>
      </c>
      <c r="D746" s="1" t="s">
        <v>10566</v>
      </c>
      <c r="E746" s="1" t="str">
        <f>"5855"</f>
        <v>5855</v>
      </c>
      <c r="F746" s="1" t="s">
        <v>4563</v>
      </c>
      <c r="G746" s="1" t="s">
        <v>4564</v>
      </c>
      <c r="H746" s="1" t="s">
        <v>16</v>
      </c>
      <c r="I746" s="4" t="str">
        <f>"3"</f>
        <v>3</v>
      </c>
      <c r="J746" s="2" t="str">
        <f>"500"</f>
        <v>500</v>
      </c>
      <c r="K746" s="3">
        <v>46122</v>
      </c>
      <c r="L746" s="3">
        <v>46123</v>
      </c>
      <c r="M746" s="1" t="s">
        <v>5167</v>
      </c>
      <c r="N746" s="1" t="s">
        <v>10565</v>
      </c>
    </row>
    <row r="747" spans="1:14" s="1" customFormat="1" x14ac:dyDescent="0.35">
      <c r="A747" s="1" t="s">
        <v>5171</v>
      </c>
      <c r="B747" s="1" t="s">
        <v>1684</v>
      </c>
      <c r="C747" s="1" t="s">
        <v>1798</v>
      </c>
      <c r="D747" s="1" t="s">
        <v>10564</v>
      </c>
      <c r="E747" s="1" t="str">
        <f>"1240"</f>
        <v>1240</v>
      </c>
      <c r="F747" s="1" t="s">
        <v>1800</v>
      </c>
      <c r="G747" s="1" t="s">
        <v>1801</v>
      </c>
      <c r="H747" s="1" t="s">
        <v>16</v>
      </c>
      <c r="I747" s="4" t="str">
        <f>"1"</f>
        <v>1</v>
      </c>
      <c r="J747" s="2" t="str">
        <f>"4000"</f>
        <v>4000</v>
      </c>
      <c r="K747" s="3">
        <v>46122</v>
      </c>
      <c r="L747" s="3">
        <v>46123</v>
      </c>
      <c r="M747" s="1" t="s">
        <v>5167</v>
      </c>
      <c r="N747" s="1" t="s">
        <v>10563</v>
      </c>
    </row>
    <row r="748" spans="1:14" s="1" customFormat="1" x14ac:dyDescent="0.35">
      <c r="A748" s="1" t="s">
        <v>5171</v>
      </c>
      <c r="B748" s="1" t="s">
        <v>1684</v>
      </c>
      <c r="C748" s="1" t="s">
        <v>1798</v>
      </c>
      <c r="D748" s="1" t="s">
        <v>10562</v>
      </c>
      <c r="E748" s="1" t="str">
        <f>"5855"</f>
        <v>5855</v>
      </c>
      <c r="F748" s="1" t="str">
        <f>"015096872"</f>
        <v>015096872</v>
      </c>
      <c r="G748" s="1" t="s">
        <v>5364</v>
      </c>
      <c r="H748" s="1" t="s">
        <v>16</v>
      </c>
      <c r="I748" s="4" t="str">
        <f>"1"</f>
        <v>1</v>
      </c>
      <c r="J748" s="2" t="str">
        <f>"1160"</f>
        <v>1160</v>
      </c>
      <c r="K748" s="3">
        <v>46109</v>
      </c>
      <c r="L748" s="3">
        <v>46126</v>
      </c>
      <c r="M748" s="1" t="s">
        <v>10561</v>
      </c>
      <c r="N748" s="1" t="s">
        <v>10560</v>
      </c>
    </row>
    <row r="749" spans="1:14" s="1" customFormat="1" x14ac:dyDescent="0.35">
      <c r="A749" s="1" t="s">
        <v>5171</v>
      </c>
      <c r="B749" s="1" t="s">
        <v>1684</v>
      </c>
      <c r="C749" s="1" t="s">
        <v>1685</v>
      </c>
      <c r="D749" s="1" t="s">
        <v>10559</v>
      </c>
      <c r="E749" s="1" t="str">
        <f>"1240"</f>
        <v>1240</v>
      </c>
      <c r="F749" s="1" t="str">
        <f>"014907308"</f>
        <v>014907308</v>
      </c>
      <c r="G749" s="1" t="s">
        <v>1103</v>
      </c>
      <c r="H749" s="1" t="s">
        <v>16</v>
      </c>
      <c r="I749" s="4" t="str">
        <f>"1"</f>
        <v>1</v>
      </c>
      <c r="J749" s="2">
        <v>1559.17</v>
      </c>
      <c r="K749" s="3">
        <v>46116</v>
      </c>
      <c r="L749" s="3">
        <v>46127</v>
      </c>
      <c r="M749" s="1" t="s">
        <v>10558</v>
      </c>
      <c r="N749" s="1" t="s">
        <v>10552</v>
      </c>
    </row>
    <row r="750" spans="1:14" s="1" customFormat="1" x14ac:dyDescent="0.35">
      <c r="A750" s="1" t="s">
        <v>5171</v>
      </c>
      <c r="B750" s="1" t="s">
        <v>1684</v>
      </c>
      <c r="C750" s="1" t="s">
        <v>1685</v>
      </c>
      <c r="D750" s="1" t="s">
        <v>10557</v>
      </c>
      <c r="E750" s="1" t="str">
        <f>"6115"</f>
        <v>6115</v>
      </c>
      <c r="F750" s="1" t="str">
        <f>"013199032"</f>
        <v>013199032</v>
      </c>
      <c r="G750" s="1" t="s">
        <v>224</v>
      </c>
      <c r="H750" s="1" t="s">
        <v>16</v>
      </c>
      <c r="I750" s="4" t="str">
        <f>"1"</f>
        <v>1</v>
      </c>
      <c r="J750" s="2" t="str">
        <f>"17730"</f>
        <v>17730</v>
      </c>
      <c r="K750" s="3">
        <v>46099</v>
      </c>
      <c r="L750" s="3">
        <v>46128</v>
      </c>
      <c r="M750" s="1" t="s">
        <v>10556</v>
      </c>
      <c r="N750" s="1" t="s">
        <v>10555</v>
      </c>
    </row>
    <row r="751" spans="1:14" s="1" customFormat="1" x14ac:dyDescent="0.35">
      <c r="A751" s="1" t="s">
        <v>5171</v>
      </c>
      <c r="B751" s="1" t="s">
        <v>1684</v>
      </c>
      <c r="C751" s="1" t="s">
        <v>1685</v>
      </c>
      <c r="D751" s="1" t="s">
        <v>10554</v>
      </c>
      <c r="E751" s="1" t="str">
        <f>"1240"</f>
        <v>1240</v>
      </c>
      <c r="F751" s="1" t="str">
        <f>"014111265"</f>
        <v>014111265</v>
      </c>
      <c r="G751" s="1" t="s">
        <v>1103</v>
      </c>
      <c r="H751" s="1" t="s">
        <v>16</v>
      </c>
      <c r="I751" s="4" t="str">
        <f>"1"</f>
        <v>1</v>
      </c>
      <c r="J751" s="2" t="str">
        <f>"339"</f>
        <v>339</v>
      </c>
      <c r="K751" s="3">
        <v>46115</v>
      </c>
      <c r="L751" s="3">
        <v>46128</v>
      </c>
      <c r="M751" s="1" t="s">
        <v>10553</v>
      </c>
      <c r="N751" s="1" t="s">
        <v>10552</v>
      </c>
    </row>
    <row r="752" spans="1:14" s="1" customFormat="1" x14ac:dyDescent="0.35">
      <c r="A752" s="1" t="s">
        <v>5171</v>
      </c>
      <c r="B752" s="1" t="s">
        <v>1684</v>
      </c>
      <c r="C752" s="1" t="s">
        <v>1685</v>
      </c>
      <c r="D752" s="1" t="s">
        <v>10551</v>
      </c>
      <c r="E752" s="1" t="str">
        <f>"1240"</f>
        <v>1240</v>
      </c>
      <c r="F752" s="1" t="str">
        <f>"014111265"</f>
        <v>014111265</v>
      </c>
      <c r="G752" s="1" t="s">
        <v>1103</v>
      </c>
      <c r="H752" s="1" t="s">
        <v>16</v>
      </c>
      <c r="I752" s="4" t="str">
        <f>"1"</f>
        <v>1</v>
      </c>
      <c r="J752" s="2" t="str">
        <f>"339"</f>
        <v>339</v>
      </c>
      <c r="K752" s="3">
        <v>46116</v>
      </c>
      <c r="L752" s="3">
        <v>46128</v>
      </c>
      <c r="M752" s="1" t="s">
        <v>10550</v>
      </c>
      <c r="N752" s="1" t="s">
        <v>10547</v>
      </c>
    </row>
    <row r="753" spans="1:14" s="1" customFormat="1" x14ac:dyDescent="0.35">
      <c r="A753" s="1" t="s">
        <v>5171</v>
      </c>
      <c r="B753" s="1" t="s">
        <v>1684</v>
      </c>
      <c r="C753" s="1" t="s">
        <v>1685</v>
      </c>
      <c r="D753" s="1" t="s">
        <v>10549</v>
      </c>
      <c r="E753" s="1" t="str">
        <f>"1240"</f>
        <v>1240</v>
      </c>
      <c r="F753" s="1" t="str">
        <f>"014111265"</f>
        <v>014111265</v>
      </c>
      <c r="G753" s="1" t="s">
        <v>1103</v>
      </c>
      <c r="H753" s="1" t="s">
        <v>16</v>
      </c>
      <c r="I753" s="4" t="str">
        <f>"1"</f>
        <v>1</v>
      </c>
      <c r="J753" s="2" t="str">
        <f>"339"</f>
        <v>339</v>
      </c>
      <c r="K753" s="3">
        <v>46116</v>
      </c>
      <c r="L753" s="3">
        <v>46128</v>
      </c>
      <c r="M753" s="1" t="s">
        <v>10548</v>
      </c>
      <c r="N753" s="1" t="s">
        <v>10547</v>
      </c>
    </row>
    <row r="754" spans="1:14" s="1" customFormat="1" x14ac:dyDescent="0.35">
      <c r="A754" s="1" t="s">
        <v>5171</v>
      </c>
      <c r="B754" s="1" t="s">
        <v>1684</v>
      </c>
      <c r="C754" s="1" t="s">
        <v>1798</v>
      </c>
      <c r="D754" s="1" t="s">
        <v>10546</v>
      </c>
      <c r="E754" s="1" t="str">
        <f>"5855"</f>
        <v>5855</v>
      </c>
      <c r="F754" s="1" t="s">
        <v>5542</v>
      </c>
      <c r="G754" s="1" t="s">
        <v>5541</v>
      </c>
      <c r="H754" s="1" t="s">
        <v>16</v>
      </c>
      <c r="I754" s="4" t="str">
        <f>"1"</f>
        <v>1</v>
      </c>
      <c r="J754" s="2" t="str">
        <f>"13000"</f>
        <v>13000</v>
      </c>
      <c r="K754" s="3">
        <v>46122</v>
      </c>
      <c r="L754" s="3">
        <v>46128</v>
      </c>
      <c r="M754" s="1" t="s">
        <v>10545</v>
      </c>
      <c r="N754" s="1" t="s">
        <v>10544</v>
      </c>
    </row>
    <row r="755" spans="1:14" s="1" customFormat="1" x14ac:dyDescent="0.35">
      <c r="A755" s="1" t="s">
        <v>5171</v>
      </c>
      <c r="B755" s="1" t="s">
        <v>1684</v>
      </c>
      <c r="C755" s="1" t="s">
        <v>1798</v>
      </c>
      <c r="D755" s="1" t="s">
        <v>10543</v>
      </c>
      <c r="E755" s="1" t="str">
        <f>"5855"</f>
        <v>5855</v>
      </c>
      <c r="F755" s="1" t="str">
        <f>"016277123"</f>
        <v>016277123</v>
      </c>
      <c r="G755" s="1" t="s">
        <v>6515</v>
      </c>
      <c r="H755" s="1" t="s">
        <v>16</v>
      </c>
      <c r="I755" s="4" t="str">
        <f>"8"</f>
        <v>8</v>
      </c>
      <c r="J755" s="2">
        <v>477.52</v>
      </c>
      <c r="K755" s="3">
        <v>46127</v>
      </c>
      <c r="L755" s="3">
        <v>46129</v>
      </c>
      <c r="M755" s="1" t="s">
        <v>10542</v>
      </c>
      <c r="N755" s="1" t="s">
        <v>10541</v>
      </c>
    </row>
    <row r="756" spans="1:14" s="1" customFormat="1" x14ac:dyDescent="0.35">
      <c r="A756" s="1" t="s">
        <v>5171</v>
      </c>
      <c r="B756" s="1" t="s">
        <v>1684</v>
      </c>
      <c r="C756" s="1" t="s">
        <v>1685</v>
      </c>
      <c r="D756" s="1" t="s">
        <v>10540</v>
      </c>
      <c r="E756" s="1" t="str">
        <f>"8415"</f>
        <v>8415</v>
      </c>
      <c r="F756" s="1" t="str">
        <f>"015386308"</f>
        <v>015386308</v>
      </c>
      <c r="G756" s="1" t="s">
        <v>1718</v>
      </c>
      <c r="H756" s="1" t="s">
        <v>16</v>
      </c>
      <c r="I756" s="4" t="str">
        <f>"2"</f>
        <v>2</v>
      </c>
      <c r="J756" s="2">
        <v>137.97999999999999</v>
      </c>
      <c r="K756" s="3">
        <v>46119</v>
      </c>
      <c r="L756" s="3">
        <v>46130</v>
      </c>
      <c r="M756" s="1" t="s">
        <v>10539</v>
      </c>
      <c r="N756" s="1" t="s">
        <v>1722</v>
      </c>
    </row>
    <row r="757" spans="1:14" s="1" customFormat="1" x14ac:dyDescent="0.35">
      <c r="A757" s="1" t="s">
        <v>5171</v>
      </c>
      <c r="B757" s="1" t="s">
        <v>1684</v>
      </c>
      <c r="C757" s="1" t="s">
        <v>1685</v>
      </c>
      <c r="D757" s="1" t="s">
        <v>10538</v>
      </c>
      <c r="E757" s="1" t="str">
        <f>"1550"</f>
        <v>1550</v>
      </c>
      <c r="F757" s="1" t="str">
        <f>"016215533"</f>
        <v>016215533</v>
      </c>
      <c r="G757" s="1" t="s">
        <v>1417</v>
      </c>
      <c r="H757" s="1" t="s">
        <v>16</v>
      </c>
      <c r="I757" s="4" t="str">
        <f>"1"</f>
        <v>1</v>
      </c>
      <c r="J757" s="2" t="str">
        <f>"168000"</f>
        <v>168000</v>
      </c>
      <c r="K757" s="3">
        <v>46122</v>
      </c>
      <c r="L757" s="3">
        <v>46130</v>
      </c>
      <c r="M757" s="1" t="s">
        <v>10537</v>
      </c>
      <c r="N757" s="1" t="s">
        <v>10532</v>
      </c>
    </row>
    <row r="758" spans="1:14" s="1" customFormat="1" x14ac:dyDescent="0.35">
      <c r="A758" s="1" t="s">
        <v>5171</v>
      </c>
      <c r="B758" s="1" t="s">
        <v>1684</v>
      </c>
      <c r="C758" s="1" t="s">
        <v>1685</v>
      </c>
      <c r="D758" s="1" t="s">
        <v>10536</v>
      </c>
      <c r="E758" s="1" t="str">
        <f>"1550"</f>
        <v>1550</v>
      </c>
      <c r="F758" s="1" t="str">
        <f>"016215533"</f>
        <v>016215533</v>
      </c>
      <c r="G758" s="1" t="s">
        <v>1417</v>
      </c>
      <c r="H758" s="1" t="s">
        <v>16</v>
      </c>
      <c r="I758" s="4" t="str">
        <f>"1"</f>
        <v>1</v>
      </c>
      <c r="J758" s="2" t="str">
        <f>"168000"</f>
        <v>168000</v>
      </c>
      <c r="K758" s="3">
        <v>46122</v>
      </c>
      <c r="L758" s="3">
        <v>46130</v>
      </c>
      <c r="M758" s="1" t="s">
        <v>10535</v>
      </c>
      <c r="N758" s="1" t="s">
        <v>10532</v>
      </c>
    </row>
    <row r="759" spans="1:14" s="1" customFormat="1" x14ac:dyDescent="0.35">
      <c r="A759" s="1" t="s">
        <v>5171</v>
      </c>
      <c r="B759" s="1" t="s">
        <v>1684</v>
      </c>
      <c r="C759" s="1" t="s">
        <v>1685</v>
      </c>
      <c r="D759" s="1" t="s">
        <v>10534</v>
      </c>
      <c r="E759" s="1" t="str">
        <f>"1550"</f>
        <v>1550</v>
      </c>
      <c r="F759" s="1" t="str">
        <f>"016215533"</f>
        <v>016215533</v>
      </c>
      <c r="G759" s="1" t="s">
        <v>1417</v>
      </c>
      <c r="H759" s="1" t="s">
        <v>16</v>
      </c>
      <c r="I759" s="4" t="str">
        <f>"1"</f>
        <v>1</v>
      </c>
      <c r="J759" s="2" t="str">
        <f>"168000"</f>
        <v>168000</v>
      </c>
      <c r="K759" s="3">
        <v>46122</v>
      </c>
      <c r="L759" s="3">
        <v>46130</v>
      </c>
      <c r="M759" s="1" t="s">
        <v>10533</v>
      </c>
      <c r="N759" s="1" t="s">
        <v>10532</v>
      </c>
    </row>
    <row r="760" spans="1:14" s="1" customFormat="1" x14ac:dyDescent="0.35">
      <c r="A760" s="1" t="s">
        <v>5171</v>
      </c>
      <c r="B760" s="1" t="s">
        <v>1684</v>
      </c>
      <c r="C760" s="1" t="s">
        <v>1798</v>
      </c>
      <c r="D760" s="1" t="s">
        <v>10531</v>
      </c>
      <c r="E760" s="1" t="str">
        <f>"7830"</f>
        <v>7830</v>
      </c>
      <c r="F760" s="1" t="s">
        <v>1867</v>
      </c>
      <c r="G760" s="1" t="s">
        <v>1868</v>
      </c>
      <c r="H760" s="1" t="s">
        <v>16</v>
      </c>
      <c r="I760" s="4" t="str">
        <f>"1"</f>
        <v>1</v>
      </c>
      <c r="J760" s="2">
        <v>2071.8200000000002</v>
      </c>
      <c r="K760" s="3">
        <v>46117</v>
      </c>
      <c r="L760" s="3">
        <v>46130</v>
      </c>
      <c r="M760" s="1" t="s">
        <v>10530</v>
      </c>
      <c r="N760" s="1" t="s">
        <v>10479</v>
      </c>
    </row>
    <row r="761" spans="1:14" s="1" customFormat="1" x14ac:dyDescent="0.35">
      <c r="A761" s="1" t="s">
        <v>5171</v>
      </c>
      <c r="B761" s="1" t="s">
        <v>1684</v>
      </c>
      <c r="C761" s="1" t="s">
        <v>1798</v>
      </c>
      <c r="D761" s="1" t="s">
        <v>10529</v>
      </c>
      <c r="E761" s="1" t="str">
        <f>"5855"</f>
        <v>5855</v>
      </c>
      <c r="F761" s="1" t="str">
        <f>"014778741"</f>
        <v>014778741</v>
      </c>
      <c r="G761" s="1" t="s">
        <v>1770</v>
      </c>
      <c r="H761" s="1" t="s">
        <v>16</v>
      </c>
      <c r="I761" s="4" t="str">
        <f>"1"</f>
        <v>1</v>
      </c>
      <c r="J761" s="2" t="str">
        <f>"10165"</f>
        <v>10165</v>
      </c>
      <c r="K761" s="3">
        <v>46121</v>
      </c>
      <c r="L761" s="3">
        <v>46130</v>
      </c>
      <c r="M761" s="1" t="s">
        <v>10528</v>
      </c>
      <c r="N761" s="1" t="s">
        <v>10527</v>
      </c>
    </row>
    <row r="762" spans="1:14" s="1" customFormat="1" x14ac:dyDescent="0.35">
      <c r="A762" s="1" t="s">
        <v>5171</v>
      </c>
      <c r="B762" s="1" t="s">
        <v>1684</v>
      </c>
      <c r="C762" s="1" t="s">
        <v>1798</v>
      </c>
      <c r="D762" s="1" t="s">
        <v>10526</v>
      </c>
      <c r="E762" s="1" t="str">
        <f>"5855"</f>
        <v>5855</v>
      </c>
      <c r="F762" s="1" t="str">
        <f>"014778741"</f>
        <v>014778741</v>
      </c>
      <c r="G762" s="1" t="s">
        <v>1770</v>
      </c>
      <c r="H762" s="1" t="s">
        <v>16</v>
      </c>
      <c r="I762" s="4" t="str">
        <f>"1"</f>
        <v>1</v>
      </c>
      <c r="J762" s="2" t="str">
        <f>"10165"</f>
        <v>10165</v>
      </c>
      <c r="K762" s="3">
        <v>46121</v>
      </c>
      <c r="L762" s="3">
        <v>46130</v>
      </c>
      <c r="M762" s="1" t="s">
        <v>10525</v>
      </c>
      <c r="N762" s="1" t="s">
        <v>10524</v>
      </c>
    </row>
    <row r="763" spans="1:14" s="1" customFormat="1" x14ac:dyDescent="0.35">
      <c r="A763" s="1" t="s">
        <v>5171</v>
      </c>
      <c r="B763" s="1" t="s">
        <v>1684</v>
      </c>
      <c r="C763" s="1" t="s">
        <v>1798</v>
      </c>
      <c r="D763" s="1" t="s">
        <v>10523</v>
      </c>
      <c r="E763" s="1" t="str">
        <f>"7830"</f>
        <v>7830</v>
      </c>
      <c r="F763" s="1" t="s">
        <v>1867</v>
      </c>
      <c r="G763" s="1" t="s">
        <v>1868</v>
      </c>
      <c r="H763" s="1" t="s">
        <v>16</v>
      </c>
      <c r="I763" s="4" t="str">
        <f>"1"</f>
        <v>1</v>
      </c>
      <c r="J763" s="2">
        <v>2071.8200000000002</v>
      </c>
      <c r="K763" s="3">
        <v>46127</v>
      </c>
      <c r="L763" s="3">
        <v>46130</v>
      </c>
      <c r="M763" s="1" t="s">
        <v>10522</v>
      </c>
      <c r="N763" s="1" t="s">
        <v>10521</v>
      </c>
    </row>
    <row r="764" spans="1:14" s="1" customFormat="1" x14ac:dyDescent="0.35">
      <c r="A764" s="1" t="s">
        <v>5171</v>
      </c>
      <c r="B764" s="1" t="s">
        <v>1684</v>
      </c>
      <c r="C764" s="1" t="s">
        <v>1685</v>
      </c>
      <c r="D764" s="1" t="s">
        <v>10520</v>
      </c>
      <c r="E764" s="1" t="str">
        <f>"6115"</f>
        <v>6115</v>
      </c>
      <c r="F764" s="1" t="str">
        <f>"012755061"</f>
        <v>012755061</v>
      </c>
      <c r="G764" s="1" t="s">
        <v>1390</v>
      </c>
      <c r="H764" s="1" t="s">
        <v>16</v>
      </c>
      <c r="I764" s="4" t="str">
        <f>"1"</f>
        <v>1</v>
      </c>
      <c r="J764" s="2" t="str">
        <f>"10700"</f>
        <v>10700</v>
      </c>
      <c r="K764" s="3">
        <v>46076</v>
      </c>
      <c r="L764" s="3">
        <v>46135</v>
      </c>
      <c r="M764" s="1" t="s">
        <v>10519</v>
      </c>
      <c r="N764" s="1" t="s">
        <v>10518</v>
      </c>
    </row>
    <row r="765" spans="1:14" s="1" customFormat="1" x14ac:dyDescent="0.35">
      <c r="A765" s="1" t="s">
        <v>5171</v>
      </c>
      <c r="B765" s="1" t="s">
        <v>1684</v>
      </c>
      <c r="C765" s="1" t="s">
        <v>1685</v>
      </c>
      <c r="D765" s="1" t="s">
        <v>10517</v>
      </c>
      <c r="E765" s="1" t="str">
        <f>"8415"</f>
        <v>8415</v>
      </c>
      <c r="F765" s="1" t="str">
        <f>"016410883"</f>
        <v>016410883</v>
      </c>
      <c r="G765" s="1" t="s">
        <v>1729</v>
      </c>
      <c r="H765" s="1" t="s">
        <v>311</v>
      </c>
      <c r="I765" s="4" t="str">
        <f>"30"</f>
        <v>30</v>
      </c>
      <c r="J765" s="2">
        <v>20.04</v>
      </c>
      <c r="K765" s="3">
        <v>46076</v>
      </c>
      <c r="L765" s="3">
        <v>46135</v>
      </c>
      <c r="M765" s="1" t="s">
        <v>10516</v>
      </c>
      <c r="N765" s="1" t="s">
        <v>10515</v>
      </c>
    </row>
    <row r="766" spans="1:14" s="1" customFormat="1" x14ac:dyDescent="0.35">
      <c r="A766" s="1" t="s">
        <v>5171</v>
      </c>
      <c r="B766" s="1" t="s">
        <v>1684</v>
      </c>
      <c r="C766" s="1" t="s">
        <v>1685</v>
      </c>
      <c r="D766" s="1" t="s">
        <v>10514</v>
      </c>
      <c r="E766" s="1" t="str">
        <f>"4910"</f>
        <v>4910</v>
      </c>
      <c r="F766" s="1" t="str">
        <f>"015547296"</f>
        <v>015547296</v>
      </c>
      <c r="G766" s="1" t="s">
        <v>10513</v>
      </c>
      <c r="H766" s="1" t="s">
        <v>16</v>
      </c>
      <c r="I766" s="4" t="str">
        <f>"1"</f>
        <v>1</v>
      </c>
      <c r="J766" s="2" t="str">
        <f>"2809"</f>
        <v>2809</v>
      </c>
      <c r="K766" s="3">
        <v>46076</v>
      </c>
      <c r="L766" s="3">
        <v>46135</v>
      </c>
      <c r="M766" s="1" t="s">
        <v>10512</v>
      </c>
      <c r="N766" s="1" t="s">
        <v>10511</v>
      </c>
    </row>
    <row r="767" spans="1:14" s="1" customFormat="1" x14ac:dyDescent="0.35">
      <c r="A767" s="1" t="s">
        <v>5171</v>
      </c>
      <c r="B767" s="1" t="s">
        <v>1684</v>
      </c>
      <c r="C767" s="1" t="s">
        <v>1685</v>
      </c>
      <c r="D767" s="1" t="s">
        <v>10510</v>
      </c>
      <c r="E767" s="1" t="str">
        <f>"8415"</f>
        <v>8415</v>
      </c>
      <c r="F767" s="1" t="str">
        <f>"016411713"</f>
        <v>016411713</v>
      </c>
      <c r="G767" s="1" t="s">
        <v>3709</v>
      </c>
      <c r="H767" s="1" t="s">
        <v>16</v>
      </c>
      <c r="I767" s="4" t="str">
        <f>"30"</f>
        <v>30</v>
      </c>
      <c r="J767" s="2">
        <v>24.6</v>
      </c>
      <c r="K767" s="3">
        <v>46076</v>
      </c>
      <c r="L767" s="3">
        <v>46135</v>
      </c>
      <c r="M767" s="1" t="s">
        <v>10509</v>
      </c>
      <c r="N767" s="1" t="s">
        <v>10508</v>
      </c>
    </row>
    <row r="768" spans="1:14" s="1" customFormat="1" x14ac:dyDescent="0.35">
      <c r="A768" s="1" t="s">
        <v>5171</v>
      </c>
      <c r="B768" s="1" t="s">
        <v>1684</v>
      </c>
      <c r="C768" s="1" t="s">
        <v>1685</v>
      </c>
      <c r="D768" s="1" t="s">
        <v>10507</v>
      </c>
      <c r="E768" s="1" t="str">
        <f>"8145"</f>
        <v>8145</v>
      </c>
      <c r="F768" s="1" t="s">
        <v>489</v>
      </c>
      <c r="G768" s="1" t="s">
        <v>490</v>
      </c>
      <c r="H768" s="1" t="s">
        <v>16</v>
      </c>
      <c r="I768" s="4" t="str">
        <f>"1"</f>
        <v>1</v>
      </c>
      <c r="J768" s="2" t="str">
        <f>"100"</f>
        <v>100</v>
      </c>
      <c r="K768" s="3">
        <v>46104</v>
      </c>
      <c r="L768" s="3">
        <v>46135</v>
      </c>
      <c r="M768" s="1" t="s">
        <v>10506</v>
      </c>
      <c r="N768" s="1" t="s">
        <v>10503</v>
      </c>
    </row>
    <row r="769" spans="1:14" s="1" customFormat="1" x14ac:dyDescent="0.35">
      <c r="A769" s="1" t="s">
        <v>5171</v>
      </c>
      <c r="B769" s="1" t="s">
        <v>1684</v>
      </c>
      <c r="C769" s="1" t="s">
        <v>1685</v>
      </c>
      <c r="D769" s="1" t="s">
        <v>10505</v>
      </c>
      <c r="E769" s="1" t="str">
        <f>"8145"</f>
        <v>8145</v>
      </c>
      <c r="F769" s="1" t="s">
        <v>489</v>
      </c>
      <c r="G769" s="1" t="s">
        <v>490</v>
      </c>
      <c r="H769" s="1" t="s">
        <v>16</v>
      </c>
      <c r="I769" s="4" t="str">
        <f>"1"</f>
        <v>1</v>
      </c>
      <c r="J769" s="2" t="str">
        <f>"200"</f>
        <v>200</v>
      </c>
      <c r="K769" s="3">
        <v>46104</v>
      </c>
      <c r="L769" s="3">
        <v>46135</v>
      </c>
      <c r="M769" s="1" t="s">
        <v>10504</v>
      </c>
      <c r="N769" s="1" t="s">
        <v>10503</v>
      </c>
    </row>
    <row r="770" spans="1:14" s="1" customFormat="1" x14ac:dyDescent="0.35">
      <c r="A770" s="1" t="s">
        <v>5171</v>
      </c>
      <c r="B770" s="1" t="s">
        <v>1684</v>
      </c>
      <c r="C770" s="1" t="s">
        <v>1685</v>
      </c>
      <c r="D770" s="1" t="s">
        <v>10502</v>
      </c>
      <c r="E770" s="1" t="str">
        <f>"8465"</f>
        <v>8465</v>
      </c>
      <c r="F770" s="1" t="str">
        <f>"016975703"</f>
        <v>016975703</v>
      </c>
      <c r="G770" s="1" t="s">
        <v>1059</v>
      </c>
      <c r="H770" s="1" t="s">
        <v>16</v>
      </c>
      <c r="I770" s="4" t="str">
        <f>"2"</f>
        <v>2</v>
      </c>
      <c r="J770" s="2">
        <v>37.33</v>
      </c>
      <c r="K770" s="3">
        <v>46104</v>
      </c>
      <c r="L770" s="3">
        <v>46135</v>
      </c>
      <c r="M770" s="1" t="s">
        <v>10501</v>
      </c>
      <c r="N770" s="1" t="s">
        <v>10484</v>
      </c>
    </row>
    <row r="771" spans="1:14" s="1" customFormat="1" x14ac:dyDescent="0.35">
      <c r="A771" s="1" t="s">
        <v>5171</v>
      </c>
      <c r="B771" s="1" t="s">
        <v>1684</v>
      </c>
      <c r="C771" s="1" t="s">
        <v>1685</v>
      </c>
      <c r="D771" s="1" t="s">
        <v>10500</v>
      </c>
      <c r="E771" s="1" t="str">
        <f>"8465"</f>
        <v>8465</v>
      </c>
      <c r="F771" s="1" t="str">
        <f>"016976091"</f>
        <v>016976091</v>
      </c>
      <c r="G771" s="1" t="s">
        <v>1059</v>
      </c>
      <c r="H771" s="1" t="s">
        <v>16</v>
      </c>
      <c r="I771" s="4" t="str">
        <f>"15"</f>
        <v>15</v>
      </c>
      <c r="J771" s="2">
        <v>37.33</v>
      </c>
      <c r="K771" s="3">
        <v>46104</v>
      </c>
      <c r="L771" s="3">
        <v>46135</v>
      </c>
      <c r="M771" s="1" t="s">
        <v>10499</v>
      </c>
      <c r="N771" s="1" t="s">
        <v>10484</v>
      </c>
    </row>
    <row r="772" spans="1:14" s="1" customFormat="1" x14ac:dyDescent="0.35">
      <c r="A772" s="1" t="s">
        <v>5171</v>
      </c>
      <c r="B772" s="1" t="s">
        <v>1684</v>
      </c>
      <c r="C772" s="1" t="s">
        <v>1685</v>
      </c>
      <c r="D772" s="1" t="s">
        <v>10498</v>
      </c>
      <c r="E772" s="1" t="str">
        <f>"8465"</f>
        <v>8465</v>
      </c>
      <c r="F772" s="1" t="str">
        <f>"016975699"</f>
        <v>016975699</v>
      </c>
      <c r="G772" s="1" t="s">
        <v>1059</v>
      </c>
      <c r="H772" s="1" t="s">
        <v>16</v>
      </c>
      <c r="I772" s="4" t="str">
        <f>"15"</f>
        <v>15</v>
      </c>
      <c r="J772" s="2">
        <v>37.33</v>
      </c>
      <c r="K772" s="3">
        <v>46104</v>
      </c>
      <c r="L772" s="3">
        <v>46135</v>
      </c>
      <c r="M772" s="1" t="s">
        <v>10497</v>
      </c>
      <c r="N772" s="1" t="s">
        <v>10484</v>
      </c>
    </row>
    <row r="773" spans="1:14" s="1" customFormat="1" x14ac:dyDescent="0.35">
      <c r="A773" s="1" t="s">
        <v>5171</v>
      </c>
      <c r="B773" s="1" t="s">
        <v>1684</v>
      </c>
      <c r="C773" s="1" t="s">
        <v>1685</v>
      </c>
      <c r="D773" s="1" t="s">
        <v>10496</v>
      </c>
      <c r="E773" s="1" t="str">
        <f>"8465"</f>
        <v>8465</v>
      </c>
      <c r="F773" s="1" t="str">
        <f>"016976102"</f>
        <v>016976102</v>
      </c>
      <c r="G773" s="1" t="s">
        <v>1059</v>
      </c>
      <c r="H773" s="1" t="s">
        <v>16</v>
      </c>
      <c r="I773" s="4" t="str">
        <f>"2"</f>
        <v>2</v>
      </c>
      <c r="J773" s="2">
        <v>17.77</v>
      </c>
      <c r="K773" s="3">
        <v>46104</v>
      </c>
      <c r="L773" s="3">
        <v>46135</v>
      </c>
      <c r="M773" s="1" t="s">
        <v>10495</v>
      </c>
      <c r="N773" s="1" t="s">
        <v>10484</v>
      </c>
    </row>
    <row r="774" spans="1:14" s="1" customFormat="1" x14ac:dyDescent="0.35">
      <c r="A774" s="1" t="s">
        <v>5171</v>
      </c>
      <c r="B774" s="1" t="s">
        <v>1684</v>
      </c>
      <c r="C774" s="1" t="s">
        <v>1685</v>
      </c>
      <c r="D774" s="1" t="s">
        <v>10494</v>
      </c>
      <c r="E774" s="1" t="str">
        <f>"8465"</f>
        <v>8465</v>
      </c>
      <c r="F774" s="1" t="str">
        <f>"016975702"</f>
        <v>016975702</v>
      </c>
      <c r="G774" s="1" t="s">
        <v>1059</v>
      </c>
      <c r="H774" s="1" t="s">
        <v>16</v>
      </c>
      <c r="I774" s="4" t="str">
        <f>"3"</f>
        <v>3</v>
      </c>
      <c r="J774" s="2">
        <v>37.33</v>
      </c>
      <c r="K774" s="3">
        <v>46104</v>
      </c>
      <c r="L774" s="3">
        <v>46135</v>
      </c>
      <c r="M774" s="1" t="s">
        <v>10493</v>
      </c>
      <c r="N774" s="1" t="s">
        <v>10484</v>
      </c>
    </row>
    <row r="775" spans="1:14" s="1" customFormat="1" x14ac:dyDescent="0.35">
      <c r="A775" s="1" t="s">
        <v>5171</v>
      </c>
      <c r="B775" s="1" t="s">
        <v>1684</v>
      </c>
      <c r="C775" s="1" t="s">
        <v>1685</v>
      </c>
      <c r="D775" s="1" t="s">
        <v>10492</v>
      </c>
      <c r="E775" s="1" t="str">
        <f>"8465"</f>
        <v>8465</v>
      </c>
      <c r="F775" s="1" t="str">
        <f>"016975685"</f>
        <v>016975685</v>
      </c>
      <c r="G775" s="1" t="s">
        <v>1059</v>
      </c>
      <c r="H775" s="1" t="s">
        <v>16</v>
      </c>
      <c r="I775" s="4" t="str">
        <f>"5"</f>
        <v>5</v>
      </c>
      <c r="J775" s="2">
        <v>37.33</v>
      </c>
      <c r="K775" s="3">
        <v>46104</v>
      </c>
      <c r="L775" s="3">
        <v>46135</v>
      </c>
      <c r="M775" s="1" t="s">
        <v>10491</v>
      </c>
      <c r="N775" s="1" t="s">
        <v>10484</v>
      </c>
    </row>
    <row r="776" spans="1:14" s="1" customFormat="1" x14ac:dyDescent="0.35">
      <c r="A776" s="1" t="s">
        <v>5171</v>
      </c>
      <c r="B776" s="1" t="s">
        <v>1684</v>
      </c>
      <c r="C776" s="1" t="s">
        <v>1685</v>
      </c>
      <c r="D776" s="1" t="s">
        <v>10490</v>
      </c>
      <c r="E776" s="1" t="str">
        <f>"8465"</f>
        <v>8465</v>
      </c>
      <c r="F776" s="1" t="str">
        <f>"016975689"</f>
        <v>016975689</v>
      </c>
      <c r="G776" s="1" t="s">
        <v>1059</v>
      </c>
      <c r="H776" s="1" t="s">
        <v>16</v>
      </c>
      <c r="I776" s="4" t="str">
        <f>"10"</f>
        <v>10</v>
      </c>
      <c r="J776" s="2">
        <v>37.33</v>
      </c>
      <c r="K776" s="3">
        <v>46104</v>
      </c>
      <c r="L776" s="3">
        <v>46135</v>
      </c>
      <c r="M776" s="1" t="s">
        <v>10489</v>
      </c>
      <c r="N776" s="1" t="s">
        <v>10484</v>
      </c>
    </row>
    <row r="777" spans="1:14" s="1" customFormat="1" x14ac:dyDescent="0.35">
      <c r="A777" s="1" t="s">
        <v>5171</v>
      </c>
      <c r="B777" s="1" t="s">
        <v>1684</v>
      </c>
      <c r="C777" s="1" t="s">
        <v>1685</v>
      </c>
      <c r="D777" s="1" t="s">
        <v>10488</v>
      </c>
      <c r="E777" s="1" t="str">
        <f>"8465"</f>
        <v>8465</v>
      </c>
      <c r="F777" s="1" t="str">
        <f>"016976085"</f>
        <v>016976085</v>
      </c>
      <c r="G777" s="1" t="s">
        <v>1059</v>
      </c>
      <c r="H777" s="1" t="s">
        <v>16</v>
      </c>
      <c r="I777" s="4" t="str">
        <f>"10"</f>
        <v>10</v>
      </c>
      <c r="J777" s="2">
        <v>37.33</v>
      </c>
      <c r="K777" s="3">
        <v>46104</v>
      </c>
      <c r="L777" s="3">
        <v>46135</v>
      </c>
      <c r="M777" s="1" t="s">
        <v>10487</v>
      </c>
      <c r="N777" s="1" t="s">
        <v>10484</v>
      </c>
    </row>
    <row r="778" spans="1:14" s="1" customFormat="1" x14ac:dyDescent="0.35">
      <c r="A778" s="1" t="s">
        <v>5171</v>
      </c>
      <c r="B778" s="1" t="s">
        <v>1684</v>
      </c>
      <c r="C778" s="1" t="s">
        <v>1685</v>
      </c>
      <c r="D778" s="1" t="s">
        <v>10486</v>
      </c>
      <c r="E778" s="1" t="str">
        <f>"8465"</f>
        <v>8465</v>
      </c>
      <c r="F778" s="1" t="str">
        <f>"016976098"</f>
        <v>016976098</v>
      </c>
      <c r="G778" s="1" t="s">
        <v>1059</v>
      </c>
      <c r="H778" s="1" t="s">
        <v>16</v>
      </c>
      <c r="I778" s="4" t="str">
        <f>"3"</f>
        <v>3</v>
      </c>
      <c r="J778" s="2">
        <v>37.33</v>
      </c>
      <c r="K778" s="3">
        <v>46104</v>
      </c>
      <c r="L778" s="3">
        <v>46135</v>
      </c>
      <c r="M778" s="1" t="s">
        <v>10485</v>
      </c>
      <c r="N778" s="1" t="s">
        <v>10484</v>
      </c>
    </row>
    <row r="779" spans="1:14" s="1" customFormat="1" x14ac:dyDescent="0.35">
      <c r="A779" s="1" t="s">
        <v>5171</v>
      </c>
      <c r="B779" s="1" t="s">
        <v>1684</v>
      </c>
      <c r="C779" s="1" t="s">
        <v>1798</v>
      </c>
      <c r="D779" s="1" t="s">
        <v>10483</v>
      </c>
      <c r="E779" s="1" t="str">
        <f>"7830"</f>
        <v>7830</v>
      </c>
      <c r="F779" s="1" t="s">
        <v>441</v>
      </c>
      <c r="G779" s="1" t="s">
        <v>442</v>
      </c>
      <c r="H779" s="1" t="s">
        <v>16</v>
      </c>
      <c r="I779" s="4" t="str">
        <f>"1"</f>
        <v>1</v>
      </c>
      <c r="J779" s="2" t="str">
        <f>"2620"</f>
        <v>2620</v>
      </c>
      <c r="K779" s="3">
        <v>46117</v>
      </c>
      <c r="L779" s="3">
        <v>46135</v>
      </c>
      <c r="M779" s="1" t="s">
        <v>10482</v>
      </c>
      <c r="N779" s="1" t="s">
        <v>10479</v>
      </c>
    </row>
    <row r="780" spans="1:14" s="1" customFormat="1" x14ac:dyDescent="0.35">
      <c r="A780" s="1" t="s">
        <v>5171</v>
      </c>
      <c r="B780" s="1" t="s">
        <v>1684</v>
      </c>
      <c r="C780" s="1" t="s">
        <v>1798</v>
      </c>
      <c r="D780" s="1" t="s">
        <v>10481</v>
      </c>
      <c r="E780" s="1" t="str">
        <f>"7830"</f>
        <v>7830</v>
      </c>
      <c r="F780" s="1" t="s">
        <v>453</v>
      </c>
      <c r="G780" s="1" t="s">
        <v>454</v>
      </c>
      <c r="H780" s="1" t="s">
        <v>16</v>
      </c>
      <c r="I780" s="4" t="str">
        <f>"1"</f>
        <v>1</v>
      </c>
      <c r="J780" s="2">
        <v>4264.74</v>
      </c>
      <c r="K780" s="3">
        <v>46117</v>
      </c>
      <c r="L780" s="3">
        <v>46135</v>
      </c>
      <c r="M780" s="1" t="s">
        <v>10480</v>
      </c>
      <c r="N780" s="1" t="s">
        <v>10479</v>
      </c>
    </row>
    <row r="781" spans="1:14" s="1" customFormat="1" x14ac:dyDescent="0.35">
      <c r="A781" s="1" t="s">
        <v>5171</v>
      </c>
      <c r="B781" s="1" t="s">
        <v>1684</v>
      </c>
      <c r="C781" s="1" t="s">
        <v>1798</v>
      </c>
      <c r="D781" s="1" t="s">
        <v>10478</v>
      </c>
      <c r="E781" s="1" t="str">
        <f>"5855"</f>
        <v>5855</v>
      </c>
      <c r="F781" s="1" t="str">
        <f>"013025493"</f>
        <v>013025493</v>
      </c>
      <c r="G781" s="1" t="s">
        <v>1602</v>
      </c>
      <c r="H781" s="1" t="s">
        <v>16</v>
      </c>
      <c r="I781" s="4" t="str">
        <f>"1"</f>
        <v>1</v>
      </c>
      <c r="J781" s="2" t="str">
        <f>"4107"</f>
        <v>4107</v>
      </c>
      <c r="K781" s="3">
        <v>46133</v>
      </c>
      <c r="L781" s="3">
        <v>46135</v>
      </c>
      <c r="M781" s="1" t="s">
        <v>10477</v>
      </c>
      <c r="N781" s="1" t="s">
        <v>10476</v>
      </c>
    </row>
    <row r="782" spans="1:14" s="1" customFormat="1" x14ac:dyDescent="0.35">
      <c r="A782" s="1" t="s">
        <v>0</v>
      </c>
      <c r="B782" s="1" t="s">
        <v>1684</v>
      </c>
      <c r="C782" s="1" t="s">
        <v>1798</v>
      </c>
      <c r="D782" s="1" t="s">
        <v>10475</v>
      </c>
      <c r="E782" s="1" t="str">
        <f>"5855"</f>
        <v>5855</v>
      </c>
      <c r="F782" s="1" t="str">
        <f>"013637491"</f>
        <v>013637491</v>
      </c>
      <c r="G782" s="1" t="s">
        <v>1770</v>
      </c>
      <c r="H782" s="1" t="s">
        <v>16</v>
      </c>
      <c r="I782" s="4" t="str">
        <f>"1"</f>
        <v>1</v>
      </c>
      <c r="J782" s="2" t="str">
        <f>"6124"</f>
        <v>6124</v>
      </c>
      <c r="K782" s="3">
        <v>46135</v>
      </c>
      <c r="L782" s="3">
        <v>46136</v>
      </c>
      <c r="M782" s="1" t="s">
        <v>10433</v>
      </c>
      <c r="N782" s="1" t="s">
        <v>10470</v>
      </c>
    </row>
    <row r="783" spans="1:14" s="1" customFormat="1" x14ac:dyDescent="0.35">
      <c r="A783" s="1" t="s">
        <v>0</v>
      </c>
      <c r="B783" s="1" t="s">
        <v>1684</v>
      </c>
      <c r="C783" s="1" t="s">
        <v>1798</v>
      </c>
      <c r="D783" s="1" t="s">
        <v>10474</v>
      </c>
      <c r="E783" s="1" t="str">
        <f>"5855"</f>
        <v>5855</v>
      </c>
      <c r="F783" s="1" t="str">
        <f>"013637491"</f>
        <v>013637491</v>
      </c>
      <c r="G783" s="1" t="s">
        <v>1770</v>
      </c>
      <c r="H783" s="1" t="s">
        <v>16</v>
      </c>
      <c r="I783" s="4" t="str">
        <f>"1"</f>
        <v>1</v>
      </c>
      <c r="J783" s="2" t="str">
        <f>"6124"</f>
        <v>6124</v>
      </c>
      <c r="K783" s="3">
        <v>46135</v>
      </c>
      <c r="L783" s="3">
        <v>46136</v>
      </c>
      <c r="M783" s="1" t="s">
        <v>10433</v>
      </c>
      <c r="N783" s="1" t="s">
        <v>10470</v>
      </c>
    </row>
    <row r="784" spans="1:14" s="1" customFormat="1" x14ac:dyDescent="0.35">
      <c r="A784" s="1" t="s">
        <v>0</v>
      </c>
      <c r="B784" s="1" t="s">
        <v>1684</v>
      </c>
      <c r="C784" s="1" t="s">
        <v>1798</v>
      </c>
      <c r="D784" s="1" t="s">
        <v>10473</v>
      </c>
      <c r="E784" s="1" t="str">
        <f>"5855"</f>
        <v>5855</v>
      </c>
      <c r="F784" s="1" t="str">
        <f>"013637491"</f>
        <v>013637491</v>
      </c>
      <c r="G784" s="1" t="s">
        <v>1770</v>
      </c>
      <c r="H784" s="1" t="s">
        <v>16</v>
      </c>
      <c r="I784" s="4" t="str">
        <f>"1"</f>
        <v>1</v>
      </c>
      <c r="J784" s="2" t="str">
        <f>"6124"</f>
        <v>6124</v>
      </c>
      <c r="K784" s="3">
        <v>46135</v>
      </c>
      <c r="L784" s="3">
        <v>46136</v>
      </c>
      <c r="M784" s="1" t="s">
        <v>10433</v>
      </c>
      <c r="N784" s="1" t="s">
        <v>10470</v>
      </c>
    </row>
    <row r="785" spans="1:14" s="1" customFormat="1" x14ac:dyDescent="0.35">
      <c r="A785" s="1" t="s">
        <v>5171</v>
      </c>
      <c r="B785" s="1" t="s">
        <v>1684</v>
      </c>
      <c r="C785" s="1" t="s">
        <v>1798</v>
      </c>
      <c r="D785" s="1" t="s">
        <v>10472</v>
      </c>
      <c r="E785" s="1" t="str">
        <f>"5855"</f>
        <v>5855</v>
      </c>
      <c r="F785" s="1" t="str">
        <f>"013637491"</f>
        <v>013637491</v>
      </c>
      <c r="G785" s="1" t="s">
        <v>1770</v>
      </c>
      <c r="H785" s="1" t="s">
        <v>16</v>
      </c>
      <c r="I785" s="4" t="str">
        <f>"1"</f>
        <v>1</v>
      </c>
      <c r="J785" s="2" t="str">
        <f>"6124"</f>
        <v>6124</v>
      </c>
      <c r="K785" s="3">
        <v>46135</v>
      </c>
      <c r="L785" s="3">
        <v>46136</v>
      </c>
      <c r="M785" s="1" t="s">
        <v>5167</v>
      </c>
      <c r="N785" s="1" t="s">
        <v>10470</v>
      </c>
    </row>
    <row r="786" spans="1:14" s="1" customFormat="1" x14ac:dyDescent="0.35">
      <c r="A786" s="1" t="s">
        <v>5171</v>
      </c>
      <c r="B786" s="1" t="s">
        <v>1684</v>
      </c>
      <c r="C786" s="1" t="s">
        <v>1798</v>
      </c>
      <c r="D786" s="1" t="s">
        <v>10471</v>
      </c>
      <c r="E786" s="1" t="str">
        <f>"5855"</f>
        <v>5855</v>
      </c>
      <c r="F786" s="1" t="str">
        <f>"013637491"</f>
        <v>013637491</v>
      </c>
      <c r="G786" s="1" t="s">
        <v>1770</v>
      </c>
      <c r="H786" s="1" t="s">
        <v>16</v>
      </c>
      <c r="I786" s="4" t="str">
        <f>"1"</f>
        <v>1</v>
      </c>
      <c r="J786" s="2" t="str">
        <f>"6124"</f>
        <v>6124</v>
      </c>
      <c r="K786" s="3">
        <v>46135</v>
      </c>
      <c r="L786" s="3">
        <v>46136</v>
      </c>
      <c r="M786" s="1" t="s">
        <v>5167</v>
      </c>
      <c r="N786" s="1" t="s">
        <v>10470</v>
      </c>
    </row>
    <row r="787" spans="1:14" s="1" customFormat="1" x14ac:dyDescent="0.35">
      <c r="A787" s="1" t="s">
        <v>5171</v>
      </c>
      <c r="B787" s="1" t="s">
        <v>1684</v>
      </c>
      <c r="C787" s="1" t="s">
        <v>1685</v>
      </c>
      <c r="D787" s="1" t="s">
        <v>10469</v>
      </c>
      <c r="E787" s="1" t="str">
        <f>"1095"</f>
        <v>1095</v>
      </c>
      <c r="F787" s="1" t="str">
        <f>"004070674"</f>
        <v>004070674</v>
      </c>
      <c r="G787" s="1" t="s">
        <v>2010</v>
      </c>
      <c r="H787" s="1" t="s">
        <v>16</v>
      </c>
      <c r="I787" s="4" t="str">
        <f>"1"</f>
        <v>1</v>
      </c>
      <c r="J787" s="2">
        <v>1098.96</v>
      </c>
      <c r="K787" s="3">
        <v>46126</v>
      </c>
      <c r="L787" s="3">
        <v>46137</v>
      </c>
      <c r="M787" s="1" t="s">
        <v>10468</v>
      </c>
      <c r="N787" s="1" t="s">
        <v>10467</v>
      </c>
    </row>
    <row r="788" spans="1:14" s="1" customFormat="1" x14ac:dyDescent="0.35">
      <c r="A788" s="1" t="s">
        <v>5171</v>
      </c>
      <c r="B788" s="1" t="s">
        <v>1684</v>
      </c>
      <c r="C788" s="1" t="s">
        <v>1798</v>
      </c>
      <c r="D788" s="1" t="s">
        <v>10466</v>
      </c>
      <c r="E788" s="1" t="str">
        <f>"5855"</f>
        <v>5855</v>
      </c>
      <c r="F788" s="1" t="str">
        <f>"014748904"</f>
        <v>014748904</v>
      </c>
      <c r="G788" s="1" t="s">
        <v>175</v>
      </c>
      <c r="H788" s="1" t="s">
        <v>16</v>
      </c>
      <c r="I788" s="4" t="str">
        <f>"15"</f>
        <v>15</v>
      </c>
      <c r="J788" s="2" t="str">
        <f>"5314"</f>
        <v>5314</v>
      </c>
      <c r="K788" s="3">
        <v>46127</v>
      </c>
      <c r="L788" s="3">
        <v>46137</v>
      </c>
      <c r="M788" s="1" t="s">
        <v>10465</v>
      </c>
      <c r="N788" s="1" t="s">
        <v>10464</v>
      </c>
    </row>
    <row r="789" spans="1:14" s="1" customFormat="1" x14ac:dyDescent="0.35">
      <c r="A789" s="1" t="s">
        <v>5171</v>
      </c>
      <c r="B789" s="1" t="s">
        <v>1684</v>
      </c>
      <c r="C789" s="1" t="s">
        <v>1798</v>
      </c>
      <c r="D789" s="1" t="s">
        <v>10463</v>
      </c>
      <c r="E789" s="1" t="str">
        <f>"5855"</f>
        <v>5855</v>
      </c>
      <c r="F789" s="1" t="str">
        <f>"014333157"</f>
        <v>014333157</v>
      </c>
      <c r="G789" s="1" t="s">
        <v>1770</v>
      </c>
      <c r="H789" s="1" t="s">
        <v>16</v>
      </c>
      <c r="I789" s="4" t="str">
        <f>"1"</f>
        <v>1</v>
      </c>
      <c r="J789" s="2" t="str">
        <f>"6392"</f>
        <v>6392</v>
      </c>
      <c r="K789" s="3">
        <v>46138</v>
      </c>
      <c r="L789" s="3">
        <v>46140</v>
      </c>
      <c r="M789" s="1" t="s">
        <v>10462</v>
      </c>
      <c r="N789" s="1" t="s">
        <v>10459</v>
      </c>
    </row>
    <row r="790" spans="1:14" s="1" customFormat="1" x14ac:dyDescent="0.35">
      <c r="A790" s="1" t="s">
        <v>5171</v>
      </c>
      <c r="B790" s="1" t="s">
        <v>1684</v>
      </c>
      <c r="C790" s="1" t="s">
        <v>1798</v>
      </c>
      <c r="D790" s="1" t="s">
        <v>10461</v>
      </c>
      <c r="E790" s="1" t="str">
        <f>"5855"</f>
        <v>5855</v>
      </c>
      <c r="F790" s="1" t="str">
        <f>"014333157"</f>
        <v>014333157</v>
      </c>
      <c r="G790" s="1" t="s">
        <v>1770</v>
      </c>
      <c r="H790" s="1" t="s">
        <v>16</v>
      </c>
      <c r="I790" s="4" t="str">
        <f>"1"</f>
        <v>1</v>
      </c>
      <c r="J790" s="2" t="str">
        <f>"6392"</f>
        <v>6392</v>
      </c>
      <c r="K790" s="3">
        <v>46138</v>
      </c>
      <c r="L790" s="3">
        <v>46140</v>
      </c>
      <c r="M790" s="1" t="s">
        <v>10460</v>
      </c>
      <c r="N790" s="1" t="s">
        <v>10459</v>
      </c>
    </row>
    <row r="791" spans="1:14" s="1" customFormat="1" x14ac:dyDescent="0.35">
      <c r="A791" s="1" t="s">
        <v>5171</v>
      </c>
      <c r="B791" s="1" t="s">
        <v>1684</v>
      </c>
      <c r="C791" s="1" t="s">
        <v>1798</v>
      </c>
      <c r="D791" s="1" t="s">
        <v>10458</v>
      </c>
      <c r="E791" s="1" t="str">
        <f>"5855"</f>
        <v>5855</v>
      </c>
      <c r="F791" s="1" t="str">
        <f>"016910312"</f>
        <v>016910312</v>
      </c>
      <c r="G791" s="1" t="s">
        <v>1817</v>
      </c>
      <c r="H791" s="1" t="s">
        <v>16</v>
      </c>
      <c r="I791" s="4" t="str">
        <f>"1"</f>
        <v>1</v>
      </c>
      <c r="J791" s="2">
        <v>2665.55</v>
      </c>
      <c r="K791" s="3">
        <v>46138</v>
      </c>
      <c r="L791" s="3">
        <v>46140</v>
      </c>
      <c r="M791" s="1" t="s">
        <v>5167</v>
      </c>
      <c r="N791" s="1" t="s">
        <v>10457</v>
      </c>
    </row>
    <row r="792" spans="1:14" s="1" customFormat="1" x14ac:dyDescent="0.35">
      <c r="A792" s="1" t="s">
        <v>5171</v>
      </c>
      <c r="B792" s="1" t="s">
        <v>1684</v>
      </c>
      <c r="C792" s="1" t="s">
        <v>1798</v>
      </c>
      <c r="D792" s="1" t="s">
        <v>10456</v>
      </c>
      <c r="E792" s="1" t="str">
        <f>"5855"</f>
        <v>5855</v>
      </c>
      <c r="F792" s="1" t="str">
        <f>"014778738"</f>
        <v>014778738</v>
      </c>
      <c r="G792" s="1" t="s">
        <v>1770</v>
      </c>
      <c r="H792" s="1" t="s">
        <v>16</v>
      </c>
      <c r="I792" s="4" t="str">
        <f>"1"</f>
        <v>1</v>
      </c>
      <c r="J792" s="2" t="str">
        <f>"7481"</f>
        <v>7481</v>
      </c>
      <c r="K792" s="3">
        <v>46138</v>
      </c>
      <c r="L792" s="3">
        <v>46141</v>
      </c>
      <c r="M792" s="1" t="s">
        <v>10455</v>
      </c>
      <c r="N792" s="1" t="s">
        <v>10450</v>
      </c>
    </row>
    <row r="793" spans="1:14" s="1" customFormat="1" x14ac:dyDescent="0.35">
      <c r="A793" s="1" t="s">
        <v>5171</v>
      </c>
      <c r="B793" s="1" t="s">
        <v>1684</v>
      </c>
      <c r="C793" s="1" t="s">
        <v>1798</v>
      </c>
      <c r="D793" s="1" t="s">
        <v>10454</v>
      </c>
      <c r="E793" s="1" t="str">
        <f>"5855"</f>
        <v>5855</v>
      </c>
      <c r="F793" s="1" t="str">
        <f>"014778738"</f>
        <v>014778738</v>
      </c>
      <c r="G793" s="1" t="s">
        <v>1770</v>
      </c>
      <c r="H793" s="1" t="s">
        <v>16</v>
      </c>
      <c r="I793" s="4" t="str">
        <f>"1"</f>
        <v>1</v>
      </c>
      <c r="J793" s="2" t="str">
        <f>"7481"</f>
        <v>7481</v>
      </c>
      <c r="K793" s="3">
        <v>46138</v>
      </c>
      <c r="L793" s="3">
        <v>46141</v>
      </c>
      <c r="M793" s="1" t="s">
        <v>10453</v>
      </c>
      <c r="N793" s="1" t="s">
        <v>10450</v>
      </c>
    </row>
    <row r="794" spans="1:14" s="1" customFormat="1" x14ac:dyDescent="0.35">
      <c r="A794" s="1" t="s">
        <v>5171</v>
      </c>
      <c r="B794" s="1" t="s">
        <v>1684</v>
      </c>
      <c r="C794" s="1" t="s">
        <v>1798</v>
      </c>
      <c r="D794" s="1" t="s">
        <v>10452</v>
      </c>
      <c r="E794" s="1" t="str">
        <f>"5855"</f>
        <v>5855</v>
      </c>
      <c r="F794" s="1" t="str">
        <f>"014778738"</f>
        <v>014778738</v>
      </c>
      <c r="G794" s="1" t="s">
        <v>1770</v>
      </c>
      <c r="H794" s="1" t="s">
        <v>16</v>
      </c>
      <c r="I794" s="4" t="str">
        <f>"1"</f>
        <v>1</v>
      </c>
      <c r="J794" s="2" t="str">
        <f>"7481"</f>
        <v>7481</v>
      </c>
      <c r="K794" s="3">
        <v>46138</v>
      </c>
      <c r="L794" s="3">
        <v>46141</v>
      </c>
      <c r="M794" s="1" t="s">
        <v>10451</v>
      </c>
      <c r="N794" s="1" t="s">
        <v>10450</v>
      </c>
    </row>
    <row r="795" spans="1:14" s="1" customFormat="1" x14ac:dyDescent="0.35">
      <c r="A795" s="1" t="s">
        <v>5171</v>
      </c>
      <c r="B795" s="1" t="s">
        <v>1684</v>
      </c>
      <c r="C795" s="1" t="s">
        <v>1685</v>
      </c>
      <c r="D795" s="1" t="s">
        <v>10449</v>
      </c>
      <c r="E795" s="1" t="str">
        <f>"8145"</f>
        <v>8145</v>
      </c>
      <c r="F795" s="1" t="s">
        <v>489</v>
      </c>
      <c r="G795" s="1" t="s">
        <v>490</v>
      </c>
      <c r="H795" s="1" t="s">
        <v>16</v>
      </c>
      <c r="I795" s="4" t="str">
        <f>"1"</f>
        <v>1</v>
      </c>
      <c r="J795" s="2" t="str">
        <f>"5000"</f>
        <v>5000</v>
      </c>
      <c r="K795" s="3">
        <v>46119</v>
      </c>
      <c r="L795" s="3">
        <v>46142</v>
      </c>
      <c r="M795" s="1" t="s">
        <v>10448</v>
      </c>
      <c r="N795" s="1" t="s">
        <v>10435</v>
      </c>
    </row>
    <row r="796" spans="1:14" s="1" customFormat="1" x14ac:dyDescent="0.35">
      <c r="A796" s="1" t="s">
        <v>5171</v>
      </c>
      <c r="B796" s="1" t="s">
        <v>1684</v>
      </c>
      <c r="C796" s="1" t="s">
        <v>1685</v>
      </c>
      <c r="D796" s="1" t="s">
        <v>10447</v>
      </c>
      <c r="E796" s="1" t="str">
        <f>"8145"</f>
        <v>8145</v>
      </c>
      <c r="F796" s="1" t="s">
        <v>489</v>
      </c>
      <c r="G796" s="1" t="s">
        <v>490</v>
      </c>
      <c r="H796" s="1" t="s">
        <v>16</v>
      </c>
      <c r="I796" s="4" t="str">
        <f>"1"</f>
        <v>1</v>
      </c>
      <c r="J796" s="2" t="str">
        <f>"5000"</f>
        <v>5000</v>
      </c>
      <c r="K796" s="3">
        <v>46119</v>
      </c>
      <c r="L796" s="3">
        <v>46142</v>
      </c>
      <c r="M796" s="1" t="s">
        <v>10446</v>
      </c>
      <c r="N796" s="1" t="s">
        <v>10435</v>
      </c>
    </row>
    <row r="797" spans="1:14" s="1" customFormat="1" x14ac:dyDescent="0.35">
      <c r="A797" s="1" t="s">
        <v>5171</v>
      </c>
      <c r="B797" s="1" t="s">
        <v>1684</v>
      </c>
      <c r="C797" s="1" t="s">
        <v>1685</v>
      </c>
      <c r="D797" s="1" t="s">
        <v>10445</v>
      </c>
      <c r="E797" s="1" t="str">
        <f>"8145"</f>
        <v>8145</v>
      </c>
      <c r="F797" s="1" t="s">
        <v>489</v>
      </c>
      <c r="G797" s="1" t="s">
        <v>490</v>
      </c>
      <c r="H797" s="1" t="s">
        <v>16</v>
      </c>
      <c r="I797" s="4" t="str">
        <f>"1"</f>
        <v>1</v>
      </c>
      <c r="J797" s="2" t="str">
        <f>"5000"</f>
        <v>5000</v>
      </c>
      <c r="K797" s="3">
        <v>46119</v>
      </c>
      <c r="L797" s="3">
        <v>46142</v>
      </c>
      <c r="M797" s="1" t="s">
        <v>10444</v>
      </c>
      <c r="N797" s="1" t="s">
        <v>10435</v>
      </c>
    </row>
    <row r="798" spans="1:14" s="1" customFormat="1" x14ac:dyDescent="0.35">
      <c r="A798" s="1" t="s">
        <v>5171</v>
      </c>
      <c r="B798" s="1" t="s">
        <v>1684</v>
      </c>
      <c r="C798" s="1" t="s">
        <v>1685</v>
      </c>
      <c r="D798" s="1" t="s">
        <v>10443</v>
      </c>
      <c r="E798" s="1" t="str">
        <f>"8145"</f>
        <v>8145</v>
      </c>
      <c r="F798" s="1" t="s">
        <v>489</v>
      </c>
      <c r="G798" s="1" t="s">
        <v>490</v>
      </c>
      <c r="H798" s="1" t="s">
        <v>16</v>
      </c>
      <c r="I798" s="4" t="str">
        <f>"1"</f>
        <v>1</v>
      </c>
      <c r="J798" s="2" t="str">
        <f>"5000"</f>
        <v>5000</v>
      </c>
      <c r="K798" s="3">
        <v>46119</v>
      </c>
      <c r="L798" s="3">
        <v>46142</v>
      </c>
      <c r="M798" s="1" t="s">
        <v>10442</v>
      </c>
      <c r="N798" s="1" t="s">
        <v>10435</v>
      </c>
    </row>
    <row r="799" spans="1:14" s="1" customFormat="1" x14ac:dyDescent="0.35">
      <c r="A799" s="1" t="s">
        <v>5171</v>
      </c>
      <c r="B799" s="1" t="s">
        <v>1684</v>
      </c>
      <c r="C799" s="1" t="s">
        <v>1685</v>
      </c>
      <c r="D799" s="1" t="s">
        <v>10441</v>
      </c>
      <c r="E799" s="1" t="str">
        <f>"8145"</f>
        <v>8145</v>
      </c>
      <c r="F799" s="1" t="s">
        <v>489</v>
      </c>
      <c r="G799" s="1" t="s">
        <v>490</v>
      </c>
      <c r="H799" s="1" t="s">
        <v>16</v>
      </c>
      <c r="I799" s="4" t="str">
        <f>"1"</f>
        <v>1</v>
      </c>
      <c r="J799" s="2" t="str">
        <f>"5000"</f>
        <v>5000</v>
      </c>
      <c r="K799" s="3">
        <v>46119</v>
      </c>
      <c r="L799" s="3">
        <v>46142</v>
      </c>
      <c r="M799" s="1" t="s">
        <v>10440</v>
      </c>
      <c r="N799" s="1" t="s">
        <v>10435</v>
      </c>
    </row>
    <row r="800" spans="1:14" s="1" customFormat="1" x14ac:dyDescent="0.35">
      <c r="A800" s="1" t="s">
        <v>5171</v>
      </c>
      <c r="B800" s="1" t="s">
        <v>1684</v>
      </c>
      <c r="C800" s="1" t="s">
        <v>1685</v>
      </c>
      <c r="D800" s="1" t="s">
        <v>10439</v>
      </c>
      <c r="E800" s="1" t="str">
        <f>"8145"</f>
        <v>8145</v>
      </c>
      <c r="F800" s="1" t="s">
        <v>489</v>
      </c>
      <c r="G800" s="1" t="s">
        <v>490</v>
      </c>
      <c r="H800" s="1" t="s">
        <v>16</v>
      </c>
      <c r="I800" s="4" t="str">
        <f>"1"</f>
        <v>1</v>
      </c>
      <c r="J800" s="2" t="str">
        <f>"5000"</f>
        <v>5000</v>
      </c>
      <c r="K800" s="3">
        <v>46119</v>
      </c>
      <c r="L800" s="3">
        <v>46142</v>
      </c>
      <c r="M800" s="1" t="s">
        <v>10438</v>
      </c>
      <c r="N800" s="1" t="s">
        <v>10435</v>
      </c>
    </row>
    <row r="801" spans="1:14" s="1" customFormat="1" x14ac:dyDescent="0.35">
      <c r="A801" s="1" t="s">
        <v>5171</v>
      </c>
      <c r="B801" s="1" t="s">
        <v>1684</v>
      </c>
      <c r="C801" s="1" t="s">
        <v>1685</v>
      </c>
      <c r="D801" s="1" t="s">
        <v>10437</v>
      </c>
      <c r="E801" s="1" t="str">
        <f>"8145"</f>
        <v>8145</v>
      </c>
      <c r="F801" s="1" t="s">
        <v>489</v>
      </c>
      <c r="G801" s="1" t="s">
        <v>490</v>
      </c>
      <c r="H801" s="1" t="s">
        <v>16</v>
      </c>
      <c r="I801" s="4" t="str">
        <f>"1"</f>
        <v>1</v>
      </c>
      <c r="J801" s="2" t="str">
        <f>"5000"</f>
        <v>5000</v>
      </c>
      <c r="K801" s="3">
        <v>46119</v>
      </c>
      <c r="L801" s="3">
        <v>46142</v>
      </c>
      <c r="M801" s="1" t="s">
        <v>10436</v>
      </c>
      <c r="N801" s="1" t="s">
        <v>10435</v>
      </c>
    </row>
    <row r="802" spans="1:14" s="1" customFormat="1" x14ac:dyDescent="0.35">
      <c r="A802" s="1" t="s">
        <v>0</v>
      </c>
      <c r="B802" s="1" t="s">
        <v>1684</v>
      </c>
      <c r="C802" s="1" t="s">
        <v>1765</v>
      </c>
      <c r="D802" s="1" t="s">
        <v>10434</v>
      </c>
      <c r="E802" s="1" t="str">
        <f>"5830"</f>
        <v>5830</v>
      </c>
      <c r="F802" s="1" t="str">
        <f>"016520929"</f>
        <v>016520929</v>
      </c>
      <c r="G802" s="1" t="s">
        <v>1767</v>
      </c>
      <c r="H802" s="1" t="s">
        <v>16</v>
      </c>
      <c r="I802" s="4" t="str">
        <f>"1"</f>
        <v>1</v>
      </c>
      <c r="J802" s="2" t="str">
        <f>"25000"</f>
        <v>25000</v>
      </c>
      <c r="K802" s="3">
        <v>46142</v>
      </c>
      <c r="L802" s="3">
        <v>46143</v>
      </c>
      <c r="M802" s="1" t="s">
        <v>10433</v>
      </c>
      <c r="N802" s="1" t="s">
        <v>10432</v>
      </c>
    </row>
    <row r="803" spans="1:14" s="1" customFormat="1" x14ac:dyDescent="0.35">
      <c r="A803" s="1" t="s">
        <v>5171</v>
      </c>
      <c r="B803" s="1" t="s">
        <v>1684</v>
      </c>
      <c r="C803" s="1" t="s">
        <v>1798</v>
      </c>
      <c r="D803" s="1" t="s">
        <v>10431</v>
      </c>
      <c r="E803" s="1" t="str">
        <f>"5855"</f>
        <v>5855</v>
      </c>
      <c r="F803" s="1" t="str">
        <f>"013025493"</f>
        <v>013025493</v>
      </c>
      <c r="G803" s="1" t="s">
        <v>1602</v>
      </c>
      <c r="H803" s="1" t="s">
        <v>16</v>
      </c>
      <c r="I803" s="4" t="str">
        <f>"1"</f>
        <v>1</v>
      </c>
      <c r="J803" s="2" t="str">
        <f>"4107"</f>
        <v>4107</v>
      </c>
      <c r="K803" s="3">
        <v>46133</v>
      </c>
      <c r="L803" s="3">
        <v>46144</v>
      </c>
      <c r="M803" s="1" t="s">
        <v>10430</v>
      </c>
      <c r="N803" s="1" t="s">
        <v>10429</v>
      </c>
    </row>
    <row r="804" spans="1:14" s="1" customFormat="1" x14ac:dyDescent="0.35">
      <c r="A804" s="1" t="s">
        <v>5171</v>
      </c>
      <c r="B804" s="1" t="s">
        <v>1684</v>
      </c>
      <c r="C804" s="1" t="s">
        <v>1798</v>
      </c>
      <c r="D804" s="1" t="s">
        <v>10428</v>
      </c>
      <c r="E804" s="1" t="str">
        <f>"5855"</f>
        <v>5855</v>
      </c>
      <c r="F804" s="1" t="str">
        <f>"013867136"</f>
        <v>013867136</v>
      </c>
      <c r="G804" s="1" t="s">
        <v>1770</v>
      </c>
      <c r="H804" s="1" t="s">
        <v>16</v>
      </c>
      <c r="I804" s="4" t="str">
        <f>"1"</f>
        <v>1</v>
      </c>
      <c r="J804" s="2">
        <v>6624.96</v>
      </c>
      <c r="K804" s="3">
        <v>46139</v>
      </c>
      <c r="L804" s="3">
        <v>46145</v>
      </c>
      <c r="M804" s="1" t="s">
        <v>10427</v>
      </c>
      <c r="N804" s="1" t="s">
        <v>1815</v>
      </c>
    </row>
    <row r="805" spans="1:14" s="1" customFormat="1" x14ac:dyDescent="0.35">
      <c r="A805" s="1" t="s">
        <v>5171</v>
      </c>
      <c r="B805" s="1" t="s">
        <v>1684</v>
      </c>
      <c r="C805" s="1" t="s">
        <v>1782</v>
      </c>
      <c r="D805" s="1" t="s">
        <v>10426</v>
      </c>
      <c r="E805" s="1" t="str">
        <f>"8465"</f>
        <v>8465</v>
      </c>
      <c r="F805" s="1" t="str">
        <f>"015815668"</f>
        <v>015815668</v>
      </c>
      <c r="G805" s="1" t="s">
        <v>10425</v>
      </c>
      <c r="H805" s="1" t="s">
        <v>16</v>
      </c>
      <c r="I805" s="4" t="str">
        <f>"8"</f>
        <v>8</v>
      </c>
      <c r="J805" s="2">
        <v>42.49</v>
      </c>
      <c r="K805" s="3">
        <v>46139</v>
      </c>
      <c r="L805" s="3">
        <v>46149</v>
      </c>
      <c r="M805" s="1" t="s">
        <v>10424</v>
      </c>
      <c r="N805" s="1" t="s">
        <v>10423</v>
      </c>
    </row>
    <row r="806" spans="1:14" s="1" customFormat="1" x14ac:dyDescent="0.35">
      <c r="A806" s="1" t="s">
        <v>5171</v>
      </c>
      <c r="B806" s="1" t="s">
        <v>1684</v>
      </c>
      <c r="C806" s="1" t="s">
        <v>1798</v>
      </c>
      <c r="D806" s="1" t="s">
        <v>10422</v>
      </c>
      <c r="E806" s="1" t="str">
        <f>"5855"</f>
        <v>5855</v>
      </c>
      <c r="F806" s="1" t="str">
        <f>"015357127"</f>
        <v>015357127</v>
      </c>
      <c r="G806" s="1" t="s">
        <v>6703</v>
      </c>
      <c r="H806" s="1" t="s">
        <v>16</v>
      </c>
      <c r="I806" s="4" t="str">
        <f>"1"</f>
        <v>1</v>
      </c>
      <c r="J806" s="2" t="str">
        <f>"9990"</f>
        <v>9990</v>
      </c>
      <c r="K806" s="3">
        <v>46153</v>
      </c>
      <c r="L806" s="3">
        <v>46154</v>
      </c>
      <c r="M806" s="1" t="s">
        <v>10421</v>
      </c>
      <c r="N806" s="1" t="s">
        <v>10420</v>
      </c>
    </row>
    <row r="807" spans="1:14" s="1" customFormat="1" x14ac:dyDescent="0.35">
      <c r="A807" s="1" t="s">
        <v>5171</v>
      </c>
      <c r="B807" s="1" t="s">
        <v>1684</v>
      </c>
      <c r="C807" s="1" t="s">
        <v>1765</v>
      </c>
      <c r="D807" s="1" t="s">
        <v>10419</v>
      </c>
      <c r="E807" s="1" t="str">
        <f>"1550"</f>
        <v>1550</v>
      </c>
      <c r="F807" s="1" t="s">
        <v>199</v>
      </c>
      <c r="G807" s="1" t="s">
        <v>200</v>
      </c>
      <c r="H807" s="1" t="s">
        <v>16</v>
      </c>
      <c r="I807" s="4" t="str">
        <f>"3"</f>
        <v>3</v>
      </c>
      <c r="J807" s="2" t="str">
        <f>"5999"</f>
        <v>5999</v>
      </c>
      <c r="K807" s="3">
        <v>46153</v>
      </c>
      <c r="L807" s="3">
        <v>46156</v>
      </c>
      <c r="M807" s="1" t="s">
        <v>10418</v>
      </c>
      <c r="N807" s="1" t="s">
        <v>10417</v>
      </c>
    </row>
    <row r="808" spans="1:14" s="1" customFormat="1" x14ac:dyDescent="0.35">
      <c r="A808" s="1" t="s">
        <v>5171</v>
      </c>
      <c r="B808" s="1" t="s">
        <v>1684</v>
      </c>
      <c r="C808" s="1" t="s">
        <v>1765</v>
      </c>
      <c r="D808" s="1" t="s">
        <v>10419</v>
      </c>
      <c r="E808" s="1" t="str">
        <f>"1550"</f>
        <v>1550</v>
      </c>
      <c r="F808" s="1" t="s">
        <v>199</v>
      </c>
      <c r="G808" s="1" t="s">
        <v>200</v>
      </c>
      <c r="H808" s="1" t="s">
        <v>16</v>
      </c>
      <c r="I808" s="4" t="str">
        <f>"3"</f>
        <v>3</v>
      </c>
      <c r="J808" s="2" t="str">
        <f>"5999"</f>
        <v>5999</v>
      </c>
      <c r="K808" s="3">
        <v>46153</v>
      </c>
      <c r="L808" s="3">
        <v>46156</v>
      </c>
      <c r="M808" s="1" t="s">
        <v>10418</v>
      </c>
      <c r="N808" s="1" t="s">
        <v>10417</v>
      </c>
    </row>
    <row r="809" spans="1:14" s="1" customFormat="1" x14ac:dyDescent="0.35">
      <c r="A809" s="1" t="s">
        <v>5171</v>
      </c>
      <c r="B809" s="1" t="s">
        <v>1684</v>
      </c>
      <c r="C809" s="1" t="s">
        <v>1765</v>
      </c>
      <c r="D809" s="1" t="s">
        <v>10416</v>
      </c>
      <c r="E809" s="1" t="str">
        <f>"5180"</f>
        <v>5180</v>
      </c>
      <c r="F809" s="1" t="str">
        <f>"014609328"</f>
        <v>014609328</v>
      </c>
      <c r="G809" s="1" t="s">
        <v>785</v>
      </c>
      <c r="H809" s="1" t="s">
        <v>16</v>
      </c>
      <c r="I809" s="4" t="str">
        <f>"1"</f>
        <v>1</v>
      </c>
      <c r="J809" s="2">
        <v>2840.22</v>
      </c>
      <c r="K809" s="3">
        <v>46153</v>
      </c>
      <c r="L809" s="3">
        <v>46158</v>
      </c>
      <c r="M809" s="1" t="s">
        <v>10415</v>
      </c>
      <c r="N809" s="1" t="s">
        <v>10414</v>
      </c>
    </row>
    <row r="810" spans="1:14" s="1" customFormat="1" x14ac:dyDescent="0.35">
      <c r="A810" s="1" t="s">
        <v>5171</v>
      </c>
      <c r="B810" s="1" t="s">
        <v>1684</v>
      </c>
      <c r="C810" s="1" t="s">
        <v>1765</v>
      </c>
      <c r="D810" s="1" t="s">
        <v>10413</v>
      </c>
      <c r="E810" s="1" t="str">
        <f>"8145"</f>
        <v>8145</v>
      </c>
      <c r="F810" s="1" t="str">
        <f>"014670448"</f>
        <v>014670448</v>
      </c>
      <c r="G810" s="1" t="s">
        <v>419</v>
      </c>
      <c r="H810" s="1" t="s">
        <v>16</v>
      </c>
      <c r="I810" s="4" t="str">
        <f>"1"</f>
        <v>1</v>
      </c>
      <c r="J810" s="2">
        <v>81701.97</v>
      </c>
      <c r="K810" s="3">
        <v>46157</v>
      </c>
      <c r="L810" s="3">
        <v>46158</v>
      </c>
      <c r="M810" s="1" t="s">
        <v>5167</v>
      </c>
      <c r="N810" s="1" t="s">
        <v>10410</v>
      </c>
    </row>
    <row r="811" spans="1:14" s="1" customFormat="1" x14ac:dyDescent="0.35">
      <c r="A811" s="1" t="s">
        <v>0</v>
      </c>
      <c r="B811" s="1" t="s">
        <v>1684</v>
      </c>
      <c r="C811" s="1" t="s">
        <v>1765</v>
      </c>
      <c r="D811" s="1" t="s">
        <v>10412</v>
      </c>
      <c r="E811" s="1" t="str">
        <f>"8145"</f>
        <v>8145</v>
      </c>
      <c r="F811" s="1" t="str">
        <f>"014654187"</f>
        <v>014654187</v>
      </c>
      <c r="G811" s="1" t="s">
        <v>423</v>
      </c>
      <c r="H811" s="1" t="s">
        <v>16</v>
      </c>
      <c r="I811" s="4" t="str">
        <f>"1"</f>
        <v>1</v>
      </c>
      <c r="J811" s="2">
        <v>17477.91</v>
      </c>
      <c r="K811" s="3">
        <v>46157</v>
      </c>
      <c r="L811" s="3">
        <v>46160</v>
      </c>
      <c r="M811" s="1" t="s">
        <v>10408</v>
      </c>
      <c r="N811" s="1" t="s">
        <v>10410</v>
      </c>
    </row>
    <row r="812" spans="1:14" s="1" customFormat="1" x14ac:dyDescent="0.35">
      <c r="A812" s="1" t="s">
        <v>0</v>
      </c>
      <c r="B812" s="1" t="s">
        <v>1684</v>
      </c>
      <c r="C812" s="1" t="s">
        <v>1765</v>
      </c>
      <c r="D812" s="1" t="s">
        <v>10411</v>
      </c>
      <c r="E812" s="1" t="str">
        <f>"8145"</f>
        <v>8145</v>
      </c>
      <c r="F812" s="1" t="str">
        <f>"014654187"</f>
        <v>014654187</v>
      </c>
      <c r="G812" s="1" t="s">
        <v>423</v>
      </c>
      <c r="H812" s="1" t="s">
        <v>16</v>
      </c>
      <c r="I812" s="4" t="str">
        <f>"1"</f>
        <v>1</v>
      </c>
      <c r="J812" s="2">
        <v>17477.91</v>
      </c>
      <c r="K812" s="3">
        <v>46157</v>
      </c>
      <c r="L812" s="3">
        <v>46160</v>
      </c>
      <c r="M812" s="1" t="s">
        <v>10408</v>
      </c>
      <c r="N812" s="1" t="s">
        <v>10410</v>
      </c>
    </row>
    <row r="813" spans="1:14" s="1" customFormat="1" x14ac:dyDescent="0.35">
      <c r="A813" s="1" t="s">
        <v>0</v>
      </c>
      <c r="B813" s="1" t="s">
        <v>1684</v>
      </c>
      <c r="C813" s="1" t="s">
        <v>1765</v>
      </c>
      <c r="D813" s="1" t="s">
        <v>10409</v>
      </c>
      <c r="E813" s="1" t="str">
        <f>"8145"</f>
        <v>8145</v>
      </c>
      <c r="F813" s="1" t="str">
        <f>"014654187"</f>
        <v>014654187</v>
      </c>
      <c r="G813" s="1" t="s">
        <v>423</v>
      </c>
      <c r="H813" s="1" t="s">
        <v>16</v>
      </c>
      <c r="I813" s="4" t="str">
        <f>"1"</f>
        <v>1</v>
      </c>
      <c r="J813" s="2">
        <v>17477.91</v>
      </c>
      <c r="K813" s="3">
        <v>46157</v>
      </c>
      <c r="L813" s="3">
        <v>46160</v>
      </c>
      <c r="M813" s="1" t="s">
        <v>10408</v>
      </c>
      <c r="N813" s="1" t="s">
        <v>10407</v>
      </c>
    </row>
    <row r="814" spans="1:14" s="1" customFormat="1" x14ac:dyDescent="0.35">
      <c r="A814" s="1" t="s">
        <v>0</v>
      </c>
      <c r="B814" s="1" t="s">
        <v>1684</v>
      </c>
      <c r="C814" s="1" t="s">
        <v>1765</v>
      </c>
      <c r="D814" s="1" t="s">
        <v>10406</v>
      </c>
      <c r="E814" s="1" t="str">
        <f>"5855"</f>
        <v>5855</v>
      </c>
      <c r="F814" s="1" t="str">
        <f>"015485687"</f>
        <v>015485687</v>
      </c>
      <c r="G814" s="1" t="s">
        <v>1921</v>
      </c>
      <c r="H814" s="1" t="s">
        <v>16</v>
      </c>
      <c r="I814" s="4" t="str">
        <f>"1"</f>
        <v>1</v>
      </c>
      <c r="J814" s="2" t="str">
        <f>"10402"</f>
        <v>10402</v>
      </c>
      <c r="K814" s="3">
        <v>46157</v>
      </c>
      <c r="L814" s="3">
        <v>46160</v>
      </c>
      <c r="M814" s="1" t="s">
        <v>10404</v>
      </c>
      <c r="N814" s="1" t="s">
        <v>10303</v>
      </c>
    </row>
    <row r="815" spans="1:14" s="1" customFormat="1" x14ac:dyDescent="0.35">
      <c r="A815" s="1" t="s">
        <v>0</v>
      </c>
      <c r="B815" s="1" t="s">
        <v>1684</v>
      </c>
      <c r="C815" s="1" t="s">
        <v>1765</v>
      </c>
      <c r="D815" s="1" t="s">
        <v>10405</v>
      </c>
      <c r="E815" s="1" t="str">
        <f>"5855"</f>
        <v>5855</v>
      </c>
      <c r="F815" s="1" t="str">
        <f>"015485687"</f>
        <v>015485687</v>
      </c>
      <c r="G815" s="1" t="s">
        <v>1921</v>
      </c>
      <c r="H815" s="1" t="s">
        <v>16</v>
      </c>
      <c r="I815" s="4" t="str">
        <f>"1"</f>
        <v>1</v>
      </c>
      <c r="J815" s="2" t="str">
        <f>"10402"</f>
        <v>10402</v>
      </c>
      <c r="K815" s="3">
        <v>46157</v>
      </c>
      <c r="L815" s="3">
        <v>46160</v>
      </c>
      <c r="M815" s="1" t="s">
        <v>10404</v>
      </c>
      <c r="N815" s="1" t="s">
        <v>10303</v>
      </c>
    </row>
    <row r="816" spans="1:14" s="1" customFormat="1" x14ac:dyDescent="0.35">
      <c r="A816" s="1" t="s">
        <v>5171</v>
      </c>
      <c r="B816" s="1" t="s">
        <v>1684</v>
      </c>
      <c r="C816" s="1" t="s">
        <v>1765</v>
      </c>
      <c r="D816" s="1" t="s">
        <v>10403</v>
      </c>
      <c r="E816" s="1" t="str">
        <f>"8465"</f>
        <v>8465</v>
      </c>
      <c r="F816" s="1" t="str">
        <f>"015245250"</f>
        <v>015245250</v>
      </c>
      <c r="G816" s="1" t="s">
        <v>529</v>
      </c>
      <c r="H816" s="1" t="s">
        <v>16</v>
      </c>
      <c r="I816" s="4" t="str">
        <f>"20"</f>
        <v>20</v>
      </c>
      <c r="J816" s="2">
        <v>75.150000000000006</v>
      </c>
      <c r="K816" s="3">
        <v>46157</v>
      </c>
      <c r="L816" s="3">
        <v>46160</v>
      </c>
      <c r="M816" s="1" t="s">
        <v>10402</v>
      </c>
      <c r="N816" s="1" t="s">
        <v>10401</v>
      </c>
    </row>
    <row r="817" spans="1:14" s="1" customFormat="1" x14ac:dyDescent="0.35">
      <c r="A817" s="1" t="s">
        <v>5171</v>
      </c>
      <c r="B817" s="1" t="s">
        <v>1684</v>
      </c>
      <c r="C817" s="1" t="s">
        <v>1765</v>
      </c>
      <c r="D817" s="1" t="s">
        <v>10403</v>
      </c>
      <c r="E817" s="1" t="str">
        <f>"8465"</f>
        <v>8465</v>
      </c>
      <c r="F817" s="1" t="str">
        <f>"015245250"</f>
        <v>015245250</v>
      </c>
      <c r="G817" s="1" t="s">
        <v>529</v>
      </c>
      <c r="H817" s="1" t="s">
        <v>16</v>
      </c>
      <c r="I817" s="4" t="str">
        <f>"20"</f>
        <v>20</v>
      </c>
      <c r="J817" s="2">
        <v>75.150000000000006</v>
      </c>
      <c r="K817" s="3">
        <v>46157</v>
      </c>
      <c r="L817" s="3">
        <v>46160</v>
      </c>
      <c r="M817" s="1" t="s">
        <v>10402</v>
      </c>
      <c r="N817" s="1" t="s">
        <v>10401</v>
      </c>
    </row>
    <row r="818" spans="1:14" s="1" customFormat="1" x14ac:dyDescent="0.35">
      <c r="A818" s="1" t="s">
        <v>5171</v>
      </c>
      <c r="B818" s="1" t="s">
        <v>1684</v>
      </c>
      <c r="C818" s="1" t="s">
        <v>1798</v>
      </c>
      <c r="D818" s="1" t="s">
        <v>10400</v>
      </c>
      <c r="E818" s="1" t="str">
        <f>"5855"</f>
        <v>5855</v>
      </c>
      <c r="F818" s="1" t="str">
        <f>"014951038"</f>
        <v>014951038</v>
      </c>
      <c r="G818" s="1" t="s">
        <v>1770</v>
      </c>
      <c r="H818" s="1" t="s">
        <v>16</v>
      </c>
      <c r="I818" s="4" t="str">
        <f>"9"</f>
        <v>9</v>
      </c>
      <c r="J818" s="2" t="str">
        <f>"14203"</f>
        <v>14203</v>
      </c>
      <c r="K818" s="3">
        <v>46158</v>
      </c>
      <c r="L818" s="3">
        <v>46160</v>
      </c>
      <c r="M818" s="1" t="s">
        <v>10399</v>
      </c>
      <c r="N818" s="1" t="s">
        <v>10398</v>
      </c>
    </row>
    <row r="819" spans="1:14" s="1" customFormat="1" x14ac:dyDescent="0.35">
      <c r="A819" s="1" t="s">
        <v>5171</v>
      </c>
      <c r="B819" s="1" t="s">
        <v>1684</v>
      </c>
      <c r="C819" s="1" t="s">
        <v>1798</v>
      </c>
      <c r="D819" s="1" t="s">
        <v>10400</v>
      </c>
      <c r="E819" s="1" t="str">
        <f>"5855"</f>
        <v>5855</v>
      </c>
      <c r="F819" s="1" t="str">
        <f>"014951038"</f>
        <v>014951038</v>
      </c>
      <c r="G819" s="1" t="s">
        <v>1770</v>
      </c>
      <c r="H819" s="1" t="s">
        <v>16</v>
      </c>
      <c r="I819" s="4" t="str">
        <f>"9"</f>
        <v>9</v>
      </c>
      <c r="J819" s="2" t="str">
        <f>"14203"</f>
        <v>14203</v>
      </c>
      <c r="K819" s="3">
        <v>46158</v>
      </c>
      <c r="L819" s="3">
        <v>46160</v>
      </c>
      <c r="M819" s="1" t="s">
        <v>10399</v>
      </c>
      <c r="N819" s="1" t="s">
        <v>10398</v>
      </c>
    </row>
    <row r="820" spans="1:14" s="1" customFormat="1" x14ac:dyDescent="0.35">
      <c r="A820" s="1" t="s">
        <v>5171</v>
      </c>
      <c r="B820" s="1" t="s">
        <v>1684</v>
      </c>
      <c r="C820" s="1" t="s">
        <v>1798</v>
      </c>
      <c r="D820" s="1" t="s">
        <v>10397</v>
      </c>
      <c r="E820" s="1" t="str">
        <f>"5855"</f>
        <v>5855</v>
      </c>
      <c r="F820" s="1" t="str">
        <f>"016125116"</f>
        <v>016125116</v>
      </c>
      <c r="G820" s="1" t="s">
        <v>2121</v>
      </c>
      <c r="H820" s="1" t="s">
        <v>16</v>
      </c>
      <c r="I820" s="4" t="str">
        <f>"20"</f>
        <v>20</v>
      </c>
      <c r="J820" s="2" t="str">
        <f>"192"</f>
        <v>192</v>
      </c>
      <c r="K820" s="3">
        <v>46153</v>
      </c>
      <c r="L820" s="3">
        <v>46163</v>
      </c>
      <c r="M820" s="1" t="s">
        <v>10396</v>
      </c>
      <c r="N820" s="1" t="s">
        <v>10395</v>
      </c>
    </row>
    <row r="821" spans="1:14" s="1" customFormat="1" x14ac:dyDescent="0.35">
      <c r="A821" s="1" t="s">
        <v>5171</v>
      </c>
      <c r="B821" s="1" t="s">
        <v>1684</v>
      </c>
      <c r="C821" s="1" t="s">
        <v>1798</v>
      </c>
      <c r="D821" s="1" t="s">
        <v>10394</v>
      </c>
      <c r="E821" s="1" t="str">
        <f>"5855"</f>
        <v>5855</v>
      </c>
      <c r="F821" s="1" t="str">
        <f>"015485687"</f>
        <v>015485687</v>
      </c>
      <c r="G821" s="1" t="s">
        <v>1921</v>
      </c>
      <c r="H821" s="1" t="s">
        <v>16</v>
      </c>
      <c r="I821" s="4" t="str">
        <f>"1"</f>
        <v>1</v>
      </c>
      <c r="J821" s="2" t="str">
        <f>"10402"</f>
        <v>10402</v>
      </c>
      <c r="K821" s="3">
        <v>46156</v>
      </c>
      <c r="L821" s="3">
        <v>46165</v>
      </c>
      <c r="M821" s="1" t="s">
        <v>10393</v>
      </c>
      <c r="N821" s="1" t="s">
        <v>10392</v>
      </c>
    </row>
    <row r="822" spans="1:14" s="1" customFormat="1" x14ac:dyDescent="0.35">
      <c r="A822" s="1" t="s">
        <v>5171</v>
      </c>
      <c r="B822" s="1" t="s">
        <v>1684</v>
      </c>
      <c r="C822" s="1" t="s">
        <v>1685</v>
      </c>
      <c r="D822" s="1" t="s">
        <v>10391</v>
      </c>
      <c r="E822" s="1" t="str">
        <f>"8465"</f>
        <v>8465</v>
      </c>
      <c r="F822" s="1" t="str">
        <f>"015800981"</f>
        <v>015800981</v>
      </c>
      <c r="G822" s="1" t="s">
        <v>529</v>
      </c>
      <c r="H822" s="1" t="s">
        <v>16</v>
      </c>
      <c r="I822" s="4" t="str">
        <f>"2"</f>
        <v>2</v>
      </c>
      <c r="J822" s="2">
        <v>75.150000000000006</v>
      </c>
      <c r="K822" s="3">
        <v>46162</v>
      </c>
      <c r="L822" s="3">
        <v>46169</v>
      </c>
      <c r="M822" s="1" t="s">
        <v>5167</v>
      </c>
      <c r="N822" s="1" t="s">
        <v>10368</v>
      </c>
    </row>
    <row r="823" spans="1:14" s="1" customFormat="1" x14ac:dyDescent="0.35">
      <c r="A823" s="1" t="s">
        <v>5171</v>
      </c>
      <c r="B823" s="1" t="s">
        <v>1684</v>
      </c>
      <c r="C823" s="1" t="s">
        <v>1798</v>
      </c>
      <c r="D823" s="1" t="s">
        <v>10390</v>
      </c>
      <c r="E823" s="1" t="str">
        <f>"5855"</f>
        <v>5855</v>
      </c>
      <c r="F823" s="1" t="str">
        <f>"014502333"</f>
        <v>014502333</v>
      </c>
      <c r="G823" s="1" t="s">
        <v>7066</v>
      </c>
      <c r="H823" s="1" t="s">
        <v>16</v>
      </c>
      <c r="I823" s="4" t="str">
        <f>"1"</f>
        <v>1</v>
      </c>
      <c r="J823" s="2">
        <v>10295.540000000001</v>
      </c>
      <c r="K823" s="3">
        <v>46167</v>
      </c>
      <c r="L823" s="3">
        <v>46169</v>
      </c>
      <c r="M823" s="1" t="s">
        <v>5167</v>
      </c>
      <c r="N823" s="1" t="s">
        <v>10329</v>
      </c>
    </row>
    <row r="824" spans="1:14" s="1" customFormat="1" x14ac:dyDescent="0.35">
      <c r="A824" s="1" t="s">
        <v>0</v>
      </c>
      <c r="B824" s="1" t="s">
        <v>1684</v>
      </c>
      <c r="C824" s="1" t="s">
        <v>1685</v>
      </c>
      <c r="D824" s="1" t="s">
        <v>10389</v>
      </c>
      <c r="E824" s="1" t="str">
        <f>"8415"</f>
        <v>8415</v>
      </c>
      <c r="F824" s="1" t="str">
        <f>"015225347"</f>
        <v>015225347</v>
      </c>
      <c r="G824" s="1" t="s">
        <v>10388</v>
      </c>
      <c r="H824" s="1" t="s">
        <v>16</v>
      </c>
      <c r="I824" s="4" t="str">
        <f>"2"</f>
        <v>2</v>
      </c>
      <c r="J824" s="2">
        <v>2047.91</v>
      </c>
      <c r="K824" s="3">
        <v>46162</v>
      </c>
      <c r="L824" s="3">
        <v>46170</v>
      </c>
      <c r="M824" s="1" t="s">
        <v>10357</v>
      </c>
      <c r="N824" s="1" t="s">
        <v>10387</v>
      </c>
    </row>
    <row r="825" spans="1:14" s="1" customFormat="1" x14ac:dyDescent="0.35">
      <c r="A825" s="1" t="s">
        <v>0</v>
      </c>
      <c r="B825" s="1" t="s">
        <v>1684</v>
      </c>
      <c r="C825" s="1" t="s">
        <v>1685</v>
      </c>
      <c r="D825" s="1" t="s">
        <v>10386</v>
      </c>
      <c r="E825" s="1" t="str">
        <f>"8465"</f>
        <v>8465</v>
      </c>
      <c r="F825" s="1" t="s">
        <v>3234</v>
      </c>
      <c r="G825" s="1" t="s">
        <v>3235</v>
      </c>
      <c r="H825" s="1" t="s">
        <v>16</v>
      </c>
      <c r="I825" s="4" t="str">
        <f>"5"</f>
        <v>5</v>
      </c>
      <c r="J825" s="2" t="str">
        <f>"500"</f>
        <v>500</v>
      </c>
      <c r="K825" s="3">
        <v>46162</v>
      </c>
      <c r="L825" s="3">
        <v>46170</v>
      </c>
      <c r="M825" s="1" t="s">
        <v>10357</v>
      </c>
      <c r="N825" s="1" t="s">
        <v>1714</v>
      </c>
    </row>
    <row r="826" spans="1:14" s="1" customFormat="1" x14ac:dyDescent="0.35">
      <c r="A826" s="1" t="s">
        <v>0</v>
      </c>
      <c r="B826" s="1" t="s">
        <v>1684</v>
      </c>
      <c r="C826" s="1" t="s">
        <v>1685</v>
      </c>
      <c r="D826" s="1" t="s">
        <v>10385</v>
      </c>
      <c r="E826" s="1" t="str">
        <f>"8465"</f>
        <v>8465</v>
      </c>
      <c r="F826" s="1" t="str">
        <f>"015802628"</f>
        <v>015802628</v>
      </c>
      <c r="G826" s="1" t="s">
        <v>10384</v>
      </c>
      <c r="H826" s="1" t="s">
        <v>16</v>
      </c>
      <c r="I826" s="4" t="str">
        <f>"3"</f>
        <v>3</v>
      </c>
      <c r="J826" s="2">
        <v>9.1199999999999992</v>
      </c>
      <c r="K826" s="3">
        <v>46162</v>
      </c>
      <c r="L826" s="3">
        <v>46170</v>
      </c>
      <c r="M826" s="1" t="s">
        <v>10357</v>
      </c>
      <c r="N826" s="1" t="s">
        <v>10383</v>
      </c>
    </row>
    <row r="827" spans="1:14" s="1" customFormat="1" x14ac:dyDescent="0.35">
      <c r="A827" s="1" t="s">
        <v>0</v>
      </c>
      <c r="B827" s="1" t="s">
        <v>1684</v>
      </c>
      <c r="C827" s="1" t="s">
        <v>1685</v>
      </c>
      <c r="D827" s="1" t="s">
        <v>10382</v>
      </c>
      <c r="E827" s="1" t="str">
        <f>"8465"</f>
        <v>8465</v>
      </c>
      <c r="F827" s="1" t="str">
        <f>"016419389"</f>
        <v>016419389</v>
      </c>
      <c r="G827" s="1" t="s">
        <v>4062</v>
      </c>
      <c r="H827" s="1" t="s">
        <v>16</v>
      </c>
      <c r="I827" s="4" t="str">
        <f>"1"</f>
        <v>1</v>
      </c>
      <c r="J827" s="2">
        <v>31.8</v>
      </c>
      <c r="K827" s="3">
        <v>46162</v>
      </c>
      <c r="L827" s="3">
        <v>46170</v>
      </c>
      <c r="M827" s="1" t="s">
        <v>10357</v>
      </c>
      <c r="N827" s="1" t="s">
        <v>10360</v>
      </c>
    </row>
    <row r="828" spans="1:14" s="1" customFormat="1" x14ac:dyDescent="0.35">
      <c r="A828" s="1" t="s">
        <v>0</v>
      </c>
      <c r="B828" s="1" t="s">
        <v>1684</v>
      </c>
      <c r="C828" s="1" t="s">
        <v>1685</v>
      </c>
      <c r="D828" s="1" t="s">
        <v>10381</v>
      </c>
      <c r="E828" s="1" t="str">
        <f>"8465"</f>
        <v>8465</v>
      </c>
      <c r="F828" s="1" t="str">
        <f>"015836329"</f>
        <v>015836329</v>
      </c>
      <c r="G828" s="1" t="s">
        <v>57</v>
      </c>
      <c r="H828" s="1" t="s">
        <v>16</v>
      </c>
      <c r="I828" s="4" t="str">
        <f>"1"</f>
        <v>1</v>
      </c>
      <c r="J828" s="2">
        <v>34.86</v>
      </c>
      <c r="K828" s="3">
        <v>46162</v>
      </c>
      <c r="L828" s="3">
        <v>46170</v>
      </c>
      <c r="M828" s="1" t="s">
        <v>10357</v>
      </c>
      <c r="N828" s="1" t="s">
        <v>10380</v>
      </c>
    </row>
    <row r="829" spans="1:14" s="1" customFormat="1" x14ac:dyDescent="0.35">
      <c r="A829" s="1" t="s">
        <v>0</v>
      </c>
      <c r="B829" s="1" t="s">
        <v>1684</v>
      </c>
      <c r="C829" s="1" t="s">
        <v>1685</v>
      </c>
      <c r="D829" s="1" t="s">
        <v>10379</v>
      </c>
      <c r="E829" s="1" t="str">
        <f>"8465"</f>
        <v>8465</v>
      </c>
      <c r="F829" s="1" t="str">
        <f>"011178699"</f>
        <v>011178699</v>
      </c>
      <c r="G829" s="1" t="s">
        <v>660</v>
      </c>
      <c r="H829" s="1" t="s">
        <v>16</v>
      </c>
      <c r="I829" s="4" t="str">
        <f>"4"</f>
        <v>4</v>
      </c>
      <c r="J829" s="2">
        <v>26.49</v>
      </c>
      <c r="K829" s="3">
        <v>46162</v>
      </c>
      <c r="L829" s="3">
        <v>46170</v>
      </c>
      <c r="M829" s="1" t="s">
        <v>10357</v>
      </c>
      <c r="N829" s="1" t="s">
        <v>10378</v>
      </c>
    </row>
    <row r="830" spans="1:14" s="1" customFormat="1" x14ac:dyDescent="0.35">
      <c r="A830" s="1" t="s">
        <v>0</v>
      </c>
      <c r="B830" s="1" t="s">
        <v>1684</v>
      </c>
      <c r="C830" s="1" t="s">
        <v>1685</v>
      </c>
      <c r="D830" s="1" t="s">
        <v>10377</v>
      </c>
      <c r="E830" s="1" t="str">
        <f>"8115"</f>
        <v>8115</v>
      </c>
      <c r="F830" s="1" t="s">
        <v>483</v>
      </c>
      <c r="G830" s="1" t="s">
        <v>484</v>
      </c>
      <c r="H830" s="1" t="s">
        <v>16</v>
      </c>
      <c r="I830" s="4" t="str">
        <f>"4"</f>
        <v>4</v>
      </c>
      <c r="J830" s="2" t="str">
        <f>"100"</f>
        <v>100</v>
      </c>
      <c r="K830" s="3">
        <v>46162</v>
      </c>
      <c r="L830" s="3">
        <v>46170</v>
      </c>
      <c r="M830" s="1" t="s">
        <v>10357</v>
      </c>
      <c r="N830" s="1" t="s">
        <v>1714</v>
      </c>
    </row>
    <row r="831" spans="1:14" s="1" customFormat="1" x14ac:dyDescent="0.35">
      <c r="A831" s="1" t="s">
        <v>0</v>
      </c>
      <c r="B831" s="1" t="s">
        <v>1684</v>
      </c>
      <c r="C831" s="1" t="s">
        <v>1685</v>
      </c>
      <c r="D831" s="1" t="s">
        <v>10376</v>
      </c>
      <c r="E831" s="1" t="str">
        <f>"8115"</f>
        <v>8115</v>
      </c>
      <c r="F831" s="1" t="s">
        <v>483</v>
      </c>
      <c r="G831" s="1" t="s">
        <v>484</v>
      </c>
      <c r="H831" s="1" t="s">
        <v>16</v>
      </c>
      <c r="I831" s="4" t="str">
        <f>"5"</f>
        <v>5</v>
      </c>
      <c r="J831" s="2" t="str">
        <f>"50"</f>
        <v>50</v>
      </c>
      <c r="K831" s="3">
        <v>46162</v>
      </c>
      <c r="L831" s="3">
        <v>46170</v>
      </c>
      <c r="M831" s="1" t="s">
        <v>10357</v>
      </c>
      <c r="N831" s="1" t="s">
        <v>1714</v>
      </c>
    </row>
    <row r="832" spans="1:14" s="1" customFormat="1" x14ac:dyDescent="0.35">
      <c r="A832" s="1" t="s">
        <v>0</v>
      </c>
      <c r="B832" s="1" t="s">
        <v>1684</v>
      </c>
      <c r="C832" s="1" t="s">
        <v>1685</v>
      </c>
      <c r="D832" s="1" t="s">
        <v>10375</v>
      </c>
      <c r="E832" s="1" t="str">
        <f>"8115"</f>
        <v>8115</v>
      </c>
      <c r="F832" s="1" t="s">
        <v>483</v>
      </c>
      <c r="G832" s="1" t="s">
        <v>484</v>
      </c>
      <c r="H832" s="1" t="s">
        <v>16</v>
      </c>
      <c r="I832" s="4" t="str">
        <f>"19"</f>
        <v>19</v>
      </c>
      <c r="J832" s="2" t="str">
        <f>"100"</f>
        <v>100</v>
      </c>
      <c r="K832" s="3">
        <v>46162</v>
      </c>
      <c r="L832" s="3">
        <v>46170</v>
      </c>
      <c r="M832" s="1" t="s">
        <v>10357</v>
      </c>
      <c r="N832" s="1" t="s">
        <v>1714</v>
      </c>
    </row>
    <row r="833" spans="1:14" s="1" customFormat="1" x14ac:dyDescent="0.35">
      <c r="A833" s="1" t="s">
        <v>0</v>
      </c>
      <c r="B833" s="1" t="s">
        <v>1684</v>
      </c>
      <c r="C833" s="1" t="s">
        <v>1685</v>
      </c>
      <c r="D833" s="1" t="s">
        <v>10374</v>
      </c>
      <c r="E833" s="1" t="str">
        <f>"8140"</f>
        <v>8140</v>
      </c>
      <c r="F833" s="1" t="str">
        <f>"015925648"</f>
        <v>015925648</v>
      </c>
      <c r="G833" s="1" t="s">
        <v>10373</v>
      </c>
      <c r="H833" s="1" t="s">
        <v>16</v>
      </c>
      <c r="I833" s="4" t="str">
        <f>"120"</f>
        <v>120</v>
      </c>
      <c r="J833" s="2" t="str">
        <f>"5"</f>
        <v>5</v>
      </c>
      <c r="K833" s="3">
        <v>46162</v>
      </c>
      <c r="L833" s="3">
        <v>46170</v>
      </c>
      <c r="M833" s="1" t="s">
        <v>10357</v>
      </c>
      <c r="N833" s="1" t="s">
        <v>10372</v>
      </c>
    </row>
    <row r="834" spans="1:14" s="1" customFormat="1" x14ac:dyDescent="0.35">
      <c r="A834" s="1" t="s">
        <v>0</v>
      </c>
      <c r="B834" s="1" t="s">
        <v>1684</v>
      </c>
      <c r="C834" s="1" t="s">
        <v>1685</v>
      </c>
      <c r="D834" s="1" t="s">
        <v>10371</v>
      </c>
      <c r="E834" s="1" t="str">
        <f>"8145"</f>
        <v>8145</v>
      </c>
      <c r="F834" s="1" t="s">
        <v>4960</v>
      </c>
      <c r="G834" s="1" t="s">
        <v>4961</v>
      </c>
      <c r="H834" s="1" t="s">
        <v>16</v>
      </c>
      <c r="I834" s="4" t="str">
        <f>"1"</f>
        <v>1</v>
      </c>
      <c r="J834" s="2" t="str">
        <f>"500"</f>
        <v>500</v>
      </c>
      <c r="K834" s="3">
        <v>46162</v>
      </c>
      <c r="L834" s="3">
        <v>46170</v>
      </c>
      <c r="M834" s="1" t="s">
        <v>10357</v>
      </c>
      <c r="N834" s="1" t="s">
        <v>10370</v>
      </c>
    </row>
    <row r="835" spans="1:14" s="1" customFormat="1" x14ac:dyDescent="0.35">
      <c r="A835" s="1" t="s">
        <v>0</v>
      </c>
      <c r="B835" s="1" t="s">
        <v>1684</v>
      </c>
      <c r="C835" s="1" t="s">
        <v>1685</v>
      </c>
      <c r="D835" s="1" t="s">
        <v>10369</v>
      </c>
      <c r="E835" s="1" t="str">
        <f>"8465"</f>
        <v>8465</v>
      </c>
      <c r="F835" s="1" t="str">
        <f>"015800981"</f>
        <v>015800981</v>
      </c>
      <c r="G835" s="1" t="s">
        <v>529</v>
      </c>
      <c r="H835" s="1" t="s">
        <v>16</v>
      </c>
      <c r="I835" s="4" t="str">
        <f>"4"</f>
        <v>4</v>
      </c>
      <c r="J835" s="2">
        <v>75.150000000000006</v>
      </c>
      <c r="K835" s="3">
        <v>46162</v>
      </c>
      <c r="L835" s="3">
        <v>46170</v>
      </c>
      <c r="M835" s="1" t="s">
        <v>10357</v>
      </c>
      <c r="N835" s="1" t="s">
        <v>10368</v>
      </c>
    </row>
    <row r="836" spans="1:14" s="1" customFormat="1" x14ac:dyDescent="0.35">
      <c r="A836" s="1" t="s">
        <v>0</v>
      </c>
      <c r="B836" s="1" t="s">
        <v>1684</v>
      </c>
      <c r="C836" s="1" t="s">
        <v>1685</v>
      </c>
      <c r="D836" s="1" t="s">
        <v>10367</v>
      </c>
      <c r="E836" s="1" t="str">
        <f>"8465"</f>
        <v>8465</v>
      </c>
      <c r="F836" s="1" t="str">
        <f>"015938664"</f>
        <v>015938664</v>
      </c>
      <c r="G836" s="1" t="s">
        <v>1780</v>
      </c>
      <c r="H836" s="1" t="s">
        <v>16</v>
      </c>
      <c r="I836" s="4" t="str">
        <f>"1"</f>
        <v>1</v>
      </c>
      <c r="J836" s="2">
        <v>75.17</v>
      </c>
      <c r="K836" s="3">
        <v>46162</v>
      </c>
      <c r="L836" s="3">
        <v>46170</v>
      </c>
      <c r="M836" s="1" t="s">
        <v>10357</v>
      </c>
      <c r="N836" s="1" t="s">
        <v>10365</v>
      </c>
    </row>
    <row r="837" spans="1:14" s="1" customFormat="1" x14ac:dyDescent="0.35">
      <c r="A837" s="1" t="s">
        <v>0</v>
      </c>
      <c r="B837" s="1" t="s">
        <v>1684</v>
      </c>
      <c r="C837" s="1" t="s">
        <v>1685</v>
      </c>
      <c r="D837" s="1" t="s">
        <v>10366</v>
      </c>
      <c r="E837" s="1" t="str">
        <f>"8465"</f>
        <v>8465</v>
      </c>
      <c r="F837" s="1" t="str">
        <f>"016733364"</f>
        <v>016733364</v>
      </c>
      <c r="G837" s="1" t="s">
        <v>653</v>
      </c>
      <c r="H837" s="1" t="s">
        <v>458</v>
      </c>
      <c r="I837" s="4" t="str">
        <f>"1"</f>
        <v>1</v>
      </c>
      <c r="J837" s="2">
        <v>376.9</v>
      </c>
      <c r="K837" s="3">
        <v>46162</v>
      </c>
      <c r="L837" s="3">
        <v>46170</v>
      </c>
      <c r="M837" s="1" t="s">
        <v>10357</v>
      </c>
      <c r="N837" s="1" t="s">
        <v>10365</v>
      </c>
    </row>
    <row r="838" spans="1:14" s="1" customFormat="1" x14ac:dyDescent="0.35">
      <c r="A838" s="1" t="s">
        <v>0</v>
      </c>
      <c r="B838" s="1" t="s">
        <v>1684</v>
      </c>
      <c r="C838" s="1" t="s">
        <v>1685</v>
      </c>
      <c r="D838" s="1" t="s">
        <v>10364</v>
      </c>
      <c r="E838" s="1" t="str">
        <f>"8465"</f>
        <v>8465</v>
      </c>
      <c r="F838" s="1" t="str">
        <f>"015800481"</f>
        <v>015800481</v>
      </c>
      <c r="G838" s="1" t="s">
        <v>1747</v>
      </c>
      <c r="H838" s="1" t="s">
        <v>458</v>
      </c>
      <c r="I838" s="4" t="str">
        <f>"1"</f>
        <v>1</v>
      </c>
      <c r="J838" s="2">
        <v>295.23</v>
      </c>
      <c r="K838" s="3">
        <v>46162</v>
      </c>
      <c r="L838" s="3">
        <v>46170</v>
      </c>
      <c r="M838" s="1" t="s">
        <v>10357</v>
      </c>
      <c r="N838" s="1" t="s">
        <v>10363</v>
      </c>
    </row>
    <row r="839" spans="1:14" s="1" customFormat="1" x14ac:dyDescent="0.35">
      <c r="A839" s="1" t="s">
        <v>0</v>
      </c>
      <c r="B839" s="1" t="s">
        <v>1684</v>
      </c>
      <c r="C839" s="1" t="s">
        <v>1685</v>
      </c>
      <c r="D839" s="1" t="s">
        <v>10362</v>
      </c>
      <c r="E839" s="1" t="str">
        <f>"8465"</f>
        <v>8465</v>
      </c>
      <c r="F839" s="1" t="str">
        <f>"015802610"</f>
        <v>015802610</v>
      </c>
      <c r="G839" s="1" t="s">
        <v>10361</v>
      </c>
      <c r="H839" s="1" t="s">
        <v>16</v>
      </c>
      <c r="I839" s="4" t="str">
        <f>"1"</f>
        <v>1</v>
      </c>
      <c r="J839" s="2">
        <v>2.4</v>
      </c>
      <c r="K839" s="3">
        <v>46162</v>
      </c>
      <c r="L839" s="3">
        <v>46170</v>
      </c>
      <c r="M839" s="1" t="s">
        <v>10357</v>
      </c>
      <c r="N839" s="1" t="s">
        <v>10360</v>
      </c>
    </row>
    <row r="840" spans="1:14" s="1" customFormat="1" x14ac:dyDescent="0.35">
      <c r="A840" s="1" t="s">
        <v>0</v>
      </c>
      <c r="B840" s="1" t="s">
        <v>1684</v>
      </c>
      <c r="C840" s="1" t="s">
        <v>1685</v>
      </c>
      <c r="D840" s="1" t="s">
        <v>10359</v>
      </c>
      <c r="E840" s="1" t="str">
        <f>"8415"</f>
        <v>8415</v>
      </c>
      <c r="F840" s="1" t="str">
        <f>"015138143"</f>
        <v>015138143</v>
      </c>
      <c r="G840" s="1" t="s">
        <v>3061</v>
      </c>
      <c r="H840" s="1" t="s">
        <v>16</v>
      </c>
      <c r="I840" s="4" t="str">
        <f>"2"</f>
        <v>2</v>
      </c>
      <c r="J840" s="2">
        <v>735.88</v>
      </c>
      <c r="K840" s="3">
        <v>46162</v>
      </c>
      <c r="L840" s="3">
        <v>46170</v>
      </c>
      <c r="M840" s="1" t="s">
        <v>10357</v>
      </c>
      <c r="N840" s="1" t="s">
        <v>10289</v>
      </c>
    </row>
    <row r="841" spans="1:14" s="1" customFormat="1" x14ac:dyDescent="0.35">
      <c r="A841" s="1" t="s">
        <v>0</v>
      </c>
      <c r="B841" s="1" t="s">
        <v>1684</v>
      </c>
      <c r="C841" s="1" t="s">
        <v>1685</v>
      </c>
      <c r="D841" s="1" t="s">
        <v>10358</v>
      </c>
      <c r="E841" s="1" t="str">
        <f>"8415"</f>
        <v>8415</v>
      </c>
      <c r="F841" s="1" t="str">
        <f>"015387761"</f>
        <v>015387761</v>
      </c>
      <c r="G841" s="1" t="s">
        <v>1892</v>
      </c>
      <c r="H841" s="1" t="s">
        <v>16</v>
      </c>
      <c r="I841" s="4" t="str">
        <f>"1"</f>
        <v>1</v>
      </c>
      <c r="J841" s="2">
        <v>111.26</v>
      </c>
      <c r="K841" s="3">
        <v>46162</v>
      </c>
      <c r="L841" s="3">
        <v>46170</v>
      </c>
      <c r="M841" s="1" t="s">
        <v>10357</v>
      </c>
      <c r="N841" s="1" t="s">
        <v>10356</v>
      </c>
    </row>
    <row r="842" spans="1:14" s="1" customFormat="1" x14ac:dyDescent="0.35">
      <c r="A842" s="1" t="s">
        <v>5171</v>
      </c>
      <c r="B842" s="1" t="s">
        <v>1684</v>
      </c>
      <c r="C842" s="1" t="s">
        <v>1765</v>
      </c>
      <c r="D842" s="1" t="s">
        <v>10355</v>
      </c>
      <c r="E842" s="1" t="str">
        <f>"8465"</f>
        <v>8465</v>
      </c>
      <c r="F842" s="1" t="str">
        <f>"015245250"</f>
        <v>015245250</v>
      </c>
      <c r="G842" s="1" t="s">
        <v>529</v>
      </c>
      <c r="H842" s="1" t="s">
        <v>16</v>
      </c>
      <c r="I842" s="4" t="str">
        <f>"15"</f>
        <v>15</v>
      </c>
      <c r="J842" s="2">
        <v>75.150000000000006</v>
      </c>
      <c r="K842" s="3">
        <v>46153</v>
      </c>
      <c r="L842" s="3">
        <v>46170</v>
      </c>
      <c r="M842" s="1" t="s">
        <v>10354</v>
      </c>
      <c r="N842" s="1" t="s">
        <v>1781</v>
      </c>
    </row>
    <row r="843" spans="1:14" s="1" customFormat="1" x14ac:dyDescent="0.35">
      <c r="A843" s="1" t="s">
        <v>5171</v>
      </c>
      <c r="B843" s="1" t="s">
        <v>1684</v>
      </c>
      <c r="C843" s="1" t="s">
        <v>1765</v>
      </c>
      <c r="D843" s="1" t="s">
        <v>10353</v>
      </c>
      <c r="E843" s="1" t="str">
        <f>"8415"</f>
        <v>8415</v>
      </c>
      <c r="F843" s="1" t="str">
        <f>"015386680"</f>
        <v>015386680</v>
      </c>
      <c r="G843" s="1" t="s">
        <v>1988</v>
      </c>
      <c r="H843" s="1" t="s">
        <v>16</v>
      </c>
      <c r="I843" s="4" t="str">
        <f>"20"</f>
        <v>20</v>
      </c>
      <c r="J843" s="2">
        <v>93.46</v>
      </c>
      <c r="K843" s="3">
        <v>46153</v>
      </c>
      <c r="L843" s="3">
        <v>46170</v>
      </c>
      <c r="M843" s="1" t="s">
        <v>10352</v>
      </c>
      <c r="N843" s="1" t="s">
        <v>10349</v>
      </c>
    </row>
    <row r="844" spans="1:14" s="1" customFormat="1" x14ac:dyDescent="0.35">
      <c r="A844" s="1" t="s">
        <v>5171</v>
      </c>
      <c r="B844" s="1" t="s">
        <v>1684</v>
      </c>
      <c r="C844" s="1" t="s">
        <v>1765</v>
      </c>
      <c r="D844" s="1" t="s">
        <v>10351</v>
      </c>
      <c r="E844" s="1" t="str">
        <f>"8415"</f>
        <v>8415</v>
      </c>
      <c r="F844" s="1" t="str">
        <f>"015387012"</f>
        <v>015387012</v>
      </c>
      <c r="G844" s="1" t="s">
        <v>1892</v>
      </c>
      <c r="H844" s="1" t="s">
        <v>16</v>
      </c>
      <c r="I844" s="4" t="str">
        <f>"15"</f>
        <v>15</v>
      </c>
      <c r="J844" s="2">
        <v>111.26</v>
      </c>
      <c r="K844" s="3">
        <v>46153</v>
      </c>
      <c r="L844" s="3">
        <v>46170</v>
      </c>
      <c r="M844" s="1" t="s">
        <v>10350</v>
      </c>
      <c r="N844" s="1" t="s">
        <v>10349</v>
      </c>
    </row>
    <row r="845" spans="1:14" s="1" customFormat="1" x14ac:dyDescent="0.35">
      <c r="A845" s="1" t="s">
        <v>5171</v>
      </c>
      <c r="B845" s="1" t="s">
        <v>1684</v>
      </c>
      <c r="C845" s="1" t="s">
        <v>1765</v>
      </c>
      <c r="D845" s="1" t="s">
        <v>10348</v>
      </c>
      <c r="E845" s="1" t="str">
        <f>"8340"</f>
        <v>8340</v>
      </c>
      <c r="F845" s="1" t="s">
        <v>1135</v>
      </c>
      <c r="G845" s="1" t="s">
        <v>1136</v>
      </c>
      <c r="H845" s="1" t="s">
        <v>16</v>
      </c>
      <c r="I845" s="4" t="str">
        <f>"4"</f>
        <v>4</v>
      </c>
      <c r="J845" s="2" t="str">
        <f>"500"</f>
        <v>500</v>
      </c>
      <c r="K845" s="3">
        <v>46153</v>
      </c>
      <c r="L845" s="3">
        <v>46170</v>
      </c>
      <c r="M845" s="1" t="s">
        <v>10347</v>
      </c>
      <c r="N845" s="1" t="s">
        <v>10346</v>
      </c>
    </row>
    <row r="846" spans="1:14" s="1" customFormat="1" x14ac:dyDescent="0.35">
      <c r="A846" s="1" t="s">
        <v>5171</v>
      </c>
      <c r="B846" s="1" t="s">
        <v>1684</v>
      </c>
      <c r="C846" s="1" t="s">
        <v>1798</v>
      </c>
      <c r="D846" s="1" t="s">
        <v>10345</v>
      </c>
      <c r="E846" s="1" t="str">
        <f>"5855"</f>
        <v>5855</v>
      </c>
      <c r="F846" s="1" t="str">
        <f>"014572953"</f>
        <v>014572953</v>
      </c>
      <c r="G846" s="1" t="s">
        <v>2121</v>
      </c>
      <c r="H846" s="1" t="s">
        <v>16</v>
      </c>
      <c r="I846" s="4" t="str">
        <f>"16"</f>
        <v>16</v>
      </c>
      <c r="J846" s="2" t="str">
        <f>"192"</f>
        <v>192</v>
      </c>
      <c r="K846" s="3">
        <v>46144</v>
      </c>
      <c r="L846" s="3">
        <v>46170</v>
      </c>
      <c r="M846" s="1" t="s">
        <v>10344</v>
      </c>
      <c r="N846" s="1" t="s">
        <v>10343</v>
      </c>
    </row>
    <row r="847" spans="1:14" s="1" customFormat="1" x14ac:dyDescent="0.35">
      <c r="A847" s="1" t="s">
        <v>5171</v>
      </c>
      <c r="B847" s="1" t="s">
        <v>1684</v>
      </c>
      <c r="C847" s="1" t="s">
        <v>1798</v>
      </c>
      <c r="D847" s="1" t="s">
        <v>10342</v>
      </c>
      <c r="E847" s="1" t="str">
        <f>"5855"</f>
        <v>5855</v>
      </c>
      <c r="F847" s="1" t="str">
        <f>"014165085"</f>
        <v>014165085</v>
      </c>
      <c r="G847" s="1" t="s">
        <v>1770</v>
      </c>
      <c r="H847" s="1" t="s">
        <v>16</v>
      </c>
      <c r="I847" s="4" t="str">
        <f>"1"</f>
        <v>1</v>
      </c>
      <c r="J847" s="2">
        <v>6655.86</v>
      </c>
      <c r="K847" s="3">
        <v>46167</v>
      </c>
      <c r="L847" s="3">
        <v>46174</v>
      </c>
      <c r="M847" s="1" t="s">
        <v>10341</v>
      </c>
      <c r="N847" s="1" t="s">
        <v>10335</v>
      </c>
    </row>
    <row r="848" spans="1:14" s="1" customFormat="1" x14ac:dyDescent="0.35">
      <c r="A848" s="1" t="s">
        <v>5171</v>
      </c>
      <c r="B848" s="1" t="s">
        <v>1684</v>
      </c>
      <c r="C848" s="1" t="s">
        <v>1685</v>
      </c>
      <c r="D848" s="1" t="s">
        <v>10340</v>
      </c>
      <c r="E848" s="1" t="str">
        <f>"2330"</f>
        <v>2330</v>
      </c>
      <c r="F848" s="1" t="str">
        <f>"013875443"</f>
        <v>013875443</v>
      </c>
      <c r="G848" s="1" t="s">
        <v>979</v>
      </c>
      <c r="H848" s="1" t="s">
        <v>16</v>
      </c>
      <c r="I848" s="4" t="str">
        <f>"1"</f>
        <v>1</v>
      </c>
      <c r="J848" s="2" t="str">
        <f>"9535"</f>
        <v>9535</v>
      </c>
      <c r="K848" s="3">
        <v>46126</v>
      </c>
      <c r="L848" s="3">
        <v>46175</v>
      </c>
      <c r="M848" s="1" t="s">
        <v>10339</v>
      </c>
      <c r="N848" s="1" t="s">
        <v>10338</v>
      </c>
    </row>
    <row r="849" spans="1:14" s="1" customFormat="1" x14ac:dyDescent="0.35">
      <c r="A849" s="1" t="s">
        <v>5171</v>
      </c>
      <c r="B849" s="1" t="s">
        <v>1684</v>
      </c>
      <c r="C849" s="1" t="s">
        <v>1798</v>
      </c>
      <c r="D849" s="1" t="s">
        <v>10337</v>
      </c>
      <c r="E849" s="1" t="str">
        <f>"5855"</f>
        <v>5855</v>
      </c>
      <c r="F849" s="1" t="str">
        <f>"014165085"</f>
        <v>014165085</v>
      </c>
      <c r="G849" s="1" t="s">
        <v>1770</v>
      </c>
      <c r="H849" s="1" t="s">
        <v>16</v>
      </c>
      <c r="I849" s="4" t="str">
        <f>"2"</f>
        <v>2</v>
      </c>
      <c r="J849" s="2">
        <v>6655.86</v>
      </c>
      <c r="K849" s="3">
        <v>46167</v>
      </c>
      <c r="L849" s="3">
        <v>46179</v>
      </c>
      <c r="M849" s="1" t="s">
        <v>10336</v>
      </c>
      <c r="N849" s="1" t="s">
        <v>10335</v>
      </c>
    </row>
    <row r="850" spans="1:14" s="1" customFormat="1" x14ac:dyDescent="0.35">
      <c r="A850" s="1" t="s">
        <v>5171</v>
      </c>
      <c r="B850" s="1" t="s">
        <v>1684</v>
      </c>
      <c r="C850" s="1" t="s">
        <v>1798</v>
      </c>
      <c r="D850" s="1" t="s">
        <v>10334</v>
      </c>
      <c r="E850" s="1" t="str">
        <f>"5855"</f>
        <v>5855</v>
      </c>
      <c r="F850" s="1" t="str">
        <f>"014165085"</f>
        <v>014165085</v>
      </c>
      <c r="G850" s="1" t="s">
        <v>1770</v>
      </c>
      <c r="H850" s="1" t="s">
        <v>16</v>
      </c>
      <c r="I850" s="4" t="str">
        <f>"1"</f>
        <v>1</v>
      </c>
      <c r="J850" s="2">
        <v>6655.86</v>
      </c>
      <c r="K850" s="3">
        <v>46167</v>
      </c>
      <c r="L850" s="3">
        <v>46179</v>
      </c>
      <c r="M850" s="1" t="s">
        <v>10333</v>
      </c>
      <c r="N850" s="1" t="s">
        <v>10332</v>
      </c>
    </row>
    <row r="851" spans="1:14" s="1" customFormat="1" x14ac:dyDescent="0.35">
      <c r="A851" s="1" t="s">
        <v>5171</v>
      </c>
      <c r="B851" s="1" t="s">
        <v>1684</v>
      </c>
      <c r="C851" s="1" t="s">
        <v>1798</v>
      </c>
      <c r="D851" s="1" t="s">
        <v>10331</v>
      </c>
      <c r="E851" s="1" t="str">
        <f>"5855"</f>
        <v>5855</v>
      </c>
      <c r="F851" s="1" t="str">
        <f>"014502333"</f>
        <v>014502333</v>
      </c>
      <c r="G851" s="1" t="s">
        <v>7066</v>
      </c>
      <c r="H851" s="1" t="s">
        <v>16</v>
      </c>
      <c r="I851" s="4" t="str">
        <f>"1"</f>
        <v>1</v>
      </c>
      <c r="J851" s="2">
        <v>10295.540000000001</v>
      </c>
      <c r="K851" s="3">
        <v>46167</v>
      </c>
      <c r="L851" s="3">
        <v>46179</v>
      </c>
      <c r="M851" s="1" t="s">
        <v>10330</v>
      </c>
      <c r="N851" s="1" t="s">
        <v>10329</v>
      </c>
    </row>
    <row r="852" spans="1:14" s="1" customFormat="1" x14ac:dyDescent="0.35">
      <c r="A852" s="1" t="s">
        <v>5171</v>
      </c>
      <c r="B852" s="1" t="s">
        <v>1684</v>
      </c>
      <c r="C852" s="1" t="s">
        <v>1798</v>
      </c>
      <c r="D852" s="1" t="s">
        <v>10328</v>
      </c>
      <c r="E852" s="1" t="str">
        <f>"5855"</f>
        <v>5855</v>
      </c>
      <c r="F852" s="1" t="str">
        <f>"014333157"</f>
        <v>014333157</v>
      </c>
      <c r="G852" s="1" t="s">
        <v>1770</v>
      </c>
      <c r="H852" s="1" t="s">
        <v>16</v>
      </c>
      <c r="I852" s="4" t="str">
        <f>"1"</f>
        <v>1</v>
      </c>
      <c r="J852" s="2" t="str">
        <f>"6392"</f>
        <v>6392</v>
      </c>
      <c r="K852" s="3">
        <v>46167</v>
      </c>
      <c r="L852" s="3">
        <v>46179</v>
      </c>
      <c r="M852" s="1" t="s">
        <v>10327</v>
      </c>
      <c r="N852" s="1" t="s">
        <v>10322</v>
      </c>
    </row>
    <row r="853" spans="1:14" s="1" customFormat="1" x14ac:dyDescent="0.35">
      <c r="A853" s="1" t="s">
        <v>5171</v>
      </c>
      <c r="B853" s="1" t="s">
        <v>1684</v>
      </c>
      <c r="C853" s="1" t="s">
        <v>1798</v>
      </c>
      <c r="D853" s="1" t="s">
        <v>10326</v>
      </c>
      <c r="E853" s="1" t="str">
        <f>"5855"</f>
        <v>5855</v>
      </c>
      <c r="F853" s="1" t="str">
        <f>"014333157"</f>
        <v>014333157</v>
      </c>
      <c r="G853" s="1" t="s">
        <v>1770</v>
      </c>
      <c r="H853" s="1" t="s">
        <v>16</v>
      </c>
      <c r="I853" s="4" t="str">
        <f>"1"</f>
        <v>1</v>
      </c>
      <c r="J853" s="2" t="str">
        <f>"6392"</f>
        <v>6392</v>
      </c>
      <c r="K853" s="3">
        <v>46167</v>
      </c>
      <c r="L853" s="3">
        <v>46179</v>
      </c>
      <c r="M853" s="1" t="s">
        <v>10325</v>
      </c>
      <c r="N853" s="1" t="s">
        <v>10322</v>
      </c>
    </row>
    <row r="854" spans="1:14" s="1" customFormat="1" x14ac:dyDescent="0.35">
      <c r="A854" s="1" t="s">
        <v>5171</v>
      </c>
      <c r="B854" s="1" t="s">
        <v>1684</v>
      </c>
      <c r="C854" s="1" t="s">
        <v>1798</v>
      </c>
      <c r="D854" s="1" t="s">
        <v>10324</v>
      </c>
      <c r="E854" s="1" t="str">
        <f>"5855"</f>
        <v>5855</v>
      </c>
      <c r="F854" s="1" t="str">
        <f>"014333157"</f>
        <v>014333157</v>
      </c>
      <c r="G854" s="1" t="s">
        <v>1770</v>
      </c>
      <c r="H854" s="1" t="s">
        <v>16</v>
      </c>
      <c r="I854" s="4" t="str">
        <f>"1"</f>
        <v>1</v>
      </c>
      <c r="J854" s="2" t="str">
        <f>"6392"</f>
        <v>6392</v>
      </c>
      <c r="K854" s="3">
        <v>46167</v>
      </c>
      <c r="L854" s="3">
        <v>46179</v>
      </c>
      <c r="M854" s="1" t="s">
        <v>10323</v>
      </c>
      <c r="N854" s="1" t="s">
        <v>10322</v>
      </c>
    </row>
    <row r="855" spans="1:14" s="1" customFormat="1" x14ac:dyDescent="0.35">
      <c r="A855" s="1" t="s">
        <v>5171</v>
      </c>
      <c r="B855" s="1" t="s">
        <v>1684</v>
      </c>
      <c r="C855" s="1" t="s">
        <v>1798</v>
      </c>
      <c r="D855" s="1" t="s">
        <v>10321</v>
      </c>
      <c r="E855" s="1" t="str">
        <f>"5855"</f>
        <v>5855</v>
      </c>
      <c r="F855" s="1" t="str">
        <f>"013637491"</f>
        <v>013637491</v>
      </c>
      <c r="G855" s="1" t="s">
        <v>1770</v>
      </c>
      <c r="H855" s="1" t="s">
        <v>16</v>
      </c>
      <c r="I855" s="4" t="str">
        <f>"1"</f>
        <v>1</v>
      </c>
      <c r="J855" s="2" t="str">
        <f>"6124"</f>
        <v>6124</v>
      </c>
      <c r="K855" s="3">
        <v>46167</v>
      </c>
      <c r="L855" s="3">
        <v>46179</v>
      </c>
      <c r="M855" s="1" t="s">
        <v>10320</v>
      </c>
      <c r="N855" s="1" t="s">
        <v>1820</v>
      </c>
    </row>
    <row r="856" spans="1:14" s="1" customFormat="1" x14ac:dyDescent="0.35">
      <c r="A856" s="1" t="s">
        <v>5171</v>
      </c>
      <c r="B856" s="1" t="s">
        <v>1684</v>
      </c>
      <c r="C856" s="1" t="s">
        <v>1798</v>
      </c>
      <c r="D856" s="1" t="s">
        <v>10319</v>
      </c>
      <c r="E856" s="1" t="str">
        <f>"5855"</f>
        <v>5855</v>
      </c>
      <c r="F856" s="1" t="str">
        <f>"013637491"</f>
        <v>013637491</v>
      </c>
      <c r="G856" s="1" t="s">
        <v>1770</v>
      </c>
      <c r="H856" s="1" t="s">
        <v>16</v>
      </c>
      <c r="I856" s="4" t="str">
        <f>"1"</f>
        <v>1</v>
      </c>
      <c r="J856" s="2" t="str">
        <f>"6124"</f>
        <v>6124</v>
      </c>
      <c r="K856" s="3">
        <v>46169</v>
      </c>
      <c r="L856" s="3">
        <v>46179</v>
      </c>
      <c r="M856" s="1" t="s">
        <v>10318</v>
      </c>
      <c r="N856" s="1" t="s">
        <v>1822</v>
      </c>
    </row>
    <row r="857" spans="1:14" s="1" customFormat="1" x14ac:dyDescent="0.35">
      <c r="A857" s="1" t="s">
        <v>5171</v>
      </c>
      <c r="B857" s="1" t="s">
        <v>1684</v>
      </c>
      <c r="C857" s="1" t="s">
        <v>1798</v>
      </c>
      <c r="D857" s="1" t="s">
        <v>10317</v>
      </c>
      <c r="E857" s="1" t="str">
        <f>"5855"</f>
        <v>5855</v>
      </c>
      <c r="F857" s="1" t="str">
        <f>"013637491"</f>
        <v>013637491</v>
      </c>
      <c r="G857" s="1" t="s">
        <v>1770</v>
      </c>
      <c r="H857" s="1" t="s">
        <v>16</v>
      </c>
      <c r="I857" s="4" t="str">
        <f>"1"</f>
        <v>1</v>
      </c>
      <c r="J857" s="2" t="str">
        <f>"6124"</f>
        <v>6124</v>
      </c>
      <c r="K857" s="3">
        <v>46169</v>
      </c>
      <c r="L857" s="3">
        <v>46179</v>
      </c>
      <c r="M857" s="1" t="s">
        <v>10316</v>
      </c>
      <c r="N857" s="1" t="s">
        <v>1822</v>
      </c>
    </row>
    <row r="858" spans="1:14" s="1" customFormat="1" x14ac:dyDescent="0.35">
      <c r="A858" s="1" t="s">
        <v>5171</v>
      </c>
      <c r="B858" s="1" t="s">
        <v>1684</v>
      </c>
      <c r="C858" s="1" t="s">
        <v>1798</v>
      </c>
      <c r="D858" s="1" t="s">
        <v>10315</v>
      </c>
      <c r="E858" s="1" t="str">
        <f>"5855"</f>
        <v>5855</v>
      </c>
      <c r="F858" s="1" t="str">
        <f>"014199429"</f>
        <v>014199429</v>
      </c>
      <c r="G858" s="1" t="s">
        <v>1770</v>
      </c>
      <c r="H858" s="1" t="s">
        <v>16</v>
      </c>
      <c r="I858" s="4" t="str">
        <f>"1"</f>
        <v>1</v>
      </c>
      <c r="J858" s="2" t="str">
        <f>"13003"</f>
        <v>13003</v>
      </c>
      <c r="K858" s="3">
        <v>46174</v>
      </c>
      <c r="L858" s="3">
        <v>46179</v>
      </c>
      <c r="M858" s="1" t="s">
        <v>10314</v>
      </c>
      <c r="N858" s="1" t="s">
        <v>10309</v>
      </c>
    </row>
    <row r="859" spans="1:14" s="1" customFormat="1" x14ac:dyDescent="0.35">
      <c r="A859" s="1" t="s">
        <v>5171</v>
      </c>
      <c r="B859" s="1" t="s">
        <v>1684</v>
      </c>
      <c r="C859" s="1" t="s">
        <v>1798</v>
      </c>
      <c r="D859" s="1" t="s">
        <v>10313</v>
      </c>
      <c r="E859" s="1" t="str">
        <f>"5855"</f>
        <v>5855</v>
      </c>
      <c r="F859" s="1" t="str">
        <f>"014199429"</f>
        <v>014199429</v>
      </c>
      <c r="G859" s="1" t="s">
        <v>1770</v>
      </c>
      <c r="H859" s="1" t="s">
        <v>16</v>
      </c>
      <c r="I859" s="4" t="str">
        <f>"1"</f>
        <v>1</v>
      </c>
      <c r="J859" s="2" t="str">
        <f>"13003"</f>
        <v>13003</v>
      </c>
      <c r="K859" s="3">
        <v>46174</v>
      </c>
      <c r="L859" s="3">
        <v>46179</v>
      </c>
      <c r="M859" s="1" t="s">
        <v>10312</v>
      </c>
      <c r="N859" s="1" t="s">
        <v>10309</v>
      </c>
    </row>
    <row r="860" spans="1:14" s="1" customFormat="1" x14ac:dyDescent="0.35">
      <c r="A860" s="1" t="s">
        <v>5171</v>
      </c>
      <c r="B860" s="1" t="s">
        <v>1684</v>
      </c>
      <c r="C860" s="1" t="s">
        <v>1798</v>
      </c>
      <c r="D860" s="1" t="s">
        <v>10311</v>
      </c>
      <c r="E860" s="1" t="str">
        <f>"5855"</f>
        <v>5855</v>
      </c>
      <c r="F860" s="1" t="str">
        <f>"014199429"</f>
        <v>014199429</v>
      </c>
      <c r="G860" s="1" t="s">
        <v>1770</v>
      </c>
      <c r="H860" s="1" t="s">
        <v>16</v>
      </c>
      <c r="I860" s="4" t="str">
        <f>"1"</f>
        <v>1</v>
      </c>
      <c r="J860" s="2" t="str">
        <f>"13003"</f>
        <v>13003</v>
      </c>
      <c r="K860" s="3">
        <v>46174</v>
      </c>
      <c r="L860" s="3">
        <v>46179</v>
      </c>
      <c r="M860" s="1" t="s">
        <v>10310</v>
      </c>
      <c r="N860" s="1" t="s">
        <v>10309</v>
      </c>
    </row>
    <row r="861" spans="1:14" s="1" customFormat="1" x14ac:dyDescent="0.35">
      <c r="A861" s="1" t="s">
        <v>5171</v>
      </c>
      <c r="B861" s="1" t="s">
        <v>1684</v>
      </c>
      <c r="C861" s="1" t="s">
        <v>1765</v>
      </c>
      <c r="D861" s="1" t="s">
        <v>10308</v>
      </c>
      <c r="E861" s="1" t="str">
        <f>"4240"</f>
        <v>4240</v>
      </c>
      <c r="F861" s="1" t="str">
        <f>"015388190"</f>
        <v>015388190</v>
      </c>
      <c r="G861" s="1" t="s">
        <v>6879</v>
      </c>
      <c r="H861" s="1" t="s">
        <v>16</v>
      </c>
      <c r="I861" s="4" t="str">
        <f>"16"</f>
        <v>16</v>
      </c>
      <c r="J861" s="2">
        <v>90.53</v>
      </c>
      <c r="K861" s="3">
        <v>46157</v>
      </c>
      <c r="L861" s="3">
        <v>46181</v>
      </c>
      <c r="M861" s="1" t="s">
        <v>10307</v>
      </c>
      <c r="N861" s="1" t="s">
        <v>10306</v>
      </c>
    </row>
    <row r="862" spans="1:14" s="1" customFormat="1" x14ac:dyDescent="0.35">
      <c r="A862" s="1" t="s">
        <v>5171</v>
      </c>
      <c r="B862" s="1" t="s">
        <v>1684</v>
      </c>
      <c r="C862" s="1" t="s">
        <v>1765</v>
      </c>
      <c r="D862" s="1" t="s">
        <v>10305</v>
      </c>
      <c r="E862" s="1" t="str">
        <f>"8415"</f>
        <v>8415</v>
      </c>
      <c r="F862" s="1" t="str">
        <f>"016411801"</f>
        <v>016411801</v>
      </c>
      <c r="G862" s="1" t="s">
        <v>672</v>
      </c>
      <c r="H862" s="1" t="s">
        <v>311</v>
      </c>
      <c r="I862" s="4" t="str">
        <f>"25"</f>
        <v>25</v>
      </c>
      <c r="J862" s="2">
        <v>108.96</v>
      </c>
      <c r="K862" s="3">
        <v>46157</v>
      </c>
      <c r="L862" s="3">
        <v>46181</v>
      </c>
      <c r="M862" s="1" t="s">
        <v>10304</v>
      </c>
      <c r="N862" s="1" t="s">
        <v>10303</v>
      </c>
    </row>
    <row r="863" spans="1:14" s="1" customFormat="1" x14ac:dyDescent="0.35">
      <c r="A863" s="1" t="s">
        <v>5171</v>
      </c>
      <c r="B863" s="1" t="s">
        <v>1684</v>
      </c>
      <c r="C863" s="1" t="s">
        <v>1798</v>
      </c>
      <c r="D863" s="1" t="s">
        <v>10302</v>
      </c>
      <c r="E863" s="1" t="str">
        <f>"5855"</f>
        <v>5855</v>
      </c>
      <c r="F863" s="1" t="str">
        <f>"015485687"</f>
        <v>015485687</v>
      </c>
      <c r="G863" s="1" t="s">
        <v>1921</v>
      </c>
      <c r="H863" s="1" t="s">
        <v>16</v>
      </c>
      <c r="I863" s="4" t="str">
        <f>"1"</f>
        <v>1</v>
      </c>
      <c r="J863" s="2" t="str">
        <f>"10402"</f>
        <v>10402</v>
      </c>
      <c r="K863" s="3">
        <v>46181</v>
      </c>
      <c r="L863" s="3">
        <v>46184</v>
      </c>
      <c r="M863" s="1" t="s">
        <v>10301</v>
      </c>
      <c r="N863" s="1" t="s">
        <v>10300</v>
      </c>
    </row>
    <row r="864" spans="1:14" s="1" customFormat="1" x14ac:dyDescent="0.35">
      <c r="A864" s="1" t="s">
        <v>5171</v>
      </c>
      <c r="B864" s="1" t="s">
        <v>1684</v>
      </c>
      <c r="C864" s="1" t="s">
        <v>1798</v>
      </c>
      <c r="D864" s="1" t="s">
        <v>10299</v>
      </c>
      <c r="E864" s="1" t="str">
        <f>"5855"</f>
        <v>5855</v>
      </c>
      <c r="F864" s="1" t="str">
        <f>"014199429"</f>
        <v>014199429</v>
      </c>
      <c r="G864" s="1" t="s">
        <v>1770</v>
      </c>
      <c r="H864" s="1" t="s">
        <v>16</v>
      </c>
      <c r="I864" s="4" t="str">
        <f>"1"</f>
        <v>1</v>
      </c>
      <c r="J864" s="2" t="str">
        <f>"13003"</f>
        <v>13003</v>
      </c>
      <c r="K864" s="3">
        <v>46167</v>
      </c>
      <c r="L864" s="3">
        <v>46202</v>
      </c>
      <c r="M864" s="1" t="s">
        <v>10298</v>
      </c>
      <c r="N864" s="1" t="s">
        <v>10295</v>
      </c>
    </row>
    <row r="865" spans="1:14" s="1" customFormat="1" x14ac:dyDescent="0.35">
      <c r="A865" s="1" t="s">
        <v>5171</v>
      </c>
      <c r="B865" s="1" t="s">
        <v>1684</v>
      </c>
      <c r="C865" s="1" t="s">
        <v>1798</v>
      </c>
      <c r="D865" s="1" t="s">
        <v>10297</v>
      </c>
      <c r="E865" s="1" t="str">
        <f>"5855"</f>
        <v>5855</v>
      </c>
      <c r="F865" s="1" t="str">
        <f>"014199429"</f>
        <v>014199429</v>
      </c>
      <c r="G865" s="1" t="s">
        <v>1770</v>
      </c>
      <c r="H865" s="1" t="s">
        <v>16</v>
      </c>
      <c r="I865" s="4" t="str">
        <f>"1"</f>
        <v>1</v>
      </c>
      <c r="J865" s="2" t="str">
        <f>"13003"</f>
        <v>13003</v>
      </c>
      <c r="K865" s="3">
        <v>46167</v>
      </c>
      <c r="L865" s="3">
        <v>46202</v>
      </c>
      <c r="M865" s="1" t="s">
        <v>10296</v>
      </c>
      <c r="N865" s="1" t="s">
        <v>10295</v>
      </c>
    </row>
    <row r="866" spans="1:14" s="1" customFormat="1" x14ac:dyDescent="0.35">
      <c r="A866" s="1" t="s">
        <v>0</v>
      </c>
      <c r="B866" s="1" t="s">
        <v>1684</v>
      </c>
      <c r="C866" s="1" t="s">
        <v>1685</v>
      </c>
      <c r="D866" s="1" t="s">
        <v>10294</v>
      </c>
      <c r="E866" s="1" t="str">
        <f>"8465"</f>
        <v>8465</v>
      </c>
      <c r="F866" s="1" t="s">
        <v>10292</v>
      </c>
      <c r="G866" s="1" t="s">
        <v>10291</v>
      </c>
      <c r="H866" s="1" t="s">
        <v>16</v>
      </c>
      <c r="I866" s="4" t="str">
        <f>"20"</f>
        <v>20</v>
      </c>
      <c r="J866" s="2" t="str">
        <f>"25"</f>
        <v>25</v>
      </c>
      <c r="K866" s="3">
        <v>46202</v>
      </c>
      <c r="L866" s="3">
        <v>46203</v>
      </c>
      <c r="M866" s="1" t="s">
        <v>10290</v>
      </c>
      <c r="N866" s="1" t="s">
        <v>10289</v>
      </c>
    </row>
    <row r="867" spans="1:14" s="1" customFormat="1" x14ac:dyDescent="0.35">
      <c r="A867" s="1" t="s">
        <v>0</v>
      </c>
      <c r="B867" s="1" t="s">
        <v>1684</v>
      </c>
      <c r="C867" s="1" t="s">
        <v>1685</v>
      </c>
      <c r="D867" s="1" t="s">
        <v>10293</v>
      </c>
      <c r="E867" s="1" t="str">
        <f>"8465"</f>
        <v>8465</v>
      </c>
      <c r="F867" s="1" t="s">
        <v>10292</v>
      </c>
      <c r="G867" s="1" t="s">
        <v>10291</v>
      </c>
      <c r="H867" s="1" t="s">
        <v>16</v>
      </c>
      <c r="I867" s="4" t="str">
        <f>"65"</f>
        <v>65</v>
      </c>
      <c r="J867" s="2" t="str">
        <f>"25"</f>
        <v>25</v>
      </c>
      <c r="K867" s="3">
        <v>46202</v>
      </c>
      <c r="L867" s="3">
        <v>46203</v>
      </c>
      <c r="M867" s="1" t="s">
        <v>10290</v>
      </c>
      <c r="N867" s="1" t="s">
        <v>10289</v>
      </c>
    </row>
    <row r="868" spans="1:14" s="1" customFormat="1" x14ac:dyDescent="0.35">
      <c r="A868" s="1" t="s">
        <v>5171</v>
      </c>
      <c r="B868" s="1" t="s">
        <v>1684</v>
      </c>
      <c r="C868" s="1" t="s">
        <v>1685</v>
      </c>
      <c r="D868" s="1" t="s">
        <v>10288</v>
      </c>
      <c r="E868" s="1" t="str">
        <f>"7240"</f>
        <v>7240</v>
      </c>
      <c r="F868" s="1" t="s">
        <v>8388</v>
      </c>
      <c r="G868" s="1" t="s">
        <v>8387</v>
      </c>
      <c r="H868" s="1" t="s">
        <v>16</v>
      </c>
      <c r="I868" s="4" t="str">
        <f>"2"</f>
        <v>2</v>
      </c>
      <c r="J868" s="2" t="str">
        <f>"50"</f>
        <v>50</v>
      </c>
      <c r="K868" s="3">
        <v>46202</v>
      </c>
      <c r="L868" s="3">
        <v>46203</v>
      </c>
      <c r="M868" s="1" t="s">
        <v>5167</v>
      </c>
      <c r="N868" s="1" t="s">
        <v>10287</v>
      </c>
    </row>
    <row r="869" spans="1:14" s="1" customFormat="1" x14ac:dyDescent="0.35">
      <c r="A869" s="1" t="s">
        <v>5171</v>
      </c>
      <c r="B869" s="1" t="s">
        <v>1885</v>
      </c>
      <c r="C869" s="1" t="s">
        <v>1912</v>
      </c>
      <c r="D869" s="1" t="s">
        <v>10286</v>
      </c>
      <c r="E869" s="1" t="str">
        <f>"2340"</f>
        <v>2340</v>
      </c>
      <c r="F869" s="1" t="s">
        <v>84</v>
      </c>
      <c r="G869" s="1" t="s">
        <v>85</v>
      </c>
      <c r="H869" s="1" t="s">
        <v>16</v>
      </c>
      <c r="I869" s="4" t="str">
        <f>"1"</f>
        <v>1</v>
      </c>
      <c r="J869" s="2">
        <v>16829.71</v>
      </c>
      <c r="K869" s="3">
        <v>46111</v>
      </c>
      <c r="L869" s="3">
        <v>46113</v>
      </c>
      <c r="M869" s="1" t="s">
        <v>10285</v>
      </c>
      <c r="N869" s="1" t="s">
        <v>10284</v>
      </c>
    </row>
    <row r="870" spans="1:14" s="1" customFormat="1" x14ac:dyDescent="0.35">
      <c r="A870" s="1" t="s">
        <v>5171</v>
      </c>
      <c r="B870" s="1" t="s">
        <v>1885</v>
      </c>
      <c r="C870" s="1" t="s">
        <v>1919</v>
      </c>
      <c r="D870" s="1" t="s">
        <v>10283</v>
      </c>
      <c r="E870" s="1" t="str">
        <f>"2340"</f>
        <v>2340</v>
      </c>
      <c r="F870" s="1" t="s">
        <v>84</v>
      </c>
      <c r="G870" s="1" t="s">
        <v>85</v>
      </c>
      <c r="H870" s="1" t="s">
        <v>16</v>
      </c>
      <c r="I870" s="4" t="str">
        <f>"1"</f>
        <v>1</v>
      </c>
      <c r="J870" s="2">
        <v>16829.71</v>
      </c>
      <c r="K870" s="3">
        <v>46111</v>
      </c>
      <c r="L870" s="3">
        <v>46113</v>
      </c>
      <c r="M870" s="1" t="s">
        <v>10282</v>
      </c>
      <c r="N870" s="1" t="s">
        <v>10281</v>
      </c>
    </row>
    <row r="871" spans="1:14" s="1" customFormat="1" x14ac:dyDescent="0.35">
      <c r="A871" s="1" t="s">
        <v>5171</v>
      </c>
      <c r="B871" s="1" t="s">
        <v>1885</v>
      </c>
      <c r="C871" s="1" t="s">
        <v>1912</v>
      </c>
      <c r="D871" s="1" t="s">
        <v>10280</v>
      </c>
      <c r="E871" s="1" t="str">
        <f>"2320"</f>
        <v>2320</v>
      </c>
      <c r="F871" s="1" t="str">
        <f>"015016635"</f>
        <v>015016635</v>
      </c>
      <c r="G871" s="1" t="s">
        <v>2303</v>
      </c>
      <c r="H871" s="1" t="s">
        <v>16</v>
      </c>
      <c r="I871" s="4" t="str">
        <f>"1"</f>
        <v>1</v>
      </c>
      <c r="J871" s="2" t="str">
        <f>"45602"</f>
        <v>45602</v>
      </c>
      <c r="K871" s="3">
        <v>46111</v>
      </c>
      <c r="L871" s="3">
        <v>46114</v>
      </c>
      <c r="M871" s="1" t="s">
        <v>10279</v>
      </c>
      <c r="N871" s="1" t="s">
        <v>10278</v>
      </c>
    </row>
    <row r="872" spans="1:14" s="1" customFormat="1" x14ac:dyDescent="0.35">
      <c r="A872" s="1" t="s">
        <v>5171</v>
      </c>
      <c r="B872" s="1" t="s">
        <v>1885</v>
      </c>
      <c r="C872" s="1" t="s">
        <v>1919</v>
      </c>
      <c r="D872" s="1" t="s">
        <v>10277</v>
      </c>
      <c r="E872" s="1" t="str">
        <f>"2320"</f>
        <v>2320</v>
      </c>
      <c r="F872" s="1" t="str">
        <f>"015016635"</f>
        <v>015016635</v>
      </c>
      <c r="G872" s="1" t="s">
        <v>2303</v>
      </c>
      <c r="H872" s="1" t="s">
        <v>16</v>
      </c>
      <c r="I872" s="4" t="str">
        <f>"1"</f>
        <v>1</v>
      </c>
      <c r="J872" s="2" t="str">
        <f>"45602"</f>
        <v>45602</v>
      </c>
      <c r="K872" s="3">
        <v>46111</v>
      </c>
      <c r="L872" s="3">
        <v>46114</v>
      </c>
      <c r="M872" s="1" t="s">
        <v>10276</v>
      </c>
      <c r="N872" s="1" t="s">
        <v>10275</v>
      </c>
    </row>
    <row r="873" spans="1:14" s="1" customFormat="1" x14ac:dyDescent="0.35">
      <c r="A873" s="1" t="s">
        <v>5171</v>
      </c>
      <c r="B873" s="1" t="s">
        <v>1885</v>
      </c>
      <c r="C873" s="1" t="s">
        <v>1919</v>
      </c>
      <c r="D873" s="1" t="s">
        <v>10274</v>
      </c>
      <c r="E873" s="1" t="str">
        <f>"7830"</f>
        <v>7830</v>
      </c>
      <c r="F873" s="1" t="s">
        <v>1871</v>
      </c>
      <c r="G873" s="1" t="s">
        <v>1872</v>
      </c>
      <c r="H873" s="1" t="s">
        <v>16</v>
      </c>
      <c r="I873" s="4" t="str">
        <f>"1"</f>
        <v>1</v>
      </c>
      <c r="J873" s="2" t="str">
        <f>"100"</f>
        <v>100</v>
      </c>
      <c r="K873" s="3">
        <v>46106</v>
      </c>
      <c r="L873" s="3">
        <v>46116</v>
      </c>
      <c r="M873" s="1" t="s">
        <v>10273</v>
      </c>
      <c r="N873" s="1" t="s">
        <v>10272</v>
      </c>
    </row>
    <row r="874" spans="1:14" s="1" customFormat="1" x14ac:dyDescent="0.35">
      <c r="A874" s="1" t="s">
        <v>5171</v>
      </c>
      <c r="B874" s="1" t="s">
        <v>1885</v>
      </c>
      <c r="C874" s="1" t="s">
        <v>1912</v>
      </c>
      <c r="D874" s="1" t="s">
        <v>10271</v>
      </c>
      <c r="E874" s="1" t="str">
        <f>"2310"</f>
        <v>2310</v>
      </c>
      <c r="F874" s="1" t="s">
        <v>178</v>
      </c>
      <c r="G874" s="1" t="s">
        <v>179</v>
      </c>
      <c r="H874" s="1" t="s">
        <v>16</v>
      </c>
      <c r="I874" s="4" t="str">
        <f>"1"</f>
        <v>1</v>
      </c>
      <c r="J874" s="2" t="str">
        <f>"3000"</f>
        <v>3000</v>
      </c>
      <c r="K874" s="3">
        <v>46112</v>
      </c>
      <c r="L874" s="3">
        <v>46123</v>
      </c>
      <c r="M874" s="1" t="s">
        <v>10270</v>
      </c>
      <c r="N874" s="1" t="s">
        <v>10269</v>
      </c>
    </row>
    <row r="875" spans="1:14" s="1" customFormat="1" x14ac:dyDescent="0.35">
      <c r="A875" s="1" t="s">
        <v>5171</v>
      </c>
      <c r="B875" s="1" t="s">
        <v>1885</v>
      </c>
      <c r="C875" s="1" t="s">
        <v>1916</v>
      </c>
      <c r="D875" s="1" t="s">
        <v>10268</v>
      </c>
      <c r="E875" s="1" t="str">
        <f>"8145"</f>
        <v>8145</v>
      </c>
      <c r="F875" s="1" t="s">
        <v>408</v>
      </c>
      <c r="G875" s="1" t="s">
        <v>409</v>
      </c>
      <c r="H875" s="1" t="s">
        <v>16</v>
      </c>
      <c r="I875" s="4" t="str">
        <f>"1"</f>
        <v>1</v>
      </c>
      <c r="J875" s="2" t="str">
        <f>"5000"</f>
        <v>5000</v>
      </c>
      <c r="K875" s="3">
        <v>46122</v>
      </c>
      <c r="L875" s="3">
        <v>46123</v>
      </c>
      <c r="M875" s="1" t="s">
        <v>5167</v>
      </c>
      <c r="N875" s="1" t="s">
        <v>10267</v>
      </c>
    </row>
    <row r="876" spans="1:14" s="1" customFormat="1" x14ac:dyDescent="0.35">
      <c r="A876" s="1" t="s">
        <v>5216</v>
      </c>
      <c r="B876" s="1" t="s">
        <v>1885</v>
      </c>
      <c r="C876" s="1" t="s">
        <v>1886</v>
      </c>
      <c r="D876" s="1" t="s">
        <v>10266</v>
      </c>
      <c r="E876" s="1" t="str">
        <f>"8415"</f>
        <v>8415</v>
      </c>
      <c r="F876" s="1" t="str">
        <f>"015801355"</f>
        <v>015801355</v>
      </c>
      <c r="G876" s="1" t="s">
        <v>493</v>
      </c>
      <c r="H876" s="1" t="s">
        <v>16</v>
      </c>
      <c r="I876" s="4" t="str">
        <f>"2"</f>
        <v>2</v>
      </c>
      <c r="J876" s="2">
        <v>80.94</v>
      </c>
      <c r="K876" s="3">
        <v>46121</v>
      </c>
      <c r="L876" s="3">
        <v>46125</v>
      </c>
      <c r="M876" s="1" t="s">
        <v>8184</v>
      </c>
      <c r="N876" s="1" t="s">
        <v>10265</v>
      </c>
    </row>
    <row r="877" spans="1:14" s="1" customFormat="1" x14ac:dyDescent="0.35">
      <c r="A877" s="1" t="s">
        <v>5216</v>
      </c>
      <c r="B877" s="1" t="s">
        <v>1885</v>
      </c>
      <c r="C877" s="1" t="s">
        <v>1886</v>
      </c>
      <c r="D877" s="1" t="s">
        <v>10264</v>
      </c>
      <c r="E877" s="1" t="str">
        <f>"8415"</f>
        <v>8415</v>
      </c>
      <c r="F877" s="1" t="str">
        <f>"015473513"</f>
        <v>015473513</v>
      </c>
      <c r="G877" s="1" t="s">
        <v>1205</v>
      </c>
      <c r="H877" s="1" t="s">
        <v>16</v>
      </c>
      <c r="I877" s="4" t="str">
        <f>"2"</f>
        <v>2</v>
      </c>
      <c r="J877" s="2">
        <v>182.66</v>
      </c>
      <c r="K877" s="3">
        <v>46121</v>
      </c>
      <c r="L877" s="3">
        <v>46125</v>
      </c>
      <c r="M877" s="1" t="s">
        <v>8184</v>
      </c>
      <c r="N877" s="1" t="s">
        <v>1896</v>
      </c>
    </row>
    <row r="878" spans="1:14" s="1" customFormat="1" x14ac:dyDescent="0.35">
      <c r="A878" s="1" t="s">
        <v>5216</v>
      </c>
      <c r="B878" s="1" t="s">
        <v>1885</v>
      </c>
      <c r="C878" s="1" t="s">
        <v>1886</v>
      </c>
      <c r="D878" s="1" t="s">
        <v>10263</v>
      </c>
      <c r="E878" s="1" t="str">
        <f>"8415"</f>
        <v>8415</v>
      </c>
      <c r="F878" s="1" t="str">
        <f>"012281320"</f>
        <v>012281320</v>
      </c>
      <c r="G878" s="1" t="s">
        <v>1203</v>
      </c>
      <c r="H878" s="1" t="s">
        <v>16</v>
      </c>
      <c r="I878" s="4" t="str">
        <f>"1"</f>
        <v>1</v>
      </c>
      <c r="J878" s="2">
        <v>155.33000000000001</v>
      </c>
      <c r="K878" s="3">
        <v>46121</v>
      </c>
      <c r="L878" s="3">
        <v>46125</v>
      </c>
      <c r="M878" s="1" t="s">
        <v>8184</v>
      </c>
      <c r="N878" s="1" t="s">
        <v>1896</v>
      </c>
    </row>
    <row r="879" spans="1:14" s="1" customFormat="1" x14ac:dyDescent="0.35">
      <c r="A879" s="1" t="s">
        <v>5216</v>
      </c>
      <c r="B879" s="1" t="s">
        <v>1885</v>
      </c>
      <c r="C879" s="1" t="s">
        <v>1886</v>
      </c>
      <c r="D879" s="1" t="s">
        <v>10262</v>
      </c>
      <c r="E879" s="1" t="str">
        <f>"8415"</f>
        <v>8415</v>
      </c>
      <c r="F879" s="1" t="str">
        <f>"015386300"</f>
        <v>015386300</v>
      </c>
      <c r="G879" s="1" t="s">
        <v>1718</v>
      </c>
      <c r="H879" s="1" t="s">
        <v>16</v>
      </c>
      <c r="I879" s="4" t="str">
        <f>"1"</f>
        <v>1</v>
      </c>
      <c r="J879" s="2">
        <v>137.97999999999999</v>
      </c>
      <c r="K879" s="3">
        <v>46121</v>
      </c>
      <c r="L879" s="3">
        <v>46125</v>
      </c>
      <c r="M879" s="1" t="s">
        <v>8184</v>
      </c>
      <c r="N879" s="1" t="s">
        <v>1896</v>
      </c>
    </row>
    <row r="880" spans="1:14" s="1" customFormat="1" x14ac:dyDescent="0.35">
      <c r="A880" s="1" t="s">
        <v>5216</v>
      </c>
      <c r="B880" s="1" t="s">
        <v>1885</v>
      </c>
      <c r="C880" s="1" t="s">
        <v>1886</v>
      </c>
      <c r="D880" s="1" t="s">
        <v>10261</v>
      </c>
      <c r="E880" s="1" t="str">
        <f>"8340"</f>
        <v>8340</v>
      </c>
      <c r="F880" s="1" t="str">
        <f>"016288855"</f>
        <v>016288855</v>
      </c>
      <c r="G880" s="1" t="s">
        <v>253</v>
      </c>
      <c r="H880" s="1" t="s">
        <v>16</v>
      </c>
      <c r="I880" s="4" t="str">
        <f>"2"</f>
        <v>2</v>
      </c>
      <c r="J880" s="2">
        <v>396.38</v>
      </c>
      <c r="K880" s="3">
        <v>46121</v>
      </c>
      <c r="L880" s="3">
        <v>46125</v>
      </c>
      <c r="M880" s="1" t="s">
        <v>8184</v>
      </c>
      <c r="N880" s="1" t="s">
        <v>1888</v>
      </c>
    </row>
    <row r="881" spans="1:14" s="1" customFormat="1" x14ac:dyDescent="0.35">
      <c r="A881" s="1" t="s">
        <v>5216</v>
      </c>
      <c r="B881" s="1" t="s">
        <v>1885</v>
      </c>
      <c r="C881" s="1" t="s">
        <v>1886</v>
      </c>
      <c r="D881" s="1" t="s">
        <v>10260</v>
      </c>
      <c r="E881" s="1" t="str">
        <f>"8415"</f>
        <v>8415</v>
      </c>
      <c r="F881" s="1" t="str">
        <f>"015387761"</f>
        <v>015387761</v>
      </c>
      <c r="G881" s="1" t="s">
        <v>1892</v>
      </c>
      <c r="H881" s="1" t="s">
        <v>16</v>
      </c>
      <c r="I881" s="4" t="str">
        <f>"3"</f>
        <v>3</v>
      </c>
      <c r="J881" s="2">
        <v>111.26</v>
      </c>
      <c r="K881" s="3">
        <v>46121</v>
      </c>
      <c r="L881" s="3">
        <v>46125</v>
      </c>
      <c r="M881" s="1" t="s">
        <v>8184</v>
      </c>
      <c r="N881" s="1" t="s">
        <v>1906</v>
      </c>
    </row>
    <row r="882" spans="1:14" s="1" customFormat="1" x14ac:dyDescent="0.35">
      <c r="A882" s="1" t="s">
        <v>5216</v>
      </c>
      <c r="B882" s="1" t="s">
        <v>1885</v>
      </c>
      <c r="C882" s="1" t="s">
        <v>1886</v>
      </c>
      <c r="D882" s="1" t="s">
        <v>10259</v>
      </c>
      <c r="E882" s="1" t="str">
        <f>"8415"</f>
        <v>8415</v>
      </c>
      <c r="F882" s="1" t="str">
        <f>"015801358"</f>
        <v>015801358</v>
      </c>
      <c r="G882" s="1" t="s">
        <v>493</v>
      </c>
      <c r="H882" s="1" t="s">
        <v>16</v>
      </c>
      <c r="I882" s="4" t="str">
        <f>"1"</f>
        <v>1</v>
      </c>
      <c r="J882" s="2">
        <v>80.94</v>
      </c>
      <c r="K882" s="3">
        <v>46121</v>
      </c>
      <c r="L882" s="3">
        <v>46125</v>
      </c>
      <c r="M882" s="1" t="s">
        <v>8184</v>
      </c>
      <c r="N882" s="1" t="s">
        <v>10251</v>
      </c>
    </row>
    <row r="883" spans="1:14" s="1" customFormat="1" x14ac:dyDescent="0.35">
      <c r="A883" s="1" t="s">
        <v>5216</v>
      </c>
      <c r="B883" s="1" t="s">
        <v>1885</v>
      </c>
      <c r="C883" s="1" t="s">
        <v>1886</v>
      </c>
      <c r="D883" s="1" t="s">
        <v>10258</v>
      </c>
      <c r="E883" s="1" t="str">
        <f>"8415"</f>
        <v>8415</v>
      </c>
      <c r="F883" s="1" t="str">
        <f>"015801348"</f>
        <v>015801348</v>
      </c>
      <c r="G883" s="1" t="s">
        <v>493</v>
      </c>
      <c r="H883" s="1" t="s">
        <v>16</v>
      </c>
      <c r="I883" s="4" t="str">
        <f>"2"</f>
        <v>2</v>
      </c>
      <c r="J883" s="2">
        <v>80.94</v>
      </c>
      <c r="K883" s="3">
        <v>46121</v>
      </c>
      <c r="L883" s="3">
        <v>46125</v>
      </c>
      <c r="M883" s="1" t="s">
        <v>8184</v>
      </c>
      <c r="N883" s="1" t="s">
        <v>10251</v>
      </c>
    </row>
    <row r="884" spans="1:14" s="1" customFormat="1" x14ac:dyDescent="0.35">
      <c r="A884" s="1" t="s">
        <v>5216</v>
      </c>
      <c r="B884" s="1" t="s">
        <v>1885</v>
      </c>
      <c r="C884" s="1" t="s">
        <v>1886</v>
      </c>
      <c r="D884" s="1" t="s">
        <v>10257</v>
      </c>
      <c r="E884" s="1" t="str">
        <f>"8415"</f>
        <v>8415</v>
      </c>
      <c r="F884" s="1" t="str">
        <f>"015801355"</f>
        <v>015801355</v>
      </c>
      <c r="G884" s="1" t="s">
        <v>493</v>
      </c>
      <c r="H884" s="1" t="s">
        <v>16</v>
      </c>
      <c r="I884" s="4" t="str">
        <f>"2"</f>
        <v>2</v>
      </c>
      <c r="J884" s="2">
        <v>80.94</v>
      </c>
      <c r="K884" s="3">
        <v>46121</v>
      </c>
      <c r="L884" s="3">
        <v>46125</v>
      </c>
      <c r="M884" s="1" t="s">
        <v>8184</v>
      </c>
      <c r="N884" s="1" t="s">
        <v>10251</v>
      </c>
    </row>
    <row r="885" spans="1:14" s="1" customFormat="1" x14ac:dyDescent="0.35">
      <c r="A885" s="1" t="s">
        <v>5216</v>
      </c>
      <c r="B885" s="1" t="s">
        <v>1885</v>
      </c>
      <c r="C885" s="1" t="s">
        <v>1886</v>
      </c>
      <c r="D885" s="1" t="s">
        <v>10256</v>
      </c>
      <c r="E885" s="1" t="str">
        <f>"8415"</f>
        <v>8415</v>
      </c>
      <c r="F885" s="1" t="str">
        <f>"015801341"</f>
        <v>015801341</v>
      </c>
      <c r="G885" s="1" t="s">
        <v>493</v>
      </c>
      <c r="H885" s="1" t="s">
        <v>16</v>
      </c>
      <c r="I885" s="4" t="str">
        <f>"2"</f>
        <v>2</v>
      </c>
      <c r="J885" s="2">
        <v>80.94</v>
      </c>
      <c r="K885" s="3">
        <v>46121</v>
      </c>
      <c r="L885" s="3">
        <v>46125</v>
      </c>
      <c r="M885" s="1" t="s">
        <v>8184</v>
      </c>
      <c r="N885" s="1" t="s">
        <v>10251</v>
      </c>
    </row>
    <row r="886" spans="1:14" s="1" customFormat="1" x14ac:dyDescent="0.35">
      <c r="A886" s="1" t="s">
        <v>5216</v>
      </c>
      <c r="B886" s="1" t="s">
        <v>1885</v>
      </c>
      <c r="C886" s="1" t="s">
        <v>1886</v>
      </c>
      <c r="D886" s="1" t="s">
        <v>10255</v>
      </c>
      <c r="E886" s="1" t="str">
        <f>"8415"</f>
        <v>8415</v>
      </c>
      <c r="F886" s="1" t="str">
        <f>"015801341"</f>
        <v>015801341</v>
      </c>
      <c r="G886" s="1" t="s">
        <v>493</v>
      </c>
      <c r="H886" s="1" t="s">
        <v>16</v>
      </c>
      <c r="I886" s="4" t="str">
        <f>"2"</f>
        <v>2</v>
      </c>
      <c r="J886" s="2">
        <v>80.94</v>
      </c>
      <c r="K886" s="3">
        <v>46121</v>
      </c>
      <c r="L886" s="3">
        <v>46125</v>
      </c>
      <c r="M886" s="1" t="s">
        <v>8184</v>
      </c>
      <c r="N886" s="1" t="s">
        <v>10251</v>
      </c>
    </row>
    <row r="887" spans="1:14" s="1" customFormat="1" x14ac:dyDescent="0.35">
      <c r="A887" s="1" t="s">
        <v>5216</v>
      </c>
      <c r="B887" s="1" t="s">
        <v>1885</v>
      </c>
      <c r="C887" s="1" t="s">
        <v>1886</v>
      </c>
      <c r="D887" s="1" t="s">
        <v>10254</v>
      </c>
      <c r="E887" s="1" t="str">
        <f>"8415"</f>
        <v>8415</v>
      </c>
      <c r="F887" s="1" t="str">
        <f>"015801348"</f>
        <v>015801348</v>
      </c>
      <c r="G887" s="1" t="s">
        <v>493</v>
      </c>
      <c r="H887" s="1" t="s">
        <v>16</v>
      </c>
      <c r="I887" s="4" t="str">
        <f>"5"</f>
        <v>5</v>
      </c>
      <c r="J887" s="2">
        <v>80.94</v>
      </c>
      <c r="K887" s="3">
        <v>46121</v>
      </c>
      <c r="L887" s="3">
        <v>46125</v>
      </c>
      <c r="M887" s="1" t="s">
        <v>8184</v>
      </c>
      <c r="N887" s="1" t="s">
        <v>10251</v>
      </c>
    </row>
    <row r="888" spans="1:14" s="1" customFormat="1" x14ac:dyDescent="0.35">
      <c r="A888" s="1" t="s">
        <v>5216</v>
      </c>
      <c r="B888" s="1" t="s">
        <v>1885</v>
      </c>
      <c r="C888" s="1" t="s">
        <v>1886</v>
      </c>
      <c r="D888" s="1" t="s">
        <v>10253</v>
      </c>
      <c r="E888" s="1" t="str">
        <f>"8415"</f>
        <v>8415</v>
      </c>
      <c r="F888" s="1" t="str">
        <f>"015801362"</f>
        <v>015801362</v>
      </c>
      <c r="G888" s="1" t="s">
        <v>493</v>
      </c>
      <c r="H888" s="1" t="s">
        <v>16</v>
      </c>
      <c r="I888" s="4" t="str">
        <f>"1"</f>
        <v>1</v>
      </c>
      <c r="J888" s="2">
        <v>80.94</v>
      </c>
      <c r="K888" s="3">
        <v>46121</v>
      </c>
      <c r="L888" s="3">
        <v>46125</v>
      </c>
      <c r="M888" s="1" t="s">
        <v>8184</v>
      </c>
      <c r="N888" s="1" t="s">
        <v>10251</v>
      </c>
    </row>
    <row r="889" spans="1:14" s="1" customFormat="1" x14ac:dyDescent="0.35">
      <c r="A889" s="1" t="s">
        <v>5216</v>
      </c>
      <c r="B889" s="1" t="s">
        <v>1885</v>
      </c>
      <c r="C889" s="1" t="s">
        <v>1886</v>
      </c>
      <c r="D889" s="1" t="s">
        <v>10252</v>
      </c>
      <c r="E889" s="1" t="str">
        <f>"8415"</f>
        <v>8415</v>
      </c>
      <c r="F889" s="1" t="str">
        <f>"015801362"</f>
        <v>015801362</v>
      </c>
      <c r="G889" s="1" t="s">
        <v>493</v>
      </c>
      <c r="H889" s="1" t="s">
        <v>16</v>
      </c>
      <c r="I889" s="4" t="str">
        <f>"1"</f>
        <v>1</v>
      </c>
      <c r="J889" s="2">
        <v>80.94</v>
      </c>
      <c r="K889" s="3">
        <v>46121</v>
      </c>
      <c r="L889" s="3">
        <v>46125</v>
      </c>
      <c r="M889" s="1" t="s">
        <v>8184</v>
      </c>
      <c r="N889" s="1" t="s">
        <v>10251</v>
      </c>
    </row>
    <row r="890" spans="1:14" s="1" customFormat="1" x14ac:dyDescent="0.35">
      <c r="A890" s="1" t="s">
        <v>5171</v>
      </c>
      <c r="B890" s="1" t="s">
        <v>1885</v>
      </c>
      <c r="C890" s="1" t="s">
        <v>1886</v>
      </c>
      <c r="D890" s="1" t="s">
        <v>10250</v>
      </c>
      <c r="E890" s="1" t="str">
        <f>"5855"</f>
        <v>5855</v>
      </c>
      <c r="F890" s="1" t="str">
        <f>"015330555"</f>
        <v>015330555</v>
      </c>
      <c r="G890" s="1" t="s">
        <v>462</v>
      </c>
      <c r="H890" s="1" t="s">
        <v>16</v>
      </c>
      <c r="I890" s="4" t="str">
        <f>"2"</f>
        <v>2</v>
      </c>
      <c r="J890" s="2" t="str">
        <f>"1800"</f>
        <v>1800</v>
      </c>
      <c r="K890" s="3">
        <v>46123</v>
      </c>
      <c r="L890" s="3">
        <v>46126</v>
      </c>
      <c r="M890" s="1" t="s">
        <v>10249</v>
      </c>
      <c r="N890" s="1" t="s">
        <v>10248</v>
      </c>
    </row>
    <row r="891" spans="1:14" s="1" customFormat="1" x14ac:dyDescent="0.35">
      <c r="A891" s="1" t="s">
        <v>5171</v>
      </c>
      <c r="B891" s="1" t="s">
        <v>1885</v>
      </c>
      <c r="C891" s="1" t="s">
        <v>1912</v>
      </c>
      <c r="D891" s="1" t="s">
        <v>10247</v>
      </c>
      <c r="E891" s="1" t="str">
        <f>"2320"</f>
        <v>2320</v>
      </c>
      <c r="F891" s="1" t="s">
        <v>975</v>
      </c>
      <c r="G891" s="1" t="s">
        <v>976</v>
      </c>
      <c r="H891" s="1" t="s">
        <v>16</v>
      </c>
      <c r="I891" s="4" t="str">
        <f>"1"</f>
        <v>1</v>
      </c>
      <c r="J891" s="2" t="str">
        <f>"25287"</f>
        <v>25287</v>
      </c>
      <c r="K891" s="3">
        <v>46118</v>
      </c>
      <c r="L891" s="3">
        <v>46130</v>
      </c>
      <c r="M891" s="1" t="s">
        <v>10246</v>
      </c>
      <c r="N891" s="1" t="s">
        <v>10245</v>
      </c>
    </row>
    <row r="892" spans="1:14" s="1" customFormat="1" x14ac:dyDescent="0.35">
      <c r="A892" s="1" t="s">
        <v>5171</v>
      </c>
      <c r="B892" s="1" t="s">
        <v>1885</v>
      </c>
      <c r="C892" s="1" t="s">
        <v>1919</v>
      </c>
      <c r="D892" s="1" t="s">
        <v>10244</v>
      </c>
      <c r="E892" s="1" t="str">
        <f>"7830"</f>
        <v>7830</v>
      </c>
      <c r="F892" s="1" t="s">
        <v>453</v>
      </c>
      <c r="G892" s="1" t="s">
        <v>454</v>
      </c>
      <c r="H892" s="1" t="s">
        <v>16</v>
      </c>
      <c r="I892" s="4" t="str">
        <f>"1"</f>
        <v>1</v>
      </c>
      <c r="J892" s="2">
        <v>2734.74</v>
      </c>
      <c r="K892" s="3">
        <v>46125</v>
      </c>
      <c r="L892" s="3">
        <v>46132</v>
      </c>
      <c r="M892" s="1" t="s">
        <v>10243</v>
      </c>
      <c r="N892" s="1" t="s">
        <v>10242</v>
      </c>
    </row>
    <row r="893" spans="1:14" s="1" customFormat="1" x14ac:dyDescent="0.35">
      <c r="A893" s="1" t="s">
        <v>5171</v>
      </c>
      <c r="B893" s="1" t="s">
        <v>1885</v>
      </c>
      <c r="C893" s="1" t="s">
        <v>1919</v>
      </c>
      <c r="D893" s="1" t="s">
        <v>10241</v>
      </c>
      <c r="E893" s="1" t="str">
        <f>"7830"</f>
        <v>7830</v>
      </c>
      <c r="F893" s="1" t="s">
        <v>1871</v>
      </c>
      <c r="G893" s="1" t="s">
        <v>1872</v>
      </c>
      <c r="H893" s="1" t="s">
        <v>16</v>
      </c>
      <c r="I893" s="4" t="str">
        <f>"1"</f>
        <v>1</v>
      </c>
      <c r="J893" s="2" t="str">
        <f>"100"</f>
        <v>100</v>
      </c>
      <c r="K893" s="3">
        <v>46105</v>
      </c>
      <c r="L893" s="3">
        <v>46134</v>
      </c>
      <c r="M893" s="1" t="s">
        <v>10240</v>
      </c>
      <c r="N893" s="1" t="s">
        <v>10239</v>
      </c>
    </row>
    <row r="894" spans="1:14" s="1" customFormat="1" x14ac:dyDescent="0.35">
      <c r="A894" s="1" t="s">
        <v>5171</v>
      </c>
      <c r="B894" s="1" t="s">
        <v>1885</v>
      </c>
      <c r="C894" s="1" t="s">
        <v>1912</v>
      </c>
      <c r="D894" s="1" t="s">
        <v>10238</v>
      </c>
      <c r="E894" s="1" t="str">
        <f>"2320"</f>
        <v>2320</v>
      </c>
      <c r="F894" s="1" t="str">
        <f>"009263656"</f>
        <v>009263656</v>
      </c>
      <c r="G894" s="1" t="s">
        <v>271</v>
      </c>
      <c r="H894" s="1" t="s">
        <v>16</v>
      </c>
      <c r="I894" s="4" t="str">
        <f>"1"</f>
        <v>1</v>
      </c>
      <c r="J894" s="2" t="str">
        <f>"4169"</f>
        <v>4169</v>
      </c>
      <c r="K894" s="3">
        <v>46120</v>
      </c>
      <c r="L894" s="3">
        <v>46135</v>
      </c>
      <c r="M894" s="1" t="s">
        <v>10237</v>
      </c>
      <c r="N894" s="1" t="s">
        <v>10236</v>
      </c>
    </row>
    <row r="895" spans="1:14" s="1" customFormat="1" x14ac:dyDescent="0.35">
      <c r="A895" s="1" t="s">
        <v>5171</v>
      </c>
      <c r="B895" s="1" t="s">
        <v>1885</v>
      </c>
      <c r="C895" s="1" t="s">
        <v>1886</v>
      </c>
      <c r="D895" s="1" t="s">
        <v>10235</v>
      </c>
      <c r="E895" s="1" t="str">
        <f>"8415"</f>
        <v>8415</v>
      </c>
      <c r="F895" s="1" t="str">
        <f>"016859064"</f>
        <v>016859064</v>
      </c>
      <c r="G895" s="1" t="s">
        <v>668</v>
      </c>
      <c r="H895" s="1" t="s">
        <v>311</v>
      </c>
      <c r="I895" s="4" t="str">
        <f>"4"</f>
        <v>4</v>
      </c>
      <c r="J895" s="2">
        <v>651.83000000000004</v>
      </c>
      <c r="K895" s="3">
        <v>46123</v>
      </c>
      <c r="L895" s="3">
        <v>46137</v>
      </c>
      <c r="M895" s="1" t="s">
        <v>10234</v>
      </c>
      <c r="N895" s="1" t="s">
        <v>10233</v>
      </c>
    </row>
    <row r="896" spans="1:14" s="1" customFormat="1" x14ac:dyDescent="0.35">
      <c r="A896" s="1" t="s">
        <v>5171</v>
      </c>
      <c r="B896" s="1" t="s">
        <v>1885</v>
      </c>
      <c r="C896" s="1" t="s">
        <v>1886</v>
      </c>
      <c r="D896" s="1" t="s">
        <v>10232</v>
      </c>
      <c r="E896" s="1" t="str">
        <f>"8415"</f>
        <v>8415</v>
      </c>
      <c r="F896" s="1" t="str">
        <f>"016858044"</f>
        <v>016858044</v>
      </c>
      <c r="G896" s="1" t="s">
        <v>493</v>
      </c>
      <c r="H896" s="1" t="s">
        <v>16</v>
      </c>
      <c r="I896" s="4" t="str">
        <f>"3"</f>
        <v>3</v>
      </c>
      <c r="J896" s="2">
        <v>647.54</v>
      </c>
      <c r="K896" s="3">
        <v>46123</v>
      </c>
      <c r="L896" s="3">
        <v>46137</v>
      </c>
      <c r="M896" s="1" t="s">
        <v>10231</v>
      </c>
      <c r="N896" s="1" t="s">
        <v>10230</v>
      </c>
    </row>
    <row r="897" spans="1:14" s="1" customFormat="1" x14ac:dyDescent="0.35">
      <c r="A897" s="1" t="s">
        <v>5171</v>
      </c>
      <c r="B897" s="1" t="s">
        <v>1885</v>
      </c>
      <c r="C897" s="1" t="s">
        <v>1919</v>
      </c>
      <c r="D897" s="1" t="s">
        <v>10229</v>
      </c>
      <c r="E897" s="1" t="str">
        <f>"7830"</f>
        <v>7830</v>
      </c>
      <c r="F897" s="1" t="s">
        <v>453</v>
      </c>
      <c r="G897" s="1" t="s">
        <v>454</v>
      </c>
      <c r="H897" s="1" t="s">
        <v>16</v>
      </c>
      <c r="I897" s="4" t="str">
        <f>"1"</f>
        <v>1</v>
      </c>
      <c r="J897" s="2">
        <v>2734.74</v>
      </c>
      <c r="K897" s="3">
        <v>46133</v>
      </c>
      <c r="L897" s="3">
        <v>46137</v>
      </c>
      <c r="M897" s="1" t="s">
        <v>5167</v>
      </c>
      <c r="N897" s="1" t="s">
        <v>10228</v>
      </c>
    </row>
    <row r="898" spans="1:14" s="1" customFormat="1" x14ac:dyDescent="0.35">
      <c r="A898" s="1" t="s">
        <v>5216</v>
      </c>
      <c r="B898" s="1" t="s">
        <v>1885</v>
      </c>
      <c r="C898" s="1" t="s">
        <v>1919</v>
      </c>
      <c r="D898" s="1" t="s">
        <v>10227</v>
      </c>
      <c r="E898" s="1" t="str">
        <f>"2320"</f>
        <v>2320</v>
      </c>
      <c r="F898" s="1" t="s">
        <v>9605</v>
      </c>
      <c r="G898" s="1" t="s">
        <v>9604</v>
      </c>
      <c r="H898" s="1" t="s">
        <v>16</v>
      </c>
      <c r="I898" s="4" t="str">
        <f>"1"</f>
        <v>1</v>
      </c>
      <c r="J898" s="2" t="str">
        <f>"94171"</f>
        <v>94171</v>
      </c>
      <c r="K898" s="3">
        <v>46138</v>
      </c>
      <c r="L898" s="3">
        <v>46140</v>
      </c>
      <c r="M898" s="1" t="s">
        <v>10226</v>
      </c>
      <c r="N898" s="1" t="s">
        <v>10225</v>
      </c>
    </row>
    <row r="899" spans="1:14" s="1" customFormat="1" x14ac:dyDescent="0.35">
      <c r="A899" s="1" t="s">
        <v>5171</v>
      </c>
      <c r="B899" s="1" t="s">
        <v>1885</v>
      </c>
      <c r="C899" s="1" t="s">
        <v>1886</v>
      </c>
      <c r="D899" s="1" t="s">
        <v>10224</v>
      </c>
      <c r="E899" s="1" t="str">
        <f>"8415"</f>
        <v>8415</v>
      </c>
      <c r="F899" s="1" t="str">
        <f>"015802502"</f>
        <v>015802502</v>
      </c>
      <c r="G899" s="1" t="s">
        <v>1988</v>
      </c>
      <c r="H899" s="1" t="s">
        <v>311</v>
      </c>
      <c r="I899" s="4" t="str">
        <f>"1"</f>
        <v>1</v>
      </c>
      <c r="J899" s="2">
        <v>120.1</v>
      </c>
      <c r="K899" s="3">
        <v>46131</v>
      </c>
      <c r="L899" s="3">
        <v>46144</v>
      </c>
      <c r="M899" s="1" t="s">
        <v>10223</v>
      </c>
      <c r="N899" s="1" t="s">
        <v>10222</v>
      </c>
    </row>
    <row r="900" spans="1:14" s="1" customFormat="1" x14ac:dyDescent="0.35">
      <c r="A900" s="1" t="s">
        <v>5171</v>
      </c>
      <c r="B900" s="1" t="s">
        <v>1885</v>
      </c>
      <c r="C900" s="1" t="s">
        <v>1916</v>
      </c>
      <c r="D900" s="1" t="s">
        <v>10221</v>
      </c>
      <c r="E900" s="1" t="str">
        <f>"8145"</f>
        <v>8145</v>
      </c>
      <c r="F900" s="1" t="s">
        <v>408</v>
      </c>
      <c r="G900" s="1" t="s">
        <v>409</v>
      </c>
      <c r="H900" s="1" t="s">
        <v>16</v>
      </c>
      <c r="I900" s="4" t="str">
        <f>"2"</f>
        <v>2</v>
      </c>
      <c r="J900" s="2">
        <v>1177.6099999999999</v>
      </c>
      <c r="K900" s="3">
        <v>46132</v>
      </c>
      <c r="L900" s="3">
        <v>46144</v>
      </c>
      <c r="M900" s="1" t="s">
        <v>10220</v>
      </c>
      <c r="N900" s="1" t="s">
        <v>10219</v>
      </c>
    </row>
    <row r="901" spans="1:14" s="1" customFormat="1" x14ac:dyDescent="0.35">
      <c r="A901" s="1" t="s">
        <v>5171</v>
      </c>
      <c r="B901" s="1" t="s">
        <v>1885</v>
      </c>
      <c r="C901" s="1" t="s">
        <v>1916</v>
      </c>
      <c r="D901" s="1" t="s">
        <v>10218</v>
      </c>
      <c r="E901" s="1" t="str">
        <f>"2320"</f>
        <v>2320</v>
      </c>
      <c r="F901" s="1" t="s">
        <v>2218</v>
      </c>
      <c r="G901" s="1" t="s">
        <v>2219</v>
      </c>
      <c r="H901" s="1" t="s">
        <v>16</v>
      </c>
      <c r="I901" s="4" t="str">
        <f>"1"</f>
        <v>1</v>
      </c>
      <c r="J901" s="2" t="str">
        <f>"10000"</f>
        <v>10000</v>
      </c>
      <c r="K901" s="3">
        <v>46139</v>
      </c>
      <c r="L901" s="3">
        <v>46151</v>
      </c>
      <c r="M901" s="1" t="s">
        <v>5167</v>
      </c>
      <c r="N901" s="1" t="s">
        <v>10217</v>
      </c>
    </row>
    <row r="902" spans="1:14" s="1" customFormat="1" x14ac:dyDescent="0.35">
      <c r="A902" s="1" t="s">
        <v>5171</v>
      </c>
      <c r="B902" s="1" t="s">
        <v>1885</v>
      </c>
      <c r="C902" s="1" t="s">
        <v>10216</v>
      </c>
      <c r="D902" s="1" t="s">
        <v>10215</v>
      </c>
      <c r="E902" s="1" t="str">
        <f>"1385"</f>
        <v>1385</v>
      </c>
      <c r="F902" s="1" t="str">
        <f>"015744707"</f>
        <v>015744707</v>
      </c>
      <c r="G902" s="1" t="s">
        <v>2463</v>
      </c>
      <c r="H902" s="1" t="s">
        <v>16</v>
      </c>
      <c r="I902" s="4" t="str">
        <f>"1"</f>
        <v>1</v>
      </c>
      <c r="J902" s="2" t="str">
        <f>"10000"</f>
        <v>10000</v>
      </c>
      <c r="K902" s="3">
        <v>46147</v>
      </c>
      <c r="L902" s="3">
        <v>46151</v>
      </c>
      <c r="M902" s="1" t="s">
        <v>5167</v>
      </c>
      <c r="N902" s="1" t="s">
        <v>10214</v>
      </c>
    </row>
    <row r="903" spans="1:14" s="1" customFormat="1" x14ac:dyDescent="0.35">
      <c r="A903" s="1" t="s">
        <v>5171</v>
      </c>
      <c r="B903" s="1" t="s">
        <v>1885</v>
      </c>
      <c r="C903" s="1" t="s">
        <v>1919</v>
      </c>
      <c r="D903" s="1" t="s">
        <v>10213</v>
      </c>
      <c r="E903" s="1" t="str">
        <f>"7830"</f>
        <v>7830</v>
      </c>
      <c r="F903" s="1" t="s">
        <v>453</v>
      </c>
      <c r="G903" s="1" t="s">
        <v>454</v>
      </c>
      <c r="H903" s="1" t="s">
        <v>16</v>
      </c>
      <c r="I903" s="4" t="str">
        <f>"1"</f>
        <v>1</v>
      </c>
      <c r="J903" s="2">
        <v>4264.74</v>
      </c>
      <c r="K903" s="3">
        <v>46139</v>
      </c>
      <c r="L903" s="3">
        <v>46151</v>
      </c>
      <c r="M903" s="1" t="s">
        <v>10212</v>
      </c>
      <c r="N903" s="1" t="s">
        <v>1924</v>
      </c>
    </row>
    <row r="904" spans="1:14" s="1" customFormat="1" x14ac:dyDescent="0.35">
      <c r="A904" s="1" t="s">
        <v>5171</v>
      </c>
      <c r="B904" s="1" t="s">
        <v>1885</v>
      </c>
      <c r="C904" s="1" t="s">
        <v>1919</v>
      </c>
      <c r="D904" s="1" t="s">
        <v>10211</v>
      </c>
      <c r="E904" s="1" t="str">
        <f>"2360"</f>
        <v>2360</v>
      </c>
      <c r="F904" s="1" t="str">
        <f>"015900772"</f>
        <v>015900772</v>
      </c>
      <c r="G904" s="1" t="s">
        <v>1695</v>
      </c>
      <c r="H904" s="1" t="s">
        <v>16</v>
      </c>
      <c r="I904" s="4" t="str">
        <f>"2"</f>
        <v>2</v>
      </c>
      <c r="J904" s="2" t="str">
        <f>"232404"</f>
        <v>232404</v>
      </c>
      <c r="K904" s="3">
        <v>46128</v>
      </c>
      <c r="L904" s="3">
        <v>46156</v>
      </c>
      <c r="M904" s="1" t="s">
        <v>10210</v>
      </c>
      <c r="N904" s="1" t="s">
        <v>10209</v>
      </c>
    </row>
    <row r="905" spans="1:14" s="1" customFormat="1" x14ac:dyDescent="0.35">
      <c r="A905" s="1" t="s">
        <v>5171</v>
      </c>
      <c r="B905" s="1" t="s">
        <v>1885</v>
      </c>
      <c r="C905" s="1" t="s">
        <v>1886</v>
      </c>
      <c r="D905" s="1" t="s">
        <v>10208</v>
      </c>
      <c r="E905" s="1" t="str">
        <f>"8415"</f>
        <v>8415</v>
      </c>
      <c r="F905" s="1" t="str">
        <f>"015802854"</f>
        <v>015802854</v>
      </c>
      <c r="G905" s="1" t="s">
        <v>1892</v>
      </c>
      <c r="H905" s="1" t="s">
        <v>16</v>
      </c>
      <c r="I905" s="4" t="str">
        <f>"1"</f>
        <v>1</v>
      </c>
      <c r="J905" s="2">
        <v>146.83000000000001</v>
      </c>
      <c r="K905" s="3">
        <v>46131</v>
      </c>
      <c r="L905" s="3">
        <v>46157</v>
      </c>
      <c r="M905" s="1" t="s">
        <v>10207</v>
      </c>
      <c r="N905" s="1" t="s">
        <v>1906</v>
      </c>
    </row>
    <row r="906" spans="1:14" s="1" customFormat="1" x14ac:dyDescent="0.35">
      <c r="A906" s="1" t="s">
        <v>5171</v>
      </c>
      <c r="B906" s="1" t="s">
        <v>1885</v>
      </c>
      <c r="C906" s="1" t="s">
        <v>1886</v>
      </c>
      <c r="D906" s="1" t="s">
        <v>10206</v>
      </c>
      <c r="E906" s="1" t="str">
        <f>"8415"</f>
        <v>8415</v>
      </c>
      <c r="F906" s="1" t="str">
        <f>"015802861"</f>
        <v>015802861</v>
      </c>
      <c r="G906" s="1" t="s">
        <v>1892</v>
      </c>
      <c r="H906" s="1" t="s">
        <v>16</v>
      </c>
      <c r="I906" s="4" t="str">
        <f>"1"</f>
        <v>1</v>
      </c>
      <c r="J906" s="2">
        <v>146.81</v>
      </c>
      <c r="K906" s="3">
        <v>46131</v>
      </c>
      <c r="L906" s="3">
        <v>46160</v>
      </c>
      <c r="M906" s="1" t="s">
        <v>10205</v>
      </c>
      <c r="N906" s="1" t="s">
        <v>1906</v>
      </c>
    </row>
    <row r="907" spans="1:14" s="1" customFormat="1" x14ac:dyDescent="0.35">
      <c r="A907" s="1" t="s">
        <v>5171</v>
      </c>
      <c r="B907" s="1" t="s">
        <v>1885</v>
      </c>
      <c r="C907" s="1" t="s">
        <v>1886</v>
      </c>
      <c r="D907" s="1" t="s">
        <v>10204</v>
      </c>
      <c r="E907" s="1" t="str">
        <f>"1240"</f>
        <v>1240</v>
      </c>
      <c r="F907" s="1" t="str">
        <f>"016104844"</f>
        <v>016104844</v>
      </c>
      <c r="G907" s="1" t="s">
        <v>9451</v>
      </c>
      <c r="H907" s="1" t="s">
        <v>16</v>
      </c>
      <c r="I907" s="4" t="str">
        <f>"1"</f>
        <v>1</v>
      </c>
      <c r="J907" s="2" t="str">
        <f>"2521"</f>
        <v>2521</v>
      </c>
      <c r="K907" s="3">
        <v>46165</v>
      </c>
      <c r="L907" s="3">
        <v>46166</v>
      </c>
      <c r="M907" s="1" t="s">
        <v>5167</v>
      </c>
      <c r="N907" s="1" t="s">
        <v>10203</v>
      </c>
    </row>
    <row r="908" spans="1:14" s="1" customFormat="1" x14ac:dyDescent="0.35">
      <c r="A908" s="1" t="s">
        <v>0</v>
      </c>
      <c r="B908" s="1" t="s">
        <v>1885</v>
      </c>
      <c r="C908" s="1" t="s">
        <v>1919</v>
      </c>
      <c r="D908" s="1" t="s">
        <v>10202</v>
      </c>
      <c r="E908" s="1" t="str">
        <f>"2340"</f>
        <v>2340</v>
      </c>
      <c r="F908" s="1" t="s">
        <v>61</v>
      </c>
      <c r="G908" s="1" t="s">
        <v>62</v>
      </c>
      <c r="H908" s="1" t="s">
        <v>16</v>
      </c>
      <c r="I908" s="4" t="str">
        <f>"1"</f>
        <v>1</v>
      </c>
      <c r="J908" s="2" t="str">
        <f>"16913"</f>
        <v>16913</v>
      </c>
      <c r="K908" s="3">
        <v>46165</v>
      </c>
      <c r="L908" s="3">
        <v>46170</v>
      </c>
      <c r="M908" s="1" t="s">
        <v>10201</v>
      </c>
      <c r="N908" s="1" t="s">
        <v>10200</v>
      </c>
    </row>
    <row r="909" spans="1:14" s="1" customFormat="1" x14ac:dyDescent="0.35">
      <c r="A909" s="1" t="s">
        <v>5171</v>
      </c>
      <c r="B909" s="1" t="s">
        <v>1885</v>
      </c>
      <c r="C909" s="1" t="s">
        <v>1919</v>
      </c>
      <c r="D909" s="1" t="s">
        <v>10199</v>
      </c>
      <c r="E909" s="1" t="str">
        <f>"2340"</f>
        <v>2340</v>
      </c>
      <c r="F909" s="1" t="s">
        <v>61</v>
      </c>
      <c r="G909" s="1" t="s">
        <v>62</v>
      </c>
      <c r="H909" s="1" t="s">
        <v>16</v>
      </c>
      <c r="I909" s="4" t="str">
        <f>"1"</f>
        <v>1</v>
      </c>
      <c r="J909" s="2" t="str">
        <f>"4918"</f>
        <v>4918</v>
      </c>
      <c r="K909" s="3">
        <v>46158</v>
      </c>
      <c r="L909" s="3">
        <v>46172</v>
      </c>
      <c r="M909" s="1" t="s">
        <v>10198</v>
      </c>
      <c r="N909" s="1" t="s">
        <v>10197</v>
      </c>
    </row>
    <row r="910" spans="1:14" s="1" customFormat="1" x14ac:dyDescent="0.35">
      <c r="A910" s="1" t="s">
        <v>5171</v>
      </c>
      <c r="B910" s="1" t="s">
        <v>1885</v>
      </c>
      <c r="C910" s="1" t="s">
        <v>1919</v>
      </c>
      <c r="D910" s="1" t="s">
        <v>10196</v>
      </c>
      <c r="E910" s="1" t="str">
        <f>"5855"</f>
        <v>5855</v>
      </c>
      <c r="F910" s="1" t="str">
        <f>"015485687"</f>
        <v>015485687</v>
      </c>
      <c r="G910" s="1" t="s">
        <v>1921</v>
      </c>
      <c r="H910" s="1" t="s">
        <v>16</v>
      </c>
      <c r="I910" s="4" t="str">
        <f>"1"</f>
        <v>1</v>
      </c>
      <c r="J910" s="2" t="str">
        <f>"10402"</f>
        <v>10402</v>
      </c>
      <c r="K910" s="3">
        <v>46157</v>
      </c>
      <c r="L910" s="3">
        <v>46178</v>
      </c>
      <c r="M910" s="1" t="s">
        <v>10195</v>
      </c>
      <c r="N910" s="1" t="s">
        <v>1922</v>
      </c>
    </row>
    <row r="911" spans="1:14" s="1" customFormat="1" x14ac:dyDescent="0.35">
      <c r="A911" s="1" t="s">
        <v>5171</v>
      </c>
      <c r="B911" s="1" t="s">
        <v>1885</v>
      </c>
      <c r="C911" s="1" t="s">
        <v>1919</v>
      </c>
      <c r="D911" s="1" t="s">
        <v>10194</v>
      </c>
      <c r="E911" s="1" t="str">
        <f>"5855"</f>
        <v>5855</v>
      </c>
      <c r="F911" s="1" t="str">
        <f>"014199429"</f>
        <v>014199429</v>
      </c>
      <c r="G911" s="1" t="s">
        <v>1770</v>
      </c>
      <c r="H911" s="1" t="s">
        <v>16</v>
      </c>
      <c r="I911" s="4" t="str">
        <f>"1"</f>
        <v>1</v>
      </c>
      <c r="J911" s="2" t="str">
        <f>"13003"</f>
        <v>13003</v>
      </c>
      <c r="K911" s="3">
        <v>46170</v>
      </c>
      <c r="L911" s="3">
        <v>46179</v>
      </c>
      <c r="M911" s="1" t="s">
        <v>10193</v>
      </c>
      <c r="N911" s="1" t="s">
        <v>10186</v>
      </c>
    </row>
    <row r="912" spans="1:14" s="1" customFormat="1" x14ac:dyDescent="0.35">
      <c r="A912" s="1" t="s">
        <v>5171</v>
      </c>
      <c r="B912" s="1" t="s">
        <v>1885</v>
      </c>
      <c r="C912" s="1" t="s">
        <v>1919</v>
      </c>
      <c r="D912" s="1" t="s">
        <v>10192</v>
      </c>
      <c r="E912" s="1" t="str">
        <f>"5855"</f>
        <v>5855</v>
      </c>
      <c r="F912" s="1" t="str">
        <f>"014199429"</f>
        <v>014199429</v>
      </c>
      <c r="G912" s="1" t="s">
        <v>1770</v>
      </c>
      <c r="H912" s="1" t="s">
        <v>16</v>
      </c>
      <c r="I912" s="4" t="str">
        <f>"1"</f>
        <v>1</v>
      </c>
      <c r="J912" s="2" t="str">
        <f>"13003"</f>
        <v>13003</v>
      </c>
      <c r="K912" s="3">
        <v>46170</v>
      </c>
      <c r="L912" s="3">
        <v>46179</v>
      </c>
      <c r="M912" s="1" t="s">
        <v>10191</v>
      </c>
      <c r="N912" s="1" t="s">
        <v>10186</v>
      </c>
    </row>
    <row r="913" spans="1:14" s="1" customFormat="1" x14ac:dyDescent="0.35">
      <c r="A913" s="1" t="s">
        <v>5171</v>
      </c>
      <c r="B913" s="1" t="s">
        <v>1885</v>
      </c>
      <c r="C913" s="1" t="s">
        <v>1919</v>
      </c>
      <c r="D913" s="1" t="s">
        <v>10190</v>
      </c>
      <c r="E913" s="1" t="str">
        <f>"5855"</f>
        <v>5855</v>
      </c>
      <c r="F913" s="1" t="str">
        <f>"014199429"</f>
        <v>014199429</v>
      </c>
      <c r="G913" s="1" t="s">
        <v>1770</v>
      </c>
      <c r="H913" s="1" t="s">
        <v>16</v>
      </c>
      <c r="I913" s="4" t="str">
        <f>"1"</f>
        <v>1</v>
      </c>
      <c r="J913" s="2" t="str">
        <f>"13003"</f>
        <v>13003</v>
      </c>
      <c r="K913" s="3">
        <v>46170</v>
      </c>
      <c r="L913" s="3">
        <v>46179</v>
      </c>
      <c r="M913" s="1" t="s">
        <v>10189</v>
      </c>
      <c r="N913" s="1" t="s">
        <v>10186</v>
      </c>
    </row>
    <row r="914" spans="1:14" s="1" customFormat="1" x14ac:dyDescent="0.35">
      <c r="A914" s="1" t="s">
        <v>5171</v>
      </c>
      <c r="B914" s="1" t="s">
        <v>1885</v>
      </c>
      <c r="C914" s="1" t="s">
        <v>1919</v>
      </c>
      <c r="D914" s="1" t="s">
        <v>10188</v>
      </c>
      <c r="E914" s="1" t="str">
        <f>"5855"</f>
        <v>5855</v>
      </c>
      <c r="F914" s="1" t="str">
        <f>"014199429"</f>
        <v>014199429</v>
      </c>
      <c r="G914" s="1" t="s">
        <v>1770</v>
      </c>
      <c r="H914" s="1" t="s">
        <v>16</v>
      </c>
      <c r="I914" s="4" t="str">
        <f>"1"</f>
        <v>1</v>
      </c>
      <c r="J914" s="2" t="str">
        <f>"13003"</f>
        <v>13003</v>
      </c>
      <c r="K914" s="3">
        <v>46170</v>
      </c>
      <c r="L914" s="3">
        <v>46179</v>
      </c>
      <c r="M914" s="1" t="s">
        <v>10187</v>
      </c>
      <c r="N914" s="1" t="s">
        <v>10186</v>
      </c>
    </row>
    <row r="915" spans="1:14" s="1" customFormat="1" x14ac:dyDescent="0.35">
      <c r="A915" s="1" t="s">
        <v>5171</v>
      </c>
      <c r="B915" s="1" t="s">
        <v>1885</v>
      </c>
      <c r="C915" s="1" t="s">
        <v>1912</v>
      </c>
      <c r="D915" s="1" t="s">
        <v>10185</v>
      </c>
      <c r="E915" s="1" t="str">
        <f>"2340"</f>
        <v>2340</v>
      </c>
      <c r="F915" s="1" t="s">
        <v>2017</v>
      </c>
      <c r="G915" s="1" t="s">
        <v>2018</v>
      </c>
      <c r="H915" s="1" t="s">
        <v>16</v>
      </c>
      <c r="I915" s="4" t="str">
        <f>"1"</f>
        <v>1</v>
      </c>
      <c r="J915" s="2" t="str">
        <f>"3938"</f>
        <v>3938</v>
      </c>
      <c r="K915" s="3">
        <v>46178</v>
      </c>
      <c r="L915" s="3">
        <v>46185</v>
      </c>
      <c r="M915" s="1" t="s">
        <v>10184</v>
      </c>
      <c r="N915" s="1" t="s">
        <v>10183</v>
      </c>
    </row>
    <row r="916" spans="1:14" s="1" customFormat="1" x14ac:dyDescent="0.35">
      <c r="A916" s="1" t="s">
        <v>5171</v>
      </c>
      <c r="B916" s="1" t="s">
        <v>1885</v>
      </c>
      <c r="C916" s="1" t="s">
        <v>1919</v>
      </c>
      <c r="D916" s="1" t="s">
        <v>10182</v>
      </c>
      <c r="E916" s="1" t="str">
        <f>"5180"</f>
        <v>5180</v>
      </c>
      <c r="F916" s="1" t="s">
        <v>88</v>
      </c>
      <c r="G916" s="1" t="s">
        <v>89</v>
      </c>
      <c r="H916" s="1" t="s">
        <v>16</v>
      </c>
      <c r="I916" s="4" t="str">
        <f>"2"</f>
        <v>2</v>
      </c>
      <c r="J916" s="2">
        <v>2470.17</v>
      </c>
      <c r="K916" s="3">
        <v>46174</v>
      </c>
      <c r="L916" s="3">
        <v>46186</v>
      </c>
      <c r="M916" s="1" t="s">
        <v>10181</v>
      </c>
      <c r="N916" s="1" t="s">
        <v>10180</v>
      </c>
    </row>
    <row r="917" spans="1:14" s="1" customFormat="1" x14ac:dyDescent="0.35">
      <c r="A917" s="1" t="s">
        <v>5171</v>
      </c>
      <c r="B917" s="1" t="s">
        <v>1885</v>
      </c>
      <c r="C917" s="1" t="s">
        <v>1919</v>
      </c>
      <c r="D917" s="1" t="s">
        <v>10179</v>
      </c>
      <c r="E917" s="1" t="str">
        <f>"7830"</f>
        <v>7830</v>
      </c>
      <c r="F917" s="1" t="str">
        <f>"016751851"</f>
        <v>016751851</v>
      </c>
      <c r="G917" s="1" t="s">
        <v>2066</v>
      </c>
      <c r="H917" s="1" t="s">
        <v>16</v>
      </c>
      <c r="I917" s="4" t="str">
        <f>"5"</f>
        <v>5</v>
      </c>
      <c r="J917" s="2" t="str">
        <f>"2585"</f>
        <v>2585</v>
      </c>
      <c r="K917" s="3">
        <v>46177</v>
      </c>
      <c r="L917" s="3">
        <v>46186</v>
      </c>
      <c r="M917" s="1" t="s">
        <v>10178</v>
      </c>
      <c r="N917" s="1" t="s">
        <v>10177</v>
      </c>
    </row>
    <row r="918" spans="1:14" s="1" customFormat="1" x14ac:dyDescent="0.35">
      <c r="A918" s="1" t="s">
        <v>5171</v>
      </c>
      <c r="B918" s="1" t="s">
        <v>1885</v>
      </c>
      <c r="C918" s="1" t="s">
        <v>1919</v>
      </c>
      <c r="D918" s="1" t="s">
        <v>10176</v>
      </c>
      <c r="E918" s="1" t="str">
        <f>"2330"</f>
        <v>2330</v>
      </c>
      <c r="F918" s="1" t="s">
        <v>70</v>
      </c>
      <c r="G918" s="1" t="s">
        <v>71</v>
      </c>
      <c r="H918" s="1" t="s">
        <v>16</v>
      </c>
      <c r="I918" s="4" t="str">
        <f>"1"</f>
        <v>1</v>
      </c>
      <c r="J918" s="2" t="str">
        <f>"26680"</f>
        <v>26680</v>
      </c>
      <c r="K918" s="3">
        <v>46186</v>
      </c>
      <c r="L918" s="3">
        <v>46191</v>
      </c>
      <c r="M918" s="1" t="s">
        <v>5167</v>
      </c>
      <c r="N918" s="1" t="s">
        <v>10174</v>
      </c>
    </row>
    <row r="919" spans="1:14" s="1" customFormat="1" x14ac:dyDescent="0.35">
      <c r="A919" s="1" t="s">
        <v>5171</v>
      </c>
      <c r="B919" s="1" t="s">
        <v>1885</v>
      </c>
      <c r="C919" s="1" t="s">
        <v>1919</v>
      </c>
      <c r="D919" s="1" t="s">
        <v>10175</v>
      </c>
      <c r="E919" s="1" t="str">
        <f>"2330"</f>
        <v>2330</v>
      </c>
      <c r="F919" s="1" t="s">
        <v>70</v>
      </c>
      <c r="G919" s="1" t="s">
        <v>71</v>
      </c>
      <c r="H919" s="1" t="s">
        <v>16</v>
      </c>
      <c r="I919" s="4" t="str">
        <f>"1"</f>
        <v>1</v>
      </c>
      <c r="J919" s="2" t="str">
        <f>"26680"</f>
        <v>26680</v>
      </c>
      <c r="K919" s="3">
        <v>46186</v>
      </c>
      <c r="L919" s="3">
        <v>46200</v>
      </c>
      <c r="M919" s="1" t="s">
        <v>5167</v>
      </c>
      <c r="N919" s="1" t="s">
        <v>10174</v>
      </c>
    </row>
    <row r="920" spans="1:14" s="1" customFormat="1" x14ac:dyDescent="0.35">
      <c r="A920" s="1" t="s">
        <v>5216</v>
      </c>
      <c r="B920" s="1" t="s">
        <v>1885</v>
      </c>
      <c r="C920" s="1" t="s">
        <v>1919</v>
      </c>
      <c r="D920" s="1" t="s">
        <v>10173</v>
      </c>
      <c r="E920" s="1" t="str">
        <f>"2320"</f>
        <v>2320</v>
      </c>
      <c r="F920" s="1" t="str">
        <f>"015377753"</f>
        <v>015377753</v>
      </c>
      <c r="G920" s="1" t="s">
        <v>370</v>
      </c>
      <c r="H920" s="1" t="s">
        <v>16</v>
      </c>
      <c r="I920" s="4" t="str">
        <f>"1"</f>
        <v>1</v>
      </c>
      <c r="J920" s="2" t="str">
        <f>"119900"</f>
        <v>119900</v>
      </c>
      <c r="K920" s="3">
        <v>46200</v>
      </c>
      <c r="L920" s="3">
        <v>46202</v>
      </c>
      <c r="M920" s="1" t="s">
        <v>6412</v>
      </c>
      <c r="N920" s="1" t="s">
        <v>10171</v>
      </c>
    </row>
    <row r="921" spans="1:14" s="1" customFormat="1" x14ac:dyDescent="0.35">
      <c r="A921" s="1" t="s">
        <v>5216</v>
      </c>
      <c r="B921" s="1" t="s">
        <v>1885</v>
      </c>
      <c r="C921" s="1" t="s">
        <v>1919</v>
      </c>
      <c r="D921" s="1" t="s">
        <v>10172</v>
      </c>
      <c r="E921" s="1" t="str">
        <f>"2320"</f>
        <v>2320</v>
      </c>
      <c r="F921" s="1" t="str">
        <f>"015377753"</f>
        <v>015377753</v>
      </c>
      <c r="G921" s="1" t="s">
        <v>370</v>
      </c>
      <c r="H921" s="1" t="s">
        <v>16</v>
      </c>
      <c r="I921" s="4" t="str">
        <f>"1"</f>
        <v>1</v>
      </c>
      <c r="J921" s="2" t="str">
        <f>"119900"</f>
        <v>119900</v>
      </c>
      <c r="K921" s="3">
        <v>46200</v>
      </c>
      <c r="L921" s="3">
        <v>46202</v>
      </c>
      <c r="M921" s="1" t="s">
        <v>6412</v>
      </c>
      <c r="N921" s="1" t="s">
        <v>10171</v>
      </c>
    </row>
    <row r="922" spans="1:14" s="1" customFormat="1" x14ac:dyDescent="0.35">
      <c r="A922" s="1" t="s">
        <v>5171</v>
      </c>
      <c r="B922" s="1" t="s">
        <v>10168</v>
      </c>
      <c r="C922" s="1" t="s">
        <v>10167</v>
      </c>
      <c r="D922" s="1" t="s">
        <v>10170</v>
      </c>
      <c r="E922" s="1" t="str">
        <f>"5855"</f>
        <v>5855</v>
      </c>
      <c r="F922" s="1" t="str">
        <f>"015345931"</f>
        <v>015345931</v>
      </c>
      <c r="G922" s="1" t="s">
        <v>1379</v>
      </c>
      <c r="H922" s="1" t="s">
        <v>16</v>
      </c>
      <c r="I922" s="4" t="str">
        <f>"8"</f>
        <v>8</v>
      </c>
      <c r="J922" s="2" t="str">
        <f>"970"</f>
        <v>970</v>
      </c>
      <c r="K922" s="3">
        <v>46148</v>
      </c>
      <c r="L922" s="3">
        <v>46148</v>
      </c>
      <c r="M922" s="1" t="s">
        <v>5469</v>
      </c>
      <c r="N922" s="1" t="s">
        <v>10169</v>
      </c>
    </row>
    <row r="923" spans="1:14" s="1" customFormat="1" x14ac:dyDescent="0.35">
      <c r="A923" s="1" t="s">
        <v>5171</v>
      </c>
      <c r="B923" s="1" t="s">
        <v>10168</v>
      </c>
      <c r="C923" s="1" t="s">
        <v>10167</v>
      </c>
      <c r="D923" s="1" t="s">
        <v>10166</v>
      </c>
      <c r="E923" s="1" t="str">
        <f>"5855"</f>
        <v>5855</v>
      </c>
      <c r="F923" s="1" t="str">
        <f>"015345931"</f>
        <v>015345931</v>
      </c>
      <c r="G923" s="1" t="s">
        <v>1379</v>
      </c>
      <c r="H923" s="1" t="s">
        <v>16</v>
      </c>
      <c r="I923" s="4" t="str">
        <f>"8"</f>
        <v>8</v>
      </c>
      <c r="J923" s="2" t="str">
        <f>"970"</f>
        <v>970</v>
      </c>
      <c r="K923" s="3">
        <v>46148</v>
      </c>
      <c r="L923" s="3">
        <v>46158</v>
      </c>
      <c r="M923" s="1" t="s">
        <v>5167</v>
      </c>
      <c r="N923" s="1" t="s">
        <v>10165</v>
      </c>
    </row>
    <row r="924" spans="1:14" s="1" customFormat="1" x14ac:dyDescent="0.35">
      <c r="A924" s="1" t="s">
        <v>5171</v>
      </c>
      <c r="B924" s="1" t="s">
        <v>1925</v>
      </c>
      <c r="C924" s="1" t="s">
        <v>1926</v>
      </c>
      <c r="D924" s="1" t="s">
        <v>10164</v>
      </c>
      <c r="E924" s="1" t="str">
        <f>"5855"</f>
        <v>5855</v>
      </c>
      <c r="F924" s="1" t="s">
        <v>7848</v>
      </c>
      <c r="G924" s="1" t="s">
        <v>7847</v>
      </c>
      <c r="H924" s="1" t="s">
        <v>16</v>
      </c>
      <c r="I924" s="4" t="str">
        <f>"17"</f>
        <v>17</v>
      </c>
      <c r="J924" s="2">
        <v>6502.57</v>
      </c>
      <c r="K924" s="3">
        <v>46112</v>
      </c>
      <c r="L924" s="3">
        <v>46116</v>
      </c>
      <c r="M924" s="1" t="s">
        <v>5167</v>
      </c>
      <c r="N924" s="1" t="s">
        <v>10163</v>
      </c>
    </row>
    <row r="925" spans="1:14" s="1" customFormat="1" x14ac:dyDescent="0.35">
      <c r="A925" s="1" t="s">
        <v>5171</v>
      </c>
      <c r="B925" s="1" t="s">
        <v>1925</v>
      </c>
      <c r="C925" s="1" t="s">
        <v>1926</v>
      </c>
      <c r="D925" s="1" t="s">
        <v>10162</v>
      </c>
      <c r="E925" s="1" t="str">
        <f>"1240"</f>
        <v>1240</v>
      </c>
      <c r="F925" s="1" t="str">
        <f>"015515762"</f>
        <v>015515762</v>
      </c>
      <c r="G925" s="1" t="s">
        <v>1103</v>
      </c>
      <c r="H925" s="1" t="s">
        <v>16</v>
      </c>
      <c r="I925" s="4" t="str">
        <f>"4"</f>
        <v>4</v>
      </c>
      <c r="J925" s="2" t="str">
        <f>"460"</f>
        <v>460</v>
      </c>
      <c r="K925" s="3">
        <v>46112</v>
      </c>
      <c r="L925" s="3">
        <v>46117</v>
      </c>
      <c r="M925" s="1" t="s">
        <v>5167</v>
      </c>
      <c r="N925" s="1" t="s">
        <v>10161</v>
      </c>
    </row>
    <row r="926" spans="1:14" s="1" customFormat="1" x14ac:dyDescent="0.35">
      <c r="A926" s="1" t="s">
        <v>5171</v>
      </c>
      <c r="B926" s="1" t="s">
        <v>1925</v>
      </c>
      <c r="C926" s="1" t="s">
        <v>1926</v>
      </c>
      <c r="D926" s="1" t="s">
        <v>10160</v>
      </c>
      <c r="E926" s="1" t="str">
        <f>"1240"</f>
        <v>1240</v>
      </c>
      <c r="F926" s="1" t="str">
        <f>"015330939"</f>
        <v>015330939</v>
      </c>
      <c r="G926" s="1" t="s">
        <v>2361</v>
      </c>
      <c r="H926" s="1" t="s">
        <v>16</v>
      </c>
      <c r="I926" s="4" t="str">
        <f>"1"</f>
        <v>1</v>
      </c>
      <c r="J926" s="2" t="str">
        <f>"800"</f>
        <v>800</v>
      </c>
      <c r="K926" s="3">
        <v>46114</v>
      </c>
      <c r="L926" s="3">
        <v>46117</v>
      </c>
      <c r="M926" s="1" t="s">
        <v>5167</v>
      </c>
      <c r="N926" s="1" t="s">
        <v>10159</v>
      </c>
    </row>
    <row r="927" spans="1:14" s="1" customFormat="1" x14ac:dyDescent="0.35">
      <c r="A927" s="1" t="s">
        <v>5171</v>
      </c>
      <c r="B927" s="1" t="s">
        <v>1925</v>
      </c>
      <c r="C927" s="1" t="s">
        <v>1926</v>
      </c>
      <c r="D927" s="1" t="s">
        <v>10158</v>
      </c>
      <c r="E927" s="1" t="str">
        <f>"5855"</f>
        <v>5855</v>
      </c>
      <c r="F927" s="1" t="str">
        <f>"015330555"</f>
        <v>015330555</v>
      </c>
      <c r="G927" s="1" t="s">
        <v>462</v>
      </c>
      <c r="H927" s="1" t="s">
        <v>16</v>
      </c>
      <c r="I927" s="4" t="str">
        <f>"32"</f>
        <v>32</v>
      </c>
      <c r="J927" s="2" t="str">
        <f>"1800"</f>
        <v>1800</v>
      </c>
      <c r="K927" s="3">
        <v>46112</v>
      </c>
      <c r="L927" s="3">
        <v>46123</v>
      </c>
      <c r="M927" s="1" t="s">
        <v>5167</v>
      </c>
      <c r="N927" s="1" t="s">
        <v>10157</v>
      </c>
    </row>
    <row r="928" spans="1:14" s="1" customFormat="1" x14ac:dyDescent="0.35">
      <c r="A928" s="1" t="s">
        <v>5171</v>
      </c>
      <c r="B928" s="1" t="s">
        <v>1925</v>
      </c>
      <c r="C928" s="1" t="s">
        <v>1926</v>
      </c>
      <c r="D928" s="1" t="s">
        <v>10156</v>
      </c>
      <c r="E928" s="1" t="str">
        <f>"5855"</f>
        <v>5855</v>
      </c>
      <c r="F928" s="1" t="str">
        <f>"014684169"</f>
        <v>014684169</v>
      </c>
      <c r="G928" s="1" t="s">
        <v>1366</v>
      </c>
      <c r="H928" s="1" t="s">
        <v>16</v>
      </c>
      <c r="I928" s="4" t="str">
        <f>"4"</f>
        <v>4</v>
      </c>
      <c r="J928" s="2">
        <v>790.97</v>
      </c>
      <c r="K928" s="3">
        <v>46114</v>
      </c>
      <c r="L928" s="3">
        <v>46123</v>
      </c>
      <c r="M928" s="1" t="s">
        <v>5167</v>
      </c>
      <c r="N928" s="1" t="s">
        <v>10155</v>
      </c>
    </row>
    <row r="929" spans="1:14" s="1" customFormat="1" x14ac:dyDescent="0.35">
      <c r="A929" s="1" t="s">
        <v>5171</v>
      </c>
      <c r="B929" s="1" t="s">
        <v>1925</v>
      </c>
      <c r="C929" s="1" t="s">
        <v>1926</v>
      </c>
      <c r="D929" s="1" t="s">
        <v>10154</v>
      </c>
      <c r="E929" s="1" t="str">
        <f>"5855"</f>
        <v>5855</v>
      </c>
      <c r="F929" s="1" t="str">
        <f>"015330555"</f>
        <v>015330555</v>
      </c>
      <c r="G929" s="1" t="s">
        <v>462</v>
      </c>
      <c r="H929" s="1" t="s">
        <v>16</v>
      </c>
      <c r="I929" s="4" t="str">
        <f>"32"</f>
        <v>32</v>
      </c>
      <c r="J929" s="2" t="str">
        <f>"1800"</f>
        <v>1800</v>
      </c>
      <c r="K929" s="3">
        <v>46114</v>
      </c>
      <c r="L929" s="3">
        <v>46123</v>
      </c>
      <c r="M929" s="1" t="s">
        <v>5167</v>
      </c>
      <c r="N929" s="1" t="s">
        <v>10153</v>
      </c>
    </row>
    <row r="930" spans="1:14" s="1" customFormat="1" x14ac:dyDescent="0.35">
      <c r="A930" s="1" t="s">
        <v>5171</v>
      </c>
      <c r="B930" s="1" t="s">
        <v>1925</v>
      </c>
      <c r="C930" s="1" t="s">
        <v>1926</v>
      </c>
      <c r="D930" s="1" t="s">
        <v>10152</v>
      </c>
      <c r="E930" s="1" t="str">
        <f>"5855"</f>
        <v>5855</v>
      </c>
      <c r="F930" s="1" t="str">
        <f>"015594519"</f>
        <v>015594519</v>
      </c>
      <c r="G930" s="1" t="s">
        <v>10151</v>
      </c>
      <c r="H930" s="1" t="s">
        <v>16</v>
      </c>
      <c r="I930" s="4" t="str">
        <f>"1"</f>
        <v>1</v>
      </c>
      <c r="J930" s="2" t="str">
        <f>"10000"</f>
        <v>10000</v>
      </c>
      <c r="K930" s="3">
        <v>46112</v>
      </c>
      <c r="L930" s="3">
        <v>46124</v>
      </c>
      <c r="M930" s="1" t="s">
        <v>5167</v>
      </c>
      <c r="N930" s="1" t="s">
        <v>10150</v>
      </c>
    </row>
    <row r="931" spans="1:14" s="1" customFormat="1" x14ac:dyDescent="0.35">
      <c r="A931" s="1" t="s">
        <v>5171</v>
      </c>
      <c r="B931" s="1" t="s">
        <v>1925</v>
      </c>
      <c r="C931" s="1" t="s">
        <v>10149</v>
      </c>
      <c r="D931" s="1" t="s">
        <v>10148</v>
      </c>
      <c r="E931" s="1" t="str">
        <f>"5855"</f>
        <v>5855</v>
      </c>
      <c r="F931" s="1" t="str">
        <f>"015485687"</f>
        <v>015485687</v>
      </c>
      <c r="G931" s="1" t="s">
        <v>1921</v>
      </c>
      <c r="H931" s="1" t="s">
        <v>16</v>
      </c>
      <c r="I931" s="4" t="str">
        <f>"2"</f>
        <v>2</v>
      </c>
      <c r="J931" s="2" t="str">
        <f>"10402"</f>
        <v>10402</v>
      </c>
      <c r="K931" s="3">
        <v>46124</v>
      </c>
      <c r="L931" s="3">
        <v>46127</v>
      </c>
      <c r="M931" s="1" t="s">
        <v>10147</v>
      </c>
      <c r="N931" s="1" t="s">
        <v>10146</v>
      </c>
    </row>
    <row r="932" spans="1:14" s="1" customFormat="1" x14ac:dyDescent="0.35">
      <c r="A932" s="1" t="s">
        <v>5171</v>
      </c>
      <c r="B932" s="1" t="s">
        <v>1925</v>
      </c>
      <c r="C932" s="1" t="s">
        <v>1926</v>
      </c>
      <c r="D932" s="1" t="s">
        <v>10145</v>
      </c>
      <c r="E932" s="1" t="str">
        <f>"5855"</f>
        <v>5855</v>
      </c>
      <c r="F932" s="1" t="str">
        <f>"015345931"</f>
        <v>015345931</v>
      </c>
      <c r="G932" s="1" t="s">
        <v>1379</v>
      </c>
      <c r="H932" s="1" t="s">
        <v>16</v>
      </c>
      <c r="I932" s="4" t="str">
        <f>"55"</f>
        <v>55</v>
      </c>
      <c r="J932" s="2" t="str">
        <f>"970"</f>
        <v>970</v>
      </c>
      <c r="K932" s="3">
        <v>46120</v>
      </c>
      <c r="L932" s="3">
        <v>46129</v>
      </c>
      <c r="M932" s="1" t="s">
        <v>5167</v>
      </c>
      <c r="N932" s="1" t="s">
        <v>10144</v>
      </c>
    </row>
    <row r="933" spans="1:14" s="1" customFormat="1" x14ac:dyDescent="0.35">
      <c r="A933" s="1" t="s">
        <v>5171</v>
      </c>
      <c r="B933" s="1" t="s">
        <v>1925</v>
      </c>
      <c r="C933" s="1" t="s">
        <v>1926</v>
      </c>
      <c r="D933" s="1" t="s">
        <v>10143</v>
      </c>
      <c r="E933" s="1" t="str">
        <f>"1240"</f>
        <v>1240</v>
      </c>
      <c r="F933" s="1" t="str">
        <f>"015401186"</f>
        <v>015401186</v>
      </c>
      <c r="G933" s="1" t="s">
        <v>10142</v>
      </c>
      <c r="H933" s="1" t="s">
        <v>16</v>
      </c>
      <c r="I933" s="4" t="str">
        <f>"25"</f>
        <v>25</v>
      </c>
      <c r="J933" s="2" t="str">
        <f>"400"</f>
        <v>400</v>
      </c>
      <c r="K933" s="3">
        <v>46131</v>
      </c>
      <c r="L933" s="3">
        <v>46132</v>
      </c>
      <c r="M933" s="1" t="s">
        <v>5167</v>
      </c>
      <c r="N933" s="1" t="s">
        <v>10141</v>
      </c>
    </row>
    <row r="934" spans="1:14" s="1" customFormat="1" x14ac:dyDescent="0.35">
      <c r="A934" s="1" t="s">
        <v>5171</v>
      </c>
      <c r="B934" s="1" t="s">
        <v>1925</v>
      </c>
      <c r="C934" s="1" t="s">
        <v>1926</v>
      </c>
      <c r="D934" s="1" t="s">
        <v>10140</v>
      </c>
      <c r="E934" s="1" t="str">
        <f>"5855"</f>
        <v>5855</v>
      </c>
      <c r="F934" s="1" t="str">
        <f>"015777174"</f>
        <v>015777174</v>
      </c>
      <c r="G934" s="1" t="s">
        <v>1366</v>
      </c>
      <c r="H934" s="1" t="s">
        <v>16</v>
      </c>
      <c r="I934" s="4" t="str">
        <f>"21"</f>
        <v>21</v>
      </c>
      <c r="J934" s="2" t="str">
        <f>"1791"</f>
        <v>1791</v>
      </c>
      <c r="K934" s="3">
        <v>46131</v>
      </c>
      <c r="L934" s="3">
        <v>46135</v>
      </c>
      <c r="M934" s="1" t="s">
        <v>5167</v>
      </c>
      <c r="N934" s="1" t="s">
        <v>10139</v>
      </c>
    </row>
    <row r="935" spans="1:14" s="1" customFormat="1" x14ac:dyDescent="0.35">
      <c r="A935" s="1" t="s">
        <v>5171</v>
      </c>
      <c r="B935" s="1" t="s">
        <v>1925</v>
      </c>
      <c r="C935" s="1" t="s">
        <v>1926</v>
      </c>
      <c r="D935" s="1" t="s">
        <v>10138</v>
      </c>
      <c r="E935" s="1" t="str">
        <f>"5855"</f>
        <v>5855</v>
      </c>
      <c r="F935" s="1" t="str">
        <f>"015777174"</f>
        <v>015777174</v>
      </c>
      <c r="G935" s="1" t="s">
        <v>1366</v>
      </c>
      <c r="H935" s="1" t="s">
        <v>16</v>
      </c>
      <c r="I935" s="4" t="str">
        <f>"21"</f>
        <v>21</v>
      </c>
      <c r="J935" s="2" t="str">
        <f>"1791"</f>
        <v>1791</v>
      </c>
      <c r="K935" s="3">
        <v>46131</v>
      </c>
      <c r="L935" s="3">
        <v>46135</v>
      </c>
      <c r="M935" s="1" t="s">
        <v>5167</v>
      </c>
      <c r="N935" s="1" t="s">
        <v>10137</v>
      </c>
    </row>
    <row r="936" spans="1:14" s="1" customFormat="1" x14ac:dyDescent="0.35">
      <c r="A936" s="1" t="s">
        <v>5171</v>
      </c>
      <c r="B936" s="1" t="s">
        <v>1925</v>
      </c>
      <c r="C936" s="1" t="s">
        <v>1926</v>
      </c>
      <c r="D936" s="1" t="s">
        <v>10136</v>
      </c>
      <c r="E936" s="1" t="str">
        <f>"5855"</f>
        <v>5855</v>
      </c>
      <c r="F936" s="1" t="str">
        <f>"015330940"</f>
        <v>015330940</v>
      </c>
      <c r="G936" s="1" t="s">
        <v>175</v>
      </c>
      <c r="H936" s="1" t="s">
        <v>16</v>
      </c>
      <c r="I936" s="4" t="str">
        <f>"2"</f>
        <v>2</v>
      </c>
      <c r="J936" s="2" t="str">
        <f>"5000"</f>
        <v>5000</v>
      </c>
      <c r="K936" s="3">
        <v>46131</v>
      </c>
      <c r="L936" s="3">
        <v>46135</v>
      </c>
      <c r="M936" s="1" t="s">
        <v>5167</v>
      </c>
      <c r="N936" s="1" t="s">
        <v>10135</v>
      </c>
    </row>
    <row r="937" spans="1:14" s="1" customFormat="1" x14ac:dyDescent="0.35">
      <c r="A937" s="1" t="s">
        <v>5171</v>
      </c>
      <c r="B937" s="1" t="s">
        <v>1925</v>
      </c>
      <c r="C937" s="1" t="s">
        <v>1926</v>
      </c>
      <c r="D937" s="1" t="s">
        <v>10134</v>
      </c>
      <c r="E937" s="1" t="str">
        <f>"5855"</f>
        <v>5855</v>
      </c>
      <c r="F937" s="1" t="str">
        <f>"014906600"</f>
        <v>014906600</v>
      </c>
      <c r="G937" s="1" t="s">
        <v>9522</v>
      </c>
      <c r="H937" s="1" t="s">
        <v>16</v>
      </c>
      <c r="I937" s="4" t="str">
        <f>"1"</f>
        <v>1</v>
      </c>
      <c r="J937" s="2">
        <v>15191.46</v>
      </c>
      <c r="K937" s="3">
        <v>46131</v>
      </c>
      <c r="L937" s="3">
        <v>46141</v>
      </c>
      <c r="M937" s="1" t="s">
        <v>5167</v>
      </c>
      <c r="N937" s="1" t="s">
        <v>10124</v>
      </c>
    </row>
    <row r="938" spans="1:14" s="1" customFormat="1" x14ac:dyDescent="0.35">
      <c r="A938" s="1" t="s">
        <v>5171</v>
      </c>
      <c r="B938" s="1" t="s">
        <v>1925</v>
      </c>
      <c r="C938" s="1" t="s">
        <v>1926</v>
      </c>
      <c r="D938" s="1" t="s">
        <v>10133</v>
      </c>
      <c r="E938" s="1" t="str">
        <f>"5855"</f>
        <v>5855</v>
      </c>
      <c r="F938" s="1" t="str">
        <f>"014778738"</f>
        <v>014778738</v>
      </c>
      <c r="G938" s="1" t="s">
        <v>1770</v>
      </c>
      <c r="H938" s="1" t="s">
        <v>16</v>
      </c>
      <c r="I938" s="4" t="str">
        <f>"1"</f>
        <v>1</v>
      </c>
      <c r="J938" s="2" t="str">
        <f>"7481"</f>
        <v>7481</v>
      </c>
      <c r="K938" s="3">
        <v>46131</v>
      </c>
      <c r="L938" s="3">
        <v>46141</v>
      </c>
      <c r="M938" s="1" t="s">
        <v>5167</v>
      </c>
      <c r="N938" s="1" t="s">
        <v>10124</v>
      </c>
    </row>
    <row r="939" spans="1:14" s="1" customFormat="1" x14ac:dyDescent="0.35">
      <c r="A939" s="1" t="s">
        <v>5171</v>
      </c>
      <c r="B939" s="1" t="s">
        <v>1925</v>
      </c>
      <c r="C939" s="1" t="s">
        <v>1926</v>
      </c>
      <c r="D939" s="1" t="s">
        <v>10132</v>
      </c>
      <c r="E939" s="1" t="str">
        <f>"5855"</f>
        <v>5855</v>
      </c>
      <c r="F939" s="1" t="str">
        <f>"014778738"</f>
        <v>014778738</v>
      </c>
      <c r="G939" s="1" t="s">
        <v>1770</v>
      </c>
      <c r="H939" s="1" t="s">
        <v>16</v>
      </c>
      <c r="I939" s="4" t="str">
        <f>"1"</f>
        <v>1</v>
      </c>
      <c r="J939" s="2" t="str">
        <f>"7481"</f>
        <v>7481</v>
      </c>
      <c r="K939" s="3">
        <v>46131</v>
      </c>
      <c r="L939" s="3">
        <v>46141</v>
      </c>
      <c r="M939" s="1" t="s">
        <v>5167</v>
      </c>
      <c r="N939" s="1" t="s">
        <v>10124</v>
      </c>
    </row>
    <row r="940" spans="1:14" s="1" customFormat="1" x14ac:dyDescent="0.35">
      <c r="A940" s="1" t="s">
        <v>5171</v>
      </c>
      <c r="B940" s="1" t="s">
        <v>1925</v>
      </c>
      <c r="C940" s="1" t="s">
        <v>1926</v>
      </c>
      <c r="D940" s="1" t="s">
        <v>10131</v>
      </c>
      <c r="E940" s="1" t="str">
        <f>"5855"</f>
        <v>5855</v>
      </c>
      <c r="F940" s="1" t="str">
        <f>"014778738"</f>
        <v>014778738</v>
      </c>
      <c r="G940" s="1" t="s">
        <v>1770</v>
      </c>
      <c r="H940" s="1" t="s">
        <v>16</v>
      </c>
      <c r="I940" s="4" t="str">
        <f>"1"</f>
        <v>1</v>
      </c>
      <c r="J940" s="2" t="str">
        <f>"7481"</f>
        <v>7481</v>
      </c>
      <c r="K940" s="3">
        <v>46131</v>
      </c>
      <c r="L940" s="3">
        <v>46141</v>
      </c>
      <c r="M940" s="1" t="s">
        <v>5167</v>
      </c>
      <c r="N940" s="1" t="s">
        <v>10124</v>
      </c>
    </row>
    <row r="941" spans="1:14" s="1" customFormat="1" x14ac:dyDescent="0.35">
      <c r="A941" s="1" t="s">
        <v>5171</v>
      </c>
      <c r="B941" s="1" t="s">
        <v>1925</v>
      </c>
      <c r="C941" s="1" t="s">
        <v>1926</v>
      </c>
      <c r="D941" s="1" t="s">
        <v>10130</v>
      </c>
      <c r="E941" s="1" t="str">
        <f>"5855"</f>
        <v>5855</v>
      </c>
      <c r="F941" s="1" t="str">
        <f>"015751268"</f>
        <v>015751268</v>
      </c>
      <c r="G941" s="1" t="s">
        <v>6515</v>
      </c>
      <c r="H941" s="1" t="s">
        <v>16</v>
      </c>
      <c r="I941" s="4" t="str">
        <f>"1"</f>
        <v>1</v>
      </c>
      <c r="J941" s="2" t="str">
        <f>"37281"</f>
        <v>37281</v>
      </c>
      <c r="K941" s="3">
        <v>46131</v>
      </c>
      <c r="L941" s="3">
        <v>46145</v>
      </c>
      <c r="M941" s="1" t="s">
        <v>5167</v>
      </c>
      <c r="N941" s="1" t="s">
        <v>10129</v>
      </c>
    </row>
    <row r="942" spans="1:14" s="1" customFormat="1" x14ac:dyDescent="0.35">
      <c r="A942" s="1" t="s">
        <v>5171</v>
      </c>
      <c r="B942" s="1" t="s">
        <v>1925</v>
      </c>
      <c r="C942" s="1" t="s">
        <v>1926</v>
      </c>
      <c r="D942" s="1" t="s">
        <v>10128</v>
      </c>
      <c r="E942" s="1" t="str">
        <f>"5855"</f>
        <v>5855</v>
      </c>
      <c r="F942" s="1" t="str">
        <f>"014906600"</f>
        <v>014906600</v>
      </c>
      <c r="G942" s="1" t="s">
        <v>9522</v>
      </c>
      <c r="H942" s="1" t="s">
        <v>16</v>
      </c>
      <c r="I942" s="4" t="str">
        <f>"1"</f>
        <v>1</v>
      </c>
      <c r="J942" s="2">
        <v>15191.46</v>
      </c>
      <c r="K942" s="3">
        <v>46131</v>
      </c>
      <c r="L942" s="3">
        <v>46145</v>
      </c>
      <c r="M942" s="1" t="s">
        <v>5167</v>
      </c>
      <c r="N942" s="1" t="s">
        <v>10124</v>
      </c>
    </row>
    <row r="943" spans="1:14" s="1" customFormat="1" x14ac:dyDescent="0.35">
      <c r="A943" s="1" t="s">
        <v>5171</v>
      </c>
      <c r="B943" s="1" t="s">
        <v>1925</v>
      </c>
      <c r="C943" s="1" t="s">
        <v>1926</v>
      </c>
      <c r="D943" s="1" t="s">
        <v>10127</v>
      </c>
      <c r="E943" s="1" t="str">
        <f>"5855"</f>
        <v>5855</v>
      </c>
      <c r="F943" s="1" t="str">
        <f>"014906600"</f>
        <v>014906600</v>
      </c>
      <c r="G943" s="1" t="s">
        <v>9522</v>
      </c>
      <c r="H943" s="1" t="s">
        <v>16</v>
      </c>
      <c r="I943" s="4" t="str">
        <f>"1"</f>
        <v>1</v>
      </c>
      <c r="J943" s="2">
        <v>15191.46</v>
      </c>
      <c r="K943" s="3">
        <v>46131</v>
      </c>
      <c r="L943" s="3">
        <v>46145</v>
      </c>
      <c r="M943" s="1" t="s">
        <v>5167</v>
      </c>
      <c r="N943" s="1" t="s">
        <v>10124</v>
      </c>
    </row>
    <row r="944" spans="1:14" s="1" customFormat="1" x14ac:dyDescent="0.35">
      <c r="A944" s="1" t="s">
        <v>5171</v>
      </c>
      <c r="B944" s="1" t="s">
        <v>1925</v>
      </c>
      <c r="C944" s="1" t="s">
        <v>1926</v>
      </c>
      <c r="D944" s="1" t="s">
        <v>10126</v>
      </c>
      <c r="E944" s="1" t="str">
        <f>"5855"</f>
        <v>5855</v>
      </c>
      <c r="F944" s="1" t="str">
        <f>"014906600"</f>
        <v>014906600</v>
      </c>
      <c r="G944" s="1" t="s">
        <v>9522</v>
      </c>
      <c r="H944" s="1" t="s">
        <v>16</v>
      </c>
      <c r="I944" s="4" t="str">
        <f>"1"</f>
        <v>1</v>
      </c>
      <c r="J944" s="2">
        <v>15191.46</v>
      </c>
      <c r="K944" s="3">
        <v>46131</v>
      </c>
      <c r="L944" s="3">
        <v>46145</v>
      </c>
      <c r="M944" s="1" t="s">
        <v>5167</v>
      </c>
      <c r="N944" s="1" t="s">
        <v>10124</v>
      </c>
    </row>
    <row r="945" spans="1:14" s="1" customFormat="1" x14ac:dyDescent="0.35">
      <c r="A945" s="1" t="s">
        <v>5171</v>
      </c>
      <c r="B945" s="1" t="s">
        <v>1925</v>
      </c>
      <c r="C945" s="1" t="s">
        <v>1926</v>
      </c>
      <c r="D945" s="1" t="s">
        <v>10125</v>
      </c>
      <c r="E945" s="1" t="str">
        <f>"5855"</f>
        <v>5855</v>
      </c>
      <c r="F945" s="1" t="str">
        <f>"014906600"</f>
        <v>014906600</v>
      </c>
      <c r="G945" s="1" t="s">
        <v>9522</v>
      </c>
      <c r="H945" s="1" t="s">
        <v>16</v>
      </c>
      <c r="I945" s="4" t="str">
        <f>"1"</f>
        <v>1</v>
      </c>
      <c r="J945" s="2">
        <v>15191.46</v>
      </c>
      <c r="K945" s="3">
        <v>46131</v>
      </c>
      <c r="L945" s="3">
        <v>46145</v>
      </c>
      <c r="M945" s="1" t="s">
        <v>5167</v>
      </c>
      <c r="N945" s="1" t="s">
        <v>10124</v>
      </c>
    </row>
    <row r="946" spans="1:14" s="1" customFormat="1" x14ac:dyDescent="0.35">
      <c r="A946" s="1" t="s">
        <v>5171</v>
      </c>
      <c r="B946" s="1" t="s">
        <v>1925</v>
      </c>
      <c r="C946" s="1" t="s">
        <v>1926</v>
      </c>
      <c r="D946" s="1" t="s">
        <v>10123</v>
      </c>
      <c r="E946" s="1" t="str">
        <f>"5855"</f>
        <v>5855</v>
      </c>
      <c r="F946" s="1" t="str">
        <f>"014854223"</f>
        <v>014854223</v>
      </c>
      <c r="G946" s="1" t="s">
        <v>1366</v>
      </c>
      <c r="H946" s="1" t="s">
        <v>16</v>
      </c>
      <c r="I946" s="4" t="str">
        <f>"7"</f>
        <v>7</v>
      </c>
      <c r="J946" s="2">
        <v>1258.75</v>
      </c>
      <c r="K946" s="3">
        <v>46131</v>
      </c>
      <c r="L946" s="3">
        <v>46145</v>
      </c>
      <c r="M946" s="1" t="s">
        <v>5167</v>
      </c>
      <c r="N946" s="1" t="s">
        <v>10121</v>
      </c>
    </row>
    <row r="947" spans="1:14" s="1" customFormat="1" x14ac:dyDescent="0.35">
      <c r="A947" s="1" t="s">
        <v>5171</v>
      </c>
      <c r="B947" s="1" t="s">
        <v>1925</v>
      </c>
      <c r="C947" s="1" t="s">
        <v>1926</v>
      </c>
      <c r="D947" s="1" t="s">
        <v>10122</v>
      </c>
      <c r="E947" s="1" t="str">
        <f>"5855"</f>
        <v>5855</v>
      </c>
      <c r="F947" s="1" t="str">
        <f>"015053103"</f>
        <v>015053103</v>
      </c>
      <c r="G947" s="1" t="s">
        <v>1366</v>
      </c>
      <c r="H947" s="1" t="s">
        <v>16</v>
      </c>
      <c r="I947" s="4" t="str">
        <f>"10"</f>
        <v>10</v>
      </c>
      <c r="J947" s="2" t="str">
        <f>"6138"</f>
        <v>6138</v>
      </c>
      <c r="K947" s="3">
        <v>46131</v>
      </c>
      <c r="L947" s="3">
        <v>46145</v>
      </c>
      <c r="M947" s="1" t="s">
        <v>5167</v>
      </c>
      <c r="N947" s="1" t="s">
        <v>10121</v>
      </c>
    </row>
    <row r="948" spans="1:14" s="1" customFormat="1" x14ac:dyDescent="0.35">
      <c r="A948" s="1" t="s">
        <v>5171</v>
      </c>
      <c r="B948" s="1" t="s">
        <v>1925</v>
      </c>
      <c r="C948" s="1" t="s">
        <v>1926</v>
      </c>
      <c r="D948" s="1" t="s">
        <v>10120</v>
      </c>
      <c r="E948" s="1" t="str">
        <f>"5855"</f>
        <v>5855</v>
      </c>
      <c r="F948" s="1" t="str">
        <f>"015751268"</f>
        <v>015751268</v>
      </c>
      <c r="G948" s="1" t="s">
        <v>6515</v>
      </c>
      <c r="H948" s="1" t="s">
        <v>16</v>
      </c>
      <c r="I948" s="4" t="str">
        <f>"1"</f>
        <v>1</v>
      </c>
      <c r="J948" s="2" t="str">
        <f>"37281"</f>
        <v>37281</v>
      </c>
      <c r="K948" s="3">
        <v>46084</v>
      </c>
      <c r="L948" s="3">
        <v>46155</v>
      </c>
      <c r="M948" s="1" t="s">
        <v>10119</v>
      </c>
      <c r="N948" s="1" t="s">
        <v>10118</v>
      </c>
    </row>
    <row r="949" spans="1:14" s="1" customFormat="1" x14ac:dyDescent="0.35">
      <c r="A949" s="1" t="s">
        <v>5171</v>
      </c>
      <c r="B949" s="1" t="s">
        <v>1925</v>
      </c>
      <c r="C949" s="1" t="s">
        <v>1926</v>
      </c>
      <c r="D949" s="1" t="s">
        <v>10117</v>
      </c>
      <c r="E949" s="1" t="str">
        <f>"5855"</f>
        <v>5855</v>
      </c>
      <c r="F949" s="1" t="str">
        <f>"015485687"</f>
        <v>015485687</v>
      </c>
      <c r="G949" s="1" t="s">
        <v>1921</v>
      </c>
      <c r="H949" s="1" t="s">
        <v>16</v>
      </c>
      <c r="I949" s="4" t="str">
        <f>"57"</f>
        <v>57</v>
      </c>
      <c r="J949" s="2" t="str">
        <f>"10402"</f>
        <v>10402</v>
      </c>
      <c r="K949" s="3">
        <v>46079</v>
      </c>
      <c r="L949" s="3">
        <v>46176</v>
      </c>
      <c r="M949" s="1" t="s">
        <v>10116</v>
      </c>
      <c r="N949" s="1" t="s">
        <v>10115</v>
      </c>
    </row>
    <row r="950" spans="1:14" s="1" customFormat="1" x14ac:dyDescent="0.35">
      <c r="A950" s="1" t="s">
        <v>5171</v>
      </c>
      <c r="B950" s="1" t="s">
        <v>1925</v>
      </c>
      <c r="C950" s="1" t="s">
        <v>1926</v>
      </c>
      <c r="D950" s="1" t="s">
        <v>10114</v>
      </c>
      <c r="E950" s="1" t="str">
        <f>"5855"</f>
        <v>5855</v>
      </c>
      <c r="F950" s="1" t="str">
        <f>"015777174"</f>
        <v>015777174</v>
      </c>
      <c r="G950" s="1" t="s">
        <v>1366</v>
      </c>
      <c r="H950" s="1" t="s">
        <v>16</v>
      </c>
      <c r="I950" s="4" t="str">
        <f>"33"</f>
        <v>33</v>
      </c>
      <c r="J950" s="2" t="str">
        <f>"1791"</f>
        <v>1791</v>
      </c>
      <c r="K950" s="3">
        <v>46179</v>
      </c>
      <c r="L950" s="3">
        <v>46184</v>
      </c>
      <c r="M950" s="1" t="s">
        <v>5167</v>
      </c>
      <c r="N950" s="1" t="s">
        <v>10113</v>
      </c>
    </row>
    <row r="951" spans="1:14" s="1" customFormat="1" x14ac:dyDescent="0.35">
      <c r="A951" s="1" t="s">
        <v>5171</v>
      </c>
      <c r="B951" s="1" t="s">
        <v>1925</v>
      </c>
      <c r="C951" s="1" t="s">
        <v>1926</v>
      </c>
      <c r="D951" s="1" t="s">
        <v>10112</v>
      </c>
      <c r="E951" s="1" t="str">
        <f>"5855"</f>
        <v>5855</v>
      </c>
      <c r="F951" s="1" t="str">
        <f>"015777174"</f>
        <v>015777174</v>
      </c>
      <c r="G951" s="1" t="s">
        <v>1366</v>
      </c>
      <c r="H951" s="1" t="s">
        <v>16</v>
      </c>
      <c r="I951" s="4" t="str">
        <f>"70"</f>
        <v>70</v>
      </c>
      <c r="J951" s="2" t="str">
        <f>"1791"</f>
        <v>1791</v>
      </c>
      <c r="K951" s="3">
        <v>46179</v>
      </c>
      <c r="L951" s="3">
        <v>46187</v>
      </c>
      <c r="M951" s="1" t="s">
        <v>5167</v>
      </c>
      <c r="N951" s="1" t="s">
        <v>10111</v>
      </c>
    </row>
    <row r="952" spans="1:14" s="1" customFormat="1" x14ac:dyDescent="0.35">
      <c r="A952" s="1" t="s">
        <v>5171</v>
      </c>
      <c r="B952" s="1" t="s">
        <v>1925</v>
      </c>
      <c r="C952" s="1" t="s">
        <v>1926</v>
      </c>
      <c r="D952" s="1" t="s">
        <v>10110</v>
      </c>
      <c r="E952" s="1" t="str">
        <f>"5855"</f>
        <v>5855</v>
      </c>
      <c r="F952" s="1" t="str">
        <f>"015777174"</f>
        <v>015777174</v>
      </c>
      <c r="G952" s="1" t="s">
        <v>1366</v>
      </c>
      <c r="H952" s="1" t="s">
        <v>16</v>
      </c>
      <c r="I952" s="4" t="str">
        <f>"41"</f>
        <v>41</v>
      </c>
      <c r="J952" s="2" t="str">
        <f>"1791"</f>
        <v>1791</v>
      </c>
      <c r="K952" s="3">
        <v>46179</v>
      </c>
      <c r="L952" s="3">
        <v>46187</v>
      </c>
      <c r="M952" s="1" t="s">
        <v>5167</v>
      </c>
      <c r="N952" s="1" t="s">
        <v>10109</v>
      </c>
    </row>
    <row r="953" spans="1:14" s="1" customFormat="1" x14ac:dyDescent="0.35">
      <c r="A953" s="1" t="s">
        <v>5171</v>
      </c>
      <c r="B953" s="1" t="s">
        <v>1925</v>
      </c>
      <c r="C953" s="1" t="s">
        <v>1926</v>
      </c>
      <c r="D953" s="1" t="s">
        <v>10108</v>
      </c>
      <c r="E953" s="1" t="str">
        <f>"5855"</f>
        <v>5855</v>
      </c>
      <c r="F953" s="1" t="str">
        <f>"015356166"</f>
        <v>015356166</v>
      </c>
      <c r="G953" s="1" t="s">
        <v>1379</v>
      </c>
      <c r="H953" s="1" t="s">
        <v>16</v>
      </c>
      <c r="I953" s="4" t="str">
        <f>"24"</f>
        <v>24</v>
      </c>
      <c r="J953" s="2" t="str">
        <f>"898"</f>
        <v>898</v>
      </c>
      <c r="K953" s="3">
        <v>46179</v>
      </c>
      <c r="L953" s="3">
        <v>46192</v>
      </c>
      <c r="M953" s="1" t="s">
        <v>5167</v>
      </c>
      <c r="N953" s="1" t="s">
        <v>10107</v>
      </c>
    </row>
    <row r="954" spans="1:14" s="1" customFormat="1" x14ac:dyDescent="0.35">
      <c r="A954" s="1" t="s">
        <v>5171</v>
      </c>
      <c r="B954" s="1" t="s">
        <v>1925</v>
      </c>
      <c r="C954" s="1" t="s">
        <v>1926</v>
      </c>
      <c r="D954" s="1" t="s">
        <v>10106</v>
      </c>
      <c r="E954" s="1" t="str">
        <f>"1240"</f>
        <v>1240</v>
      </c>
      <c r="F954" s="1" t="str">
        <f>"015766134"</f>
        <v>015766134</v>
      </c>
      <c r="G954" s="1" t="s">
        <v>1103</v>
      </c>
      <c r="H954" s="1" t="s">
        <v>16</v>
      </c>
      <c r="I954" s="4" t="str">
        <f>"6"</f>
        <v>6</v>
      </c>
      <c r="J954" s="2" t="str">
        <f>"589"</f>
        <v>589</v>
      </c>
      <c r="K954" s="3">
        <v>46179</v>
      </c>
      <c r="L954" s="3">
        <v>46195</v>
      </c>
      <c r="M954" s="1" t="s">
        <v>5167</v>
      </c>
      <c r="N954" s="1" t="s">
        <v>10105</v>
      </c>
    </row>
    <row r="955" spans="1:14" s="1" customFormat="1" x14ac:dyDescent="0.35">
      <c r="A955" s="1" t="s">
        <v>5171</v>
      </c>
      <c r="B955" s="1" t="s">
        <v>10102</v>
      </c>
      <c r="C955" s="1" t="s">
        <v>10101</v>
      </c>
      <c r="D955" s="1" t="s">
        <v>10104</v>
      </c>
      <c r="E955" s="1" t="str">
        <f>"6230"</f>
        <v>6230</v>
      </c>
      <c r="F955" s="1" t="str">
        <f>"015512664"</f>
        <v>015512664</v>
      </c>
      <c r="G955" s="1" t="s">
        <v>8277</v>
      </c>
      <c r="H955" s="1" t="s">
        <v>16</v>
      </c>
      <c r="I955" s="4" t="str">
        <f>"1"</f>
        <v>1</v>
      </c>
      <c r="J955" s="2" t="str">
        <f>"24930"</f>
        <v>24930</v>
      </c>
      <c r="K955" s="3">
        <v>46170</v>
      </c>
      <c r="L955" s="3">
        <v>46195</v>
      </c>
      <c r="M955" s="1" t="s">
        <v>5167</v>
      </c>
      <c r="N955" s="1" t="s">
        <v>10103</v>
      </c>
    </row>
    <row r="956" spans="1:14" s="1" customFormat="1" x14ac:dyDescent="0.35">
      <c r="A956" s="1" t="s">
        <v>5216</v>
      </c>
      <c r="B956" s="1" t="s">
        <v>10102</v>
      </c>
      <c r="C956" s="1" t="s">
        <v>10101</v>
      </c>
      <c r="D956" s="1" t="s">
        <v>10100</v>
      </c>
      <c r="E956" s="1" t="str">
        <f>"2320"</f>
        <v>2320</v>
      </c>
      <c r="F956" s="1" t="str">
        <f>"014474938"</f>
        <v>014474938</v>
      </c>
      <c r="G956" s="1" t="s">
        <v>360</v>
      </c>
      <c r="H956" s="1" t="s">
        <v>16</v>
      </c>
      <c r="I956" s="4" t="str">
        <f>"1"</f>
        <v>1</v>
      </c>
      <c r="J956" s="2" t="str">
        <f>"230363"</f>
        <v>230363</v>
      </c>
      <c r="K956" s="3">
        <v>46170</v>
      </c>
      <c r="L956" s="3">
        <v>46199</v>
      </c>
      <c r="M956" s="1" t="s">
        <v>10099</v>
      </c>
      <c r="N956" s="1" t="s">
        <v>10098</v>
      </c>
    </row>
    <row r="957" spans="1:14" s="1" customFormat="1" x14ac:dyDescent="0.35">
      <c r="A957" s="1" t="s">
        <v>5171</v>
      </c>
      <c r="B957" s="1" t="s">
        <v>1930</v>
      </c>
      <c r="C957" s="1" t="s">
        <v>1931</v>
      </c>
      <c r="D957" s="1" t="s">
        <v>10097</v>
      </c>
      <c r="E957" s="1" t="str">
        <f>"2340"</f>
        <v>2340</v>
      </c>
      <c r="F957" s="1" t="s">
        <v>84</v>
      </c>
      <c r="G957" s="1" t="s">
        <v>85</v>
      </c>
      <c r="H957" s="1" t="s">
        <v>16</v>
      </c>
      <c r="I957" s="4" t="str">
        <f>"1"</f>
        <v>1</v>
      </c>
      <c r="J957" s="2">
        <v>16829.71</v>
      </c>
      <c r="K957" s="3">
        <v>46111</v>
      </c>
      <c r="L957" s="3">
        <v>46113</v>
      </c>
      <c r="M957" s="1" t="s">
        <v>10096</v>
      </c>
      <c r="N957" s="1" t="s">
        <v>10095</v>
      </c>
    </row>
    <row r="958" spans="1:14" s="1" customFormat="1" x14ac:dyDescent="0.35">
      <c r="A958" s="1" t="s">
        <v>5171</v>
      </c>
      <c r="B958" s="1" t="s">
        <v>1930</v>
      </c>
      <c r="C958" s="1" t="s">
        <v>1972</v>
      </c>
      <c r="D958" s="1" t="s">
        <v>10094</v>
      </c>
      <c r="E958" s="1" t="str">
        <f>"5965"</f>
        <v>5965</v>
      </c>
      <c r="F958" s="1" t="str">
        <f>"016945619"</f>
        <v>016945619</v>
      </c>
      <c r="G958" s="1" t="s">
        <v>7446</v>
      </c>
      <c r="H958" s="1" t="s">
        <v>16</v>
      </c>
      <c r="I958" s="4" t="str">
        <f>"17"</f>
        <v>17</v>
      </c>
      <c r="J958" s="2">
        <v>988.12</v>
      </c>
      <c r="K958" s="3">
        <v>46112</v>
      </c>
      <c r="L958" s="3">
        <v>46113</v>
      </c>
      <c r="M958" s="1" t="s">
        <v>5167</v>
      </c>
      <c r="N958" s="1" t="s">
        <v>10093</v>
      </c>
    </row>
    <row r="959" spans="1:14" s="1" customFormat="1" x14ac:dyDescent="0.35">
      <c r="A959" s="1" t="s">
        <v>5171</v>
      </c>
      <c r="B959" s="1" t="s">
        <v>1930</v>
      </c>
      <c r="C959" s="1" t="s">
        <v>1931</v>
      </c>
      <c r="D959" s="1" t="s">
        <v>10092</v>
      </c>
      <c r="E959" s="1" t="str">
        <f>"2320"</f>
        <v>2320</v>
      </c>
      <c r="F959" s="1" t="str">
        <f>"015016635"</f>
        <v>015016635</v>
      </c>
      <c r="G959" s="1" t="s">
        <v>2303</v>
      </c>
      <c r="H959" s="1" t="s">
        <v>16</v>
      </c>
      <c r="I959" s="4" t="str">
        <f>"1"</f>
        <v>1</v>
      </c>
      <c r="J959" s="2" t="str">
        <f>"45602"</f>
        <v>45602</v>
      </c>
      <c r="K959" s="3">
        <v>46111</v>
      </c>
      <c r="L959" s="3">
        <v>46114</v>
      </c>
      <c r="M959" s="1" t="s">
        <v>10091</v>
      </c>
      <c r="N959" s="1" t="s">
        <v>10090</v>
      </c>
    </row>
    <row r="960" spans="1:14" s="1" customFormat="1" x14ac:dyDescent="0.35">
      <c r="A960" s="1" t="s">
        <v>5171</v>
      </c>
      <c r="B960" s="1" t="s">
        <v>1930</v>
      </c>
      <c r="C960" s="1" t="s">
        <v>1972</v>
      </c>
      <c r="D960" s="1" t="s">
        <v>10089</v>
      </c>
      <c r="E960" s="1" t="str">
        <f>"1240"</f>
        <v>1240</v>
      </c>
      <c r="F960" s="1" t="s">
        <v>1800</v>
      </c>
      <c r="G960" s="1" t="s">
        <v>1801</v>
      </c>
      <c r="H960" s="1" t="s">
        <v>16</v>
      </c>
      <c r="I960" s="4" t="str">
        <f>"1"</f>
        <v>1</v>
      </c>
      <c r="J960" s="2" t="str">
        <f>"1500"</f>
        <v>1500</v>
      </c>
      <c r="K960" s="3">
        <v>46114</v>
      </c>
      <c r="L960" s="3">
        <v>46116</v>
      </c>
      <c r="M960" s="1" t="s">
        <v>10088</v>
      </c>
      <c r="N960" s="1" t="s">
        <v>1982</v>
      </c>
    </row>
    <row r="961" spans="1:14" s="1" customFormat="1" x14ac:dyDescent="0.35">
      <c r="A961" s="1" t="s">
        <v>5171</v>
      </c>
      <c r="B961" s="1" t="s">
        <v>1930</v>
      </c>
      <c r="C961" s="1" t="s">
        <v>1972</v>
      </c>
      <c r="D961" s="1" t="s">
        <v>10087</v>
      </c>
      <c r="E961" s="1" t="str">
        <f>"8415"</f>
        <v>8415</v>
      </c>
      <c r="F961" s="1" t="s">
        <v>1139</v>
      </c>
      <c r="G961" s="1" t="s">
        <v>1140</v>
      </c>
      <c r="H961" s="1" t="s">
        <v>16</v>
      </c>
      <c r="I961" s="4" t="str">
        <f>"20"</f>
        <v>20</v>
      </c>
      <c r="J961" s="2" t="str">
        <f>"179"</f>
        <v>179</v>
      </c>
      <c r="K961" s="3">
        <v>46115</v>
      </c>
      <c r="L961" s="3">
        <v>46119</v>
      </c>
      <c r="M961" s="1" t="s">
        <v>10086</v>
      </c>
      <c r="N961" s="1" t="s">
        <v>10085</v>
      </c>
    </row>
    <row r="962" spans="1:14" s="1" customFormat="1" x14ac:dyDescent="0.35">
      <c r="A962" s="1" t="s">
        <v>5171</v>
      </c>
      <c r="B962" s="1" t="s">
        <v>1930</v>
      </c>
      <c r="C962" s="1" t="s">
        <v>2005</v>
      </c>
      <c r="D962" s="1" t="s">
        <v>10084</v>
      </c>
      <c r="E962" s="1" t="str">
        <f>"6545"</f>
        <v>6545</v>
      </c>
      <c r="F962" s="1" t="str">
        <f>"016675039"</f>
        <v>016675039</v>
      </c>
      <c r="G962" s="1" t="s">
        <v>236</v>
      </c>
      <c r="H962" s="1" t="s">
        <v>16</v>
      </c>
      <c r="I962" s="4" t="str">
        <f>"1"</f>
        <v>1</v>
      </c>
      <c r="J962" s="2">
        <v>200.91</v>
      </c>
      <c r="K962" s="3">
        <v>46118</v>
      </c>
      <c r="L962" s="3">
        <v>46121</v>
      </c>
      <c r="M962" s="1" t="s">
        <v>10083</v>
      </c>
      <c r="N962" s="1" t="s">
        <v>2007</v>
      </c>
    </row>
    <row r="963" spans="1:14" s="1" customFormat="1" x14ac:dyDescent="0.35">
      <c r="A963" s="1" t="s">
        <v>5171</v>
      </c>
      <c r="B963" s="1" t="s">
        <v>1930</v>
      </c>
      <c r="C963" s="1" t="s">
        <v>1972</v>
      </c>
      <c r="D963" s="1" t="s">
        <v>10082</v>
      </c>
      <c r="E963" s="1" t="str">
        <f>"8415"</f>
        <v>8415</v>
      </c>
      <c r="F963" s="1" t="str">
        <f>"015802497"</f>
        <v>015802497</v>
      </c>
      <c r="G963" s="1" t="s">
        <v>1988</v>
      </c>
      <c r="H963" s="1" t="s">
        <v>311</v>
      </c>
      <c r="I963" s="4" t="str">
        <f>"12"</f>
        <v>12</v>
      </c>
      <c r="J963" s="2">
        <v>120.1</v>
      </c>
      <c r="K963" s="3">
        <v>46119</v>
      </c>
      <c r="L963" s="3">
        <v>46122</v>
      </c>
      <c r="M963" s="1" t="s">
        <v>10081</v>
      </c>
      <c r="N963" s="1" t="s">
        <v>1985</v>
      </c>
    </row>
    <row r="964" spans="1:14" s="1" customFormat="1" x14ac:dyDescent="0.35">
      <c r="A964" s="1" t="s">
        <v>5171</v>
      </c>
      <c r="B964" s="1" t="s">
        <v>1930</v>
      </c>
      <c r="C964" s="1" t="s">
        <v>1972</v>
      </c>
      <c r="D964" s="1" t="s">
        <v>10080</v>
      </c>
      <c r="E964" s="1" t="str">
        <f>"8415"</f>
        <v>8415</v>
      </c>
      <c r="F964" s="1" t="str">
        <f>"015802504"</f>
        <v>015802504</v>
      </c>
      <c r="G964" s="1" t="s">
        <v>1988</v>
      </c>
      <c r="H964" s="1" t="s">
        <v>311</v>
      </c>
      <c r="I964" s="4" t="str">
        <f>"2"</f>
        <v>2</v>
      </c>
      <c r="J964" s="2">
        <v>120.1</v>
      </c>
      <c r="K964" s="3">
        <v>46119</v>
      </c>
      <c r="L964" s="3">
        <v>46122</v>
      </c>
      <c r="M964" s="1" t="s">
        <v>10079</v>
      </c>
      <c r="N964" s="1" t="s">
        <v>1985</v>
      </c>
    </row>
    <row r="965" spans="1:14" s="1" customFormat="1" x14ac:dyDescent="0.35">
      <c r="A965" s="1" t="s">
        <v>5171</v>
      </c>
      <c r="B965" s="1" t="s">
        <v>1930</v>
      </c>
      <c r="C965" s="1" t="s">
        <v>1972</v>
      </c>
      <c r="D965" s="1" t="s">
        <v>10078</v>
      </c>
      <c r="E965" s="1" t="str">
        <f>"8415"</f>
        <v>8415</v>
      </c>
      <c r="F965" s="1" t="str">
        <f>"015802504"</f>
        <v>015802504</v>
      </c>
      <c r="G965" s="1" t="s">
        <v>1988</v>
      </c>
      <c r="H965" s="1" t="s">
        <v>311</v>
      </c>
      <c r="I965" s="4" t="str">
        <f>"1"</f>
        <v>1</v>
      </c>
      <c r="J965" s="2">
        <v>120.1</v>
      </c>
      <c r="K965" s="3">
        <v>46119</v>
      </c>
      <c r="L965" s="3">
        <v>46122</v>
      </c>
      <c r="M965" s="1" t="s">
        <v>10077</v>
      </c>
      <c r="N965" s="1" t="s">
        <v>1985</v>
      </c>
    </row>
    <row r="966" spans="1:14" s="1" customFormat="1" x14ac:dyDescent="0.35">
      <c r="A966" s="1" t="s">
        <v>5171</v>
      </c>
      <c r="B966" s="1" t="s">
        <v>1930</v>
      </c>
      <c r="C966" s="1" t="s">
        <v>1931</v>
      </c>
      <c r="D966" s="1" t="s">
        <v>10076</v>
      </c>
      <c r="E966" s="1" t="str">
        <f>"2340"</f>
        <v>2340</v>
      </c>
      <c r="F966" s="1" t="s">
        <v>84</v>
      </c>
      <c r="G966" s="1" t="s">
        <v>85</v>
      </c>
      <c r="H966" s="1" t="s">
        <v>16</v>
      </c>
      <c r="I966" s="4" t="str">
        <f>"1"</f>
        <v>1</v>
      </c>
      <c r="J966" s="2" t="str">
        <f>"1000"</f>
        <v>1000</v>
      </c>
      <c r="K966" s="3">
        <v>46111</v>
      </c>
      <c r="L966" s="3">
        <v>46123</v>
      </c>
      <c r="M966" s="1" t="s">
        <v>10075</v>
      </c>
      <c r="N966" s="1" t="s">
        <v>10074</v>
      </c>
    </row>
    <row r="967" spans="1:14" s="1" customFormat="1" x14ac:dyDescent="0.35">
      <c r="A967" s="1" t="s">
        <v>5171</v>
      </c>
      <c r="B967" s="1" t="s">
        <v>1930</v>
      </c>
      <c r="C967" s="1" t="s">
        <v>1972</v>
      </c>
      <c r="D967" s="1" t="s">
        <v>10073</v>
      </c>
      <c r="E967" s="1" t="str">
        <f>"5855"</f>
        <v>5855</v>
      </c>
      <c r="F967" s="1" t="str">
        <f>"014684169"</f>
        <v>014684169</v>
      </c>
      <c r="G967" s="1" t="s">
        <v>1366</v>
      </c>
      <c r="H967" s="1" t="s">
        <v>16</v>
      </c>
      <c r="I967" s="4" t="str">
        <f>"4"</f>
        <v>4</v>
      </c>
      <c r="J967" s="2">
        <v>790.97</v>
      </c>
      <c r="K967" s="3">
        <v>46114</v>
      </c>
      <c r="L967" s="3">
        <v>46123</v>
      </c>
      <c r="M967" s="1" t="s">
        <v>10072</v>
      </c>
      <c r="N967" s="1" t="s">
        <v>1982</v>
      </c>
    </row>
    <row r="968" spans="1:14" s="1" customFormat="1" x14ac:dyDescent="0.35">
      <c r="A968" s="1" t="s">
        <v>5171</v>
      </c>
      <c r="B968" s="1" t="s">
        <v>1930</v>
      </c>
      <c r="C968" s="1" t="s">
        <v>1972</v>
      </c>
      <c r="D968" s="1" t="s">
        <v>10071</v>
      </c>
      <c r="E968" s="1" t="str">
        <f>"1240"</f>
        <v>1240</v>
      </c>
      <c r="F968" s="1" t="str">
        <f>"016449166"</f>
        <v>016449166</v>
      </c>
      <c r="G968" s="1" t="s">
        <v>7388</v>
      </c>
      <c r="H968" s="1" t="s">
        <v>16</v>
      </c>
      <c r="I968" s="4" t="str">
        <f>"20"</f>
        <v>20</v>
      </c>
      <c r="J968" s="2" t="str">
        <f>"150"</f>
        <v>150</v>
      </c>
      <c r="K968" s="3">
        <v>46116</v>
      </c>
      <c r="L968" s="3">
        <v>46129</v>
      </c>
      <c r="M968" s="1" t="s">
        <v>10070</v>
      </c>
      <c r="N968" s="1" t="s">
        <v>10023</v>
      </c>
    </row>
    <row r="969" spans="1:14" s="1" customFormat="1" x14ac:dyDescent="0.35">
      <c r="A969" s="1" t="s">
        <v>5171</v>
      </c>
      <c r="B969" s="1" t="s">
        <v>1930</v>
      </c>
      <c r="C969" s="1" t="s">
        <v>2008</v>
      </c>
      <c r="D969" s="1" t="s">
        <v>10069</v>
      </c>
      <c r="E969" s="1" t="str">
        <f>"5855"</f>
        <v>5855</v>
      </c>
      <c r="F969" s="1" t="str">
        <f>"016187613"</f>
        <v>016187613</v>
      </c>
      <c r="G969" s="1" t="s">
        <v>9183</v>
      </c>
      <c r="H969" s="1" t="s">
        <v>16</v>
      </c>
      <c r="I969" s="4" t="str">
        <f>"1"</f>
        <v>1</v>
      </c>
      <c r="J969" s="2" t="str">
        <f>"1050000"</f>
        <v>1050000</v>
      </c>
      <c r="K969" s="3">
        <v>46127</v>
      </c>
      <c r="L969" s="3">
        <v>46129</v>
      </c>
      <c r="M969" s="1" t="s">
        <v>10068</v>
      </c>
      <c r="N969" s="1" t="s">
        <v>10049</v>
      </c>
    </row>
    <row r="970" spans="1:14" s="1" customFormat="1" x14ac:dyDescent="0.35">
      <c r="A970" s="1" t="s">
        <v>5171</v>
      </c>
      <c r="B970" s="1" t="s">
        <v>1930</v>
      </c>
      <c r="C970" s="1" t="s">
        <v>2008</v>
      </c>
      <c r="D970" s="1" t="s">
        <v>10067</v>
      </c>
      <c r="E970" s="1" t="str">
        <f>"6230"</f>
        <v>6230</v>
      </c>
      <c r="F970" s="1" t="s">
        <v>3314</v>
      </c>
      <c r="G970" s="1" t="s">
        <v>3315</v>
      </c>
      <c r="H970" s="1" t="s">
        <v>16</v>
      </c>
      <c r="I970" s="4" t="str">
        <f>"6"</f>
        <v>6</v>
      </c>
      <c r="J970" s="2" t="str">
        <f>"72"</f>
        <v>72</v>
      </c>
      <c r="K970" s="3">
        <v>46129</v>
      </c>
      <c r="L970" s="3">
        <v>46129</v>
      </c>
      <c r="M970" s="1" t="s">
        <v>5167</v>
      </c>
      <c r="N970" s="1" t="s">
        <v>10066</v>
      </c>
    </row>
    <row r="971" spans="1:14" s="1" customFormat="1" x14ac:dyDescent="0.35">
      <c r="A971" s="1" t="s">
        <v>5216</v>
      </c>
      <c r="B971" s="1" t="s">
        <v>1930</v>
      </c>
      <c r="C971" s="1" t="s">
        <v>1956</v>
      </c>
      <c r="D971" s="1" t="s">
        <v>10065</v>
      </c>
      <c r="E971" s="1" t="str">
        <f>"4240"</f>
        <v>4240</v>
      </c>
      <c r="F971" s="1" t="s">
        <v>2930</v>
      </c>
      <c r="G971" s="1" t="s">
        <v>2931</v>
      </c>
      <c r="H971" s="1" t="s">
        <v>16</v>
      </c>
      <c r="I971" s="4" t="str">
        <f>"1"</f>
        <v>1</v>
      </c>
      <c r="J971" s="2" t="str">
        <f>"15000"</f>
        <v>15000</v>
      </c>
      <c r="K971" s="3">
        <v>46130</v>
      </c>
      <c r="L971" s="3">
        <v>46132</v>
      </c>
      <c r="M971" s="1" t="s">
        <v>10064</v>
      </c>
      <c r="N971" s="1" t="s">
        <v>10063</v>
      </c>
    </row>
    <row r="972" spans="1:14" s="1" customFormat="1" x14ac:dyDescent="0.35">
      <c r="A972" s="1" t="s">
        <v>5171</v>
      </c>
      <c r="B972" s="1" t="s">
        <v>1930</v>
      </c>
      <c r="C972" s="1" t="s">
        <v>1972</v>
      </c>
      <c r="D972" s="1" t="s">
        <v>10062</v>
      </c>
      <c r="E972" s="1" t="str">
        <f>"5855"</f>
        <v>5855</v>
      </c>
      <c r="F972" s="1" t="str">
        <f>"015997164"</f>
        <v>015997164</v>
      </c>
      <c r="G972" s="1" t="s">
        <v>1379</v>
      </c>
      <c r="H972" s="1" t="s">
        <v>16</v>
      </c>
      <c r="I972" s="4" t="str">
        <f>"10"</f>
        <v>10</v>
      </c>
      <c r="J972" s="2">
        <v>2696.64</v>
      </c>
      <c r="K972" s="3">
        <v>46109</v>
      </c>
      <c r="L972" s="3">
        <v>46134</v>
      </c>
      <c r="M972" s="1" t="s">
        <v>10061</v>
      </c>
      <c r="N972" s="1" t="s">
        <v>10060</v>
      </c>
    </row>
    <row r="973" spans="1:14" s="1" customFormat="1" x14ac:dyDescent="0.35">
      <c r="A973" s="1" t="s">
        <v>5171</v>
      </c>
      <c r="B973" s="1" t="s">
        <v>1930</v>
      </c>
      <c r="C973" s="1" t="s">
        <v>1972</v>
      </c>
      <c r="D973" s="1" t="s">
        <v>10059</v>
      </c>
      <c r="E973" s="1" t="str">
        <f>"4240"</f>
        <v>4240</v>
      </c>
      <c r="F973" s="1" t="str">
        <f>"016812955"</f>
        <v>016812955</v>
      </c>
      <c r="G973" s="1" t="s">
        <v>3940</v>
      </c>
      <c r="H973" s="1" t="s">
        <v>16</v>
      </c>
      <c r="I973" s="4" t="str">
        <f>"5"</f>
        <v>5</v>
      </c>
      <c r="J973" s="2">
        <v>88.4</v>
      </c>
      <c r="K973" s="3">
        <v>46133</v>
      </c>
      <c r="L973" s="3">
        <v>46135</v>
      </c>
      <c r="M973" s="1" t="s">
        <v>10058</v>
      </c>
      <c r="N973" s="1" t="s">
        <v>10057</v>
      </c>
    </row>
    <row r="974" spans="1:14" s="1" customFormat="1" x14ac:dyDescent="0.35">
      <c r="A974" s="1" t="s">
        <v>5171</v>
      </c>
      <c r="B974" s="1" t="s">
        <v>1930</v>
      </c>
      <c r="C974" s="1" t="s">
        <v>1972</v>
      </c>
      <c r="D974" s="1" t="s">
        <v>10056</v>
      </c>
      <c r="E974" s="1" t="str">
        <f>"6650"</f>
        <v>6650</v>
      </c>
      <c r="F974" s="1" t="s">
        <v>2750</v>
      </c>
      <c r="G974" s="1" t="s">
        <v>2751</v>
      </c>
      <c r="H974" s="1" t="s">
        <v>16</v>
      </c>
      <c r="I974" s="4" t="str">
        <f>"2"</f>
        <v>2</v>
      </c>
      <c r="J974" s="2" t="str">
        <f>"203"</f>
        <v>203</v>
      </c>
      <c r="K974" s="3">
        <v>46133</v>
      </c>
      <c r="L974" s="3">
        <v>46135</v>
      </c>
      <c r="M974" s="1" t="s">
        <v>10055</v>
      </c>
      <c r="N974" s="1" t="s">
        <v>10052</v>
      </c>
    </row>
    <row r="975" spans="1:14" s="1" customFormat="1" x14ac:dyDescent="0.35">
      <c r="A975" s="1" t="s">
        <v>5171</v>
      </c>
      <c r="B975" s="1" t="s">
        <v>1930</v>
      </c>
      <c r="C975" s="1" t="s">
        <v>1972</v>
      </c>
      <c r="D975" s="1" t="s">
        <v>10054</v>
      </c>
      <c r="E975" s="1" t="str">
        <f>"6650"</f>
        <v>6650</v>
      </c>
      <c r="F975" s="1" t="s">
        <v>2750</v>
      </c>
      <c r="G975" s="1" t="s">
        <v>2751</v>
      </c>
      <c r="H975" s="1" t="s">
        <v>16</v>
      </c>
      <c r="I975" s="4" t="str">
        <f>"2"</f>
        <v>2</v>
      </c>
      <c r="J975" s="2" t="str">
        <f>"258"</f>
        <v>258</v>
      </c>
      <c r="K975" s="3">
        <v>46133</v>
      </c>
      <c r="L975" s="3">
        <v>46135</v>
      </c>
      <c r="M975" s="1" t="s">
        <v>10053</v>
      </c>
      <c r="N975" s="1" t="s">
        <v>10052</v>
      </c>
    </row>
    <row r="976" spans="1:14" s="1" customFormat="1" x14ac:dyDescent="0.35">
      <c r="A976" s="1" t="s">
        <v>5171</v>
      </c>
      <c r="B976" s="1" t="s">
        <v>1930</v>
      </c>
      <c r="C976" s="1" t="s">
        <v>2008</v>
      </c>
      <c r="D976" s="1" t="s">
        <v>10051</v>
      </c>
      <c r="E976" s="1" t="str">
        <f>"5855"</f>
        <v>5855</v>
      </c>
      <c r="F976" s="1" t="str">
        <f>"016187613"</f>
        <v>016187613</v>
      </c>
      <c r="G976" s="1" t="s">
        <v>9183</v>
      </c>
      <c r="H976" s="1" t="s">
        <v>16</v>
      </c>
      <c r="I976" s="4" t="str">
        <f>"1"</f>
        <v>1</v>
      </c>
      <c r="J976" s="2" t="str">
        <f>"1050000"</f>
        <v>1050000</v>
      </c>
      <c r="K976" s="3">
        <v>46135</v>
      </c>
      <c r="L976" s="3">
        <v>46137</v>
      </c>
      <c r="M976" s="1" t="s">
        <v>10050</v>
      </c>
      <c r="N976" s="1" t="s">
        <v>10049</v>
      </c>
    </row>
    <row r="977" spans="1:14" s="1" customFormat="1" x14ac:dyDescent="0.35">
      <c r="A977" s="1" t="s">
        <v>5171</v>
      </c>
      <c r="B977" s="1" t="s">
        <v>1930</v>
      </c>
      <c r="C977" s="1" t="s">
        <v>2070</v>
      </c>
      <c r="D977" s="1" t="s">
        <v>10048</v>
      </c>
      <c r="E977" s="1" t="str">
        <f>"1940"</f>
        <v>1940</v>
      </c>
      <c r="F977" s="1" t="s">
        <v>1503</v>
      </c>
      <c r="G977" s="1" t="s">
        <v>1504</v>
      </c>
      <c r="H977" s="1" t="s">
        <v>16</v>
      </c>
      <c r="I977" s="4" t="str">
        <f>"1"</f>
        <v>1</v>
      </c>
      <c r="J977" s="2" t="str">
        <f>"2500"</f>
        <v>2500</v>
      </c>
      <c r="K977" s="3">
        <v>46132</v>
      </c>
      <c r="L977" s="3">
        <v>46137</v>
      </c>
      <c r="M977" s="1" t="s">
        <v>10047</v>
      </c>
      <c r="N977" s="1" t="s">
        <v>10046</v>
      </c>
    </row>
    <row r="978" spans="1:14" s="1" customFormat="1" x14ac:dyDescent="0.35">
      <c r="A978" s="1" t="s">
        <v>5171</v>
      </c>
      <c r="B978" s="1" t="s">
        <v>1930</v>
      </c>
      <c r="C978" s="1" t="s">
        <v>1931</v>
      </c>
      <c r="D978" s="1" t="s">
        <v>10045</v>
      </c>
      <c r="E978" s="1" t="str">
        <f>"3805"</f>
        <v>3805</v>
      </c>
      <c r="F978" s="1" t="str">
        <f>"012575636"</f>
        <v>012575636</v>
      </c>
      <c r="G978" s="1" t="s">
        <v>132</v>
      </c>
      <c r="H978" s="1" t="s">
        <v>16</v>
      </c>
      <c r="I978" s="4" t="str">
        <f>"1"</f>
        <v>1</v>
      </c>
      <c r="J978" s="2" t="str">
        <f>"37532"</f>
        <v>37532</v>
      </c>
      <c r="K978" s="3">
        <v>46137</v>
      </c>
      <c r="L978" s="3">
        <v>46140</v>
      </c>
      <c r="M978" s="1" t="s">
        <v>10044</v>
      </c>
      <c r="N978" s="1" t="s">
        <v>10043</v>
      </c>
    </row>
    <row r="979" spans="1:14" s="1" customFormat="1" x14ac:dyDescent="0.35">
      <c r="A979" s="1" t="s">
        <v>5171</v>
      </c>
      <c r="B979" s="1" t="s">
        <v>1930</v>
      </c>
      <c r="C979" s="1" t="s">
        <v>1996</v>
      </c>
      <c r="D979" s="1" t="s">
        <v>10042</v>
      </c>
      <c r="E979" s="1" t="str">
        <f>"3805"</f>
        <v>3805</v>
      </c>
      <c r="F979" s="1" t="str">
        <f>"012575636"</f>
        <v>012575636</v>
      </c>
      <c r="G979" s="1" t="s">
        <v>132</v>
      </c>
      <c r="H979" s="1" t="s">
        <v>16</v>
      </c>
      <c r="I979" s="4" t="str">
        <f>"1"</f>
        <v>1</v>
      </c>
      <c r="J979" s="2" t="str">
        <f>"37532"</f>
        <v>37532</v>
      </c>
      <c r="K979" s="3">
        <v>46139</v>
      </c>
      <c r="L979" s="3">
        <v>46140</v>
      </c>
      <c r="M979" s="1" t="s">
        <v>10041</v>
      </c>
      <c r="N979" s="1" t="s">
        <v>10040</v>
      </c>
    </row>
    <row r="980" spans="1:14" s="1" customFormat="1" x14ac:dyDescent="0.35">
      <c r="A980" s="1" t="s">
        <v>5171</v>
      </c>
      <c r="B980" s="1" t="s">
        <v>1930</v>
      </c>
      <c r="C980" s="1" t="s">
        <v>1996</v>
      </c>
      <c r="D980" s="1" t="s">
        <v>10039</v>
      </c>
      <c r="E980" s="1" t="str">
        <f>"5180"</f>
        <v>5180</v>
      </c>
      <c r="F980" s="1" t="str">
        <f>"015636719"</f>
        <v>015636719</v>
      </c>
      <c r="G980" s="1" t="s">
        <v>4502</v>
      </c>
      <c r="H980" s="1" t="s">
        <v>215</v>
      </c>
      <c r="I980" s="4" t="str">
        <f>"3"</f>
        <v>3</v>
      </c>
      <c r="J980" s="2" t="str">
        <f>"60295"</f>
        <v>60295</v>
      </c>
      <c r="K980" s="3">
        <v>46139</v>
      </c>
      <c r="L980" s="3">
        <v>46140</v>
      </c>
      <c r="M980" s="1" t="s">
        <v>10038</v>
      </c>
      <c r="N980" s="1" t="s">
        <v>10037</v>
      </c>
    </row>
    <row r="981" spans="1:14" s="1" customFormat="1" x14ac:dyDescent="0.35">
      <c r="A981" s="1" t="s">
        <v>5171</v>
      </c>
      <c r="B981" s="1" t="s">
        <v>1930</v>
      </c>
      <c r="C981" s="1" t="s">
        <v>2008</v>
      </c>
      <c r="D981" s="1" t="s">
        <v>10036</v>
      </c>
      <c r="E981" s="1" t="str">
        <f>"2340"</f>
        <v>2340</v>
      </c>
      <c r="F981" s="1" t="s">
        <v>84</v>
      </c>
      <c r="G981" s="1" t="s">
        <v>85</v>
      </c>
      <c r="H981" s="1" t="s">
        <v>16</v>
      </c>
      <c r="I981" s="4" t="str">
        <f>"1"</f>
        <v>1</v>
      </c>
      <c r="J981" s="2">
        <v>31905.14</v>
      </c>
      <c r="K981" s="3">
        <v>46138</v>
      </c>
      <c r="L981" s="3">
        <v>46143</v>
      </c>
      <c r="M981" s="1" t="s">
        <v>10035</v>
      </c>
      <c r="N981" s="1" t="s">
        <v>10032</v>
      </c>
    </row>
    <row r="982" spans="1:14" s="1" customFormat="1" x14ac:dyDescent="0.35">
      <c r="A982" s="1" t="s">
        <v>5171</v>
      </c>
      <c r="B982" s="1" t="s">
        <v>1930</v>
      </c>
      <c r="C982" s="1" t="s">
        <v>2008</v>
      </c>
      <c r="D982" s="1" t="s">
        <v>10034</v>
      </c>
      <c r="E982" s="1" t="str">
        <f>"2340"</f>
        <v>2340</v>
      </c>
      <c r="F982" s="1" t="s">
        <v>84</v>
      </c>
      <c r="G982" s="1" t="s">
        <v>85</v>
      </c>
      <c r="H982" s="1" t="s">
        <v>16</v>
      </c>
      <c r="I982" s="4" t="str">
        <f>"1"</f>
        <v>1</v>
      </c>
      <c r="J982" s="2">
        <v>31905.14</v>
      </c>
      <c r="K982" s="3">
        <v>46138</v>
      </c>
      <c r="L982" s="3">
        <v>46143</v>
      </c>
      <c r="M982" s="1" t="s">
        <v>10033</v>
      </c>
      <c r="N982" s="1" t="s">
        <v>10032</v>
      </c>
    </row>
    <row r="983" spans="1:14" s="1" customFormat="1" x14ac:dyDescent="0.35">
      <c r="A983" s="1" t="s">
        <v>5171</v>
      </c>
      <c r="B983" s="1" t="s">
        <v>1930</v>
      </c>
      <c r="C983" s="1" t="s">
        <v>9982</v>
      </c>
      <c r="D983" s="1" t="s">
        <v>10031</v>
      </c>
      <c r="E983" s="1" t="str">
        <f>"4940"</f>
        <v>4940</v>
      </c>
      <c r="F983" s="1" t="str">
        <f>"010836052"</f>
        <v>010836052</v>
      </c>
      <c r="G983" s="1" t="s">
        <v>405</v>
      </c>
      <c r="H983" s="1" t="s">
        <v>16</v>
      </c>
      <c r="I983" s="4" t="str">
        <f>"1"</f>
        <v>1</v>
      </c>
      <c r="J983" s="2" t="str">
        <f>"55324"</f>
        <v>55324</v>
      </c>
      <c r="K983" s="3">
        <v>46131</v>
      </c>
      <c r="L983" s="3">
        <v>46144</v>
      </c>
      <c r="M983" s="1" t="s">
        <v>10030</v>
      </c>
      <c r="N983" s="1" t="s">
        <v>10029</v>
      </c>
    </row>
    <row r="984" spans="1:14" s="1" customFormat="1" x14ac:dyDescent="0.35">
      <c r="A984" s="1" t="s">
        <v>5171</v>
      </c>
      <c r="B984" s="1" t="s">
        <v>1930</v>
      </c>
      <c r="C984" s="1" t="s">
        <v>9982</v>
      </c>
      <c r="D984" s="1" t="s">
        <v>10028</v>
      </c>
      <c r="E984" s="1" t="str">
        <f>"2320"</f>
        <v>2320</v>
      </c>
      <c r="F984" s="1" t="str">
        <f>"009636270"</f>
        <v>009636270</v>
      </c>
      <c r="G984" s="1" t="s">
        <v>1961</v>
      </c>
      <c r="H984" s="1" t="s">
        <v>16</v>
      </c>
      <c r="I984" s="4" t="str">
        <f>"1"</f>
        <v>1</v>
      </c>
      <c r="J984" s="2" t="str">
        <f>"166735"</f>
        <v>166735</v>
      </c>
      <c r="K984" s="3">
        <v>46133</v>
      </c>
      <c r="L984" s="3">
        <v>46146</v>
      </c>
      <c r="M984" s="1" t="s">
        <v>10027</v>
      </c>
      <c r="N984" s="1" t="s">
        <v>10026</v>
      </c>
    </row>
    <row r="985" spans="1:14" s="1" customFormat="1" x14ac:dyDescent="0.35">
      <c r="A985" s="1" t="s">
        <v>5171</v>
      </c>
      <c r="B985" s="1" t="s">
        <v>1930</v>
      </c>
      <c r="C985" s="1" t="s">
        <v>1972</v>
      </c>
      <c r="D985" s="1" t="s">
        <v>10025</v>
      </c>
      <c r="E985" s="1" t="str">
        <f>"1240"</f>
        <v>1240</v>
      </c>
      <c r="F985" s="1" t="str">
        <f>"016449166"</f>
        <v>016449166</v>
      </c>
      <c r="G985" s="1" t="s">
        <v>7388</v>
      </c>
      <c r="H985" s="1" t="s">
        <v>16</v>
      </c>
      <c r="I985" s="4" t="str">
        <f>"6"</f>
        <v>6</v>
      </c>
      <c r="J985" s="2" t="str">
        <f>"150"</f>
        <v>150</v>
      </c>
      <c r="K985" s="3">
        <v>46116</v>
      </c>
      <c r="L985" s="3">
        <v>46146</v>
      </c>
      <c r="M985" s="1" t="s">
        <v>10024</v>
      </c>
      <c r="N985" s="1" t="s">
        <v>10023</v>
      </c>
    </row>
    <row r="986" spans="1:14" s="1" customFormat="1" x14ac:dyDescent="0.35">
      <c r="A986" s="1" t="s">
        <v>5171</v>
      </c>
      <c r="B986" s="1" t="s">
        <v>1930</v>
      </c>
      <c r="C986" s="1" t="s">
        <v>2008</v>
      </c>
      <c r="D986" s="1" t="s">
        <v>10022</v>
      </c>
      <c r="E986" s="1" t="str">
        <f>"7830"</f>
        <v>7830</v>
      </c>
      <c r="F986" s="1" t="s">
        <v>453</v>
      </c>
      <c r="G986" s="1" t="s">
        <v>454</v>
      </c>
      <c r="H986" s="1" t="s">
        <v>16</v>
      </c>
      <c r="I986" s="4" t="str">
        <f>"1"</f>
        <v>1</v>
      </c>
      <c r="J986" s="2">
        <v>4264.74</v>
      </c>
      <c r="K986" s="3">
        <v>46138</v>
      </c>
      <c r="L986" s="3">
        <v>46151</v>
      </c>
      <c r="M986" s="1" t="s">
        <v>10021</v>
      </c>
      <c r="N986" s="1" t="s">
        <v>10020</v>
      </c>
    </row>
    <row r="987" spans="1:14" s="1" customFormat="1" x14ac:dyDescent="0.35">
      <c r="A987" s="1" t="s">
        <v>5171</v>
      </c>
      <c r="B987" s="1" t="s">
        <v>1930</v>
      </c>
      <c r="C987" s="1" t="s">
        <v>9982</v>
      </c>
      <c r="D987" s="1" t="s">
        <v>10019</v>
      </c>
      <c r="E987" s="1" t="str">
        <f>"5410"</f>
        <v>5410</v>
      </c>
      <c r="F987" s="1" t="s">
        <v>8792</v>
      </c>
      <c r="G987" s="1" t="s">
        <v>8791</v>
      </c>
      <c r="H987" s="1" t="s">
        <v>16</v>
      </c>
      <c r="I987" s="4" t="str">
        <f>"1"</f>
        <v>1</v>
      </c>
      <c r="J987" s="2" t="str">
        <f>"31790"</f>
        <v>31790</v>
      </c>
      <c r="K987" s="3">
        <v>46131</v>
      </c>
      <c r="L987" s="3">
        <v>46154</v>
      </c>
      <c r="M987" s="1" t="s">
        <v>10018</v>
      </c>
      <c r="N987" s="1" t="s">
        <v>10017</v>
      </c>
    </row>
    <row r="988" spans="1:14" s="1" customFormat="1" x14ac:dyDescent="0.35">
      <c r="A988" s="1" t="s">
        <v>5171</v>
      </c>
      <c r="B988" s="1" t="s">
        <v>1930</v>
      </c>
      <c r="C988" s="1" t="s">
        <v>2008</v>
      </c>
      <c r="D988" s="1" t="s">
        <v>10016</v>
      </c>
      <c r="E988" s="1" t="str">
        <f>"2360"</f>
        <v>2360</v>
      </c>
      <c r="F988" s="1" t="s">
        <v>10015</v>
      </c>
      <c r="G988" s="1" t="s">
        <v>10014</v>
      </c>
      <c r="H988" s="1" t="s">
        <v>16</v>
      </c>
      <c r="I988" s="4" t="str">
        <f>"1"</f>
        <v>1</v>
      </c>
      <c r="J988" s="2" t="str">
        <f>"74500"</f>
        <v>74500</v>
      </c>
      <c r="K988" s="3">
        <v>46144</v>
      </c>
      <c r="L988" s="3">
        <v>46154</v>
      </c>
      <c r="M988" s="1" t="s">
        <v>10013</v>
      </c>
      <c r="N988" s="1" t="s">
        <v>10012</v>
      </c>
    </row>
    <row r="989" spans="1:14" s="1" customFormat="1" x14ac:dyDescent="0.35">
      <c r="A989" s="1" t="s">
        <v>0</v>
      </c>
      <c r="B989" s="1" t="s">
        <v>1930</v>
      </c>
      <c r="C989" s="1" t="s">
        <v>1972</v>
      </c>
      <c r="D989" s="1" t="s">
        <v>10011</v>
      </c>
      <c r="E989" s="1" t="str">
        <f>"5855"</f>
        <v>5855</v>
      </c>
      <c r="F989" s="1" t="str">
        <f>"015485687"</f>
        <v>015485687</v>
      </c>
      <c r="G989" s="1" t="s">
        <v>1921</v>
      </c>
      <c r="H989" s="1" t="s">
        <v>16</v>
      </c>
      <c r="I989" s="4" t="str">
        <f>"1"</f>
        <v>1</v>
      </c>
      <c r="J989" s="2" t="str">
        <f>"10402"</f>
        <v>10402</v>
      </c>
      <c r="K989" s="3">
        <v>46156</v>
      </c>
      <c r="L989" s="3">
        <v>46157</v>
      </c>
      <c r="M989" s="1" t="s">
        <v>9998</v>
      </c>
      <c r="N989" s="1" t="s">
        <v>10005</v>
      </c>
    </row>
    <row r="990" spans="1:14" s="1" customFormat="1" x14ac:dyDescent="0.35">
      <c r="A990" s="1" t="s">
        <v>0</v>
      </c>
      <c r="B990" s="1" t="s">
        <v>1930</v>
      </c>
      <c r="C990" s="1" t="s">
        <v>1972</v>
      </c>
      <c r="D990" s="1" t="s">
        <v>10010</v>
      </c>
      <c r="E990" s="1" t="str">
        <f>"5855"</f>
        <v>5855</v>
      </c>
      <c r="F990" s="1" t="str">
        <f>"015485687"</f>
        <v>015485687</v>
      </c>
      <c r="G990" s="1" t="s">
        <v>1921</v>
      </c>
      <c r="H990" s="1" t="s">
        <v>16</v>
      </c>
      <c r="I990" s="4" t="str">
        <f>"1"</f>
        <v>1</v>
      </c>
      <c r="J990" s="2" t="str">
        <f>"10402"</f>
        <v>10402</v>
      </c>
      <c r="K990" s="3">
        <v>46156</v>
      </c>
      <c r="L990" s="3">
        <v>46157</v>
      </c>
      <c r="M990" s="1" t="s">
        <v>9998</v>
      </c>
      <c r="N990" s="1" t="s">
        <v>10005</v>
      </c>
    </row>
    <row r="991" spans="1:14" s="1" customFormat="1" x14ac:dyDescent="0.35">
      <c r="A991" s="1" t="s">
        <v>0</v>
      </c>
      <c r="B991" s="1" t="s">
        <v>1930</v>
      </c>
      <c r="C991" s="1" t="s">
        <v>1972</v>
      </c>
      <c r="D991" s="1" t="s">
        <v>10009</v>
      </c>
      <c r="E991" s="1" t="str">
        <f>"5855"</f>
        <v>5855</v>
      </c>
      <c r="F991" s="1" t="str">
        <f>"015485687"</f>
        <v>015485687</v>
      </c>
      <c r="G991" s="1" t="s">
        <v>1921</v>
      </c>
      <c r="H991" s="1" t="s">
        <v>16</v>
      </c>
      <c r="I991" s="4" t="str">
        <f>"1"</f>
        <v>1</v>
      </c>
      <c r="J991" s="2" t="str">
        <f>"10402"</f>
        <v>10402</v>
      </c>
      <c r="K991" s="3">
        <v>46156</v>
      </c>
      <c r="L991" s="3">
        <v>46157</v>
      </c>
      <c r="M991" s="1" t="s">
        <v>9998</v>
      </c>
      <c r="N991" s="1" t="s">
        <v>10005</v>
      </c>
    </row>
    <row r="992" spans="1:14" s="1" customFormat="1" x14ac:dyDescent="0.35">
      <c r="A992" s="1" t="s">
        <v>0</v>
      </c>
      <c r="B992" s="1" t="s">
        <v>1930</v>
      </c>
      <c r="C992" s="1" t="s">
        <v>1972</v>
      </c>
      <c r="D992" s="1" t="s">
        <v>10008</v>
      </c>
      <c r="E992" s="1" t="str">
        <f>"5855"</f>
        <v>5855</v>
      </c>
      <c r="F992" s="1" t="str">
        <f>"015485687"</f>
        <v>015485687</v>
      </c>
      <c r="G992" s="1" t="s">
        <v>1921</v>
      </c>
      <c r="H992" s="1" t="s">
        <v>16</v>
      </c>
      <c r="I992" s="4" t="str">
        <f>"1"</f>
        <v>1</v>
      </c>
      <c r="J992" s="2" t="str">
        <f>"10402"</f>
        <v>10402</v>
      </c>
      <c r="K992" s="3">
        <v>46156</v>
      </c>
      <c r="L992" s="3">
        <v>46157</v>
      </c>
      <c r="M992" s="1" t="s">
        <v>9998</v>
      </c>
      <c r="N992" s="1" t="s">
        <v>10005</v>
      </c>
    </row>
    <row r="993" spans="1:14" s="1" customFormat="1" x14ac:dyDescent="0.35">
      <c r="A993" s="1" t="s">
        <v>0</v>
      </c>
      <c r="B993" s="1" t="s">
        <v>1930</v>
      </c>
      <c r="C993" s="1" t="s">
        <v>1972</v>
      </c>
      <c r="D993" s="1" t="s">
        <v>10007</v>
      </c>
      <c r="E993" s="1" t="str">
        <f>"5855"</f>
        <v>5855</v>
      </c>
      <c r="F993" s="1" t="str">
        <f>"015485687"</f>
        <v>015485687</v>
      </c>
      <c r="G993" s="1" t="s">
        <v>1921</v>
      </c>
      <c r="H993" s="1" t="s">
        <v>16</v>
      </c>
      <c r="I993" s="4" t="str">
        <f>"1"</f>
        <v>1</v>
      </c>
      <c r="J993" s="2" t="str">
        <f>"10402"</f>
        <v>10402</v>
      </c>
      <c r="K993" s="3">
        <v>46156</v>
      </c>
      <c r="L993" s="3">
        <v>46157</v>
      </c>
      <c r="M993" s="1" t="s">
        <v>9998</v>
      </c>
      <c r="N993" s="1" t="s">
        <v>10005</v>
      </c>
    </row>
    <row r="994" spans="1:14" s="1" customFormat="1" x14ac:dyDescent="0.35">
      <c r="A994" s="1" t="s">
        <v>0</v>
      </c>
      <c r="B994" s="1" t="s">
        <v>1930</v>
      </c>
      <c r="C994" s="1" t="s">
        <v>1972</v>
      </c>
      <c r="D994" s="1" t="s">
        <v>10006</v>
      </c>
      <c r="E994" s="1" t="str">
        <f>"5855"</f>
        <v>5855</v>
      </c>
      <c r="F994" s="1" t="str">
        <f>"015485687"</f>
        <v>015485687</v>
      </c>
      <c r="G994" s="1" t="s">
        <v>1921</v>
      </c>
      <c r="H994" s="1" t="s">
        <v>16</v>
      </c>
      <c r="I994" s="4" t="str">
        <f>"1"</f>
        <v>1</v>
      </c>
      <c r="J994" s="2" t="str">
        <f>"10402"</f>
        <v>10402</v>
      </c>
      <c r="K994" s="3">
        <v>46156</v>
      </c>
      <c r="L994" s="3">
        <v>46157</v>
      </c>
      <c r="M994" s="1" t="s">
        <v>9998</v>
      </c>
      <c r="N994" s="1" t="s">
        <v>10005</v>
      </c>
    </row>
    <row r="995" spans="1:14" s="1" customFormat="1" x14ac:dyDescent="0.35">
      <c r="A995" s="1" t="s">
        <v>5171</v>
      </c>
      <c r="B995" s="1" t="s">
        <v>1930</v>
      </c>
      <c r="C995" s="1" t="s">
        <v>1931</v>
      </c>
      <c r="D995" s="1" t="s">
        <v>10004</v>
      </c>
      <c r="E995" s="1" t="str">
        <f>"2320"</f>
        <v>2320</v>
      </c>
      <c r="F995" s="1" t="str">
        <f>"010919076"</f>
        <v>010919076</v>
      </c>
      <c r="G995" s="1" t="s">
        <v>2303</v>
      </c>
      <c r="H995" s="1" t="s">
        <v>16</v>
      </c>
      <c r="I995" s="4" t="str">
        <f>"1"</f>
        <v>1</v>
      </c>
      <c r="J995" s="2" t="str">
        <f>"18044"</f>
        <v>18044</v>
      </c>
      <c r="K995" s="3">
        <v>46130</v>
      </c>
      <c r="L995" s="3">
        <v>46157</v>
      </c>
      <c r="M995" s="1" t="s">
        <v>10003</v>
      </c>
      <c r="N995" s="1" t="s">
        <v>10000</v>
      </c>
    </row>
    <row r="996" spans="1:14" s="1" customFormat="1" x14ac:dyDescent="0.35">
      <c r="A996" s="1" t="s">
        <v>5171</v>
      </c>
      <c r="B996" s="1" t="s">
        <v>1930</v>
      </c>
      <c r="C996" s="1" t="s">
        <v>1931</v>
      </c>
      <c r="D996" s="1" t="s">
        <v>10002</v>
      </c>
      <c r="E996" s="1" t="str">
        <f>"2320"</f>
        <v>2320</v>
      </c>
      <c r="F996" s="1" t="str">
        <f>"010919076"</f>
        <v>010919076</v>
      </c>
      <c r="G996" s="1" t="s">
        <v>2303</v>
      </c>
      <c r="H996" s="1" t="s">
        <v>16</v>
      </c>
      <c r="I996" s="4" t="str">
        <f>"1"</f>
        <v>1</v>
      </c>
      <c r="J996" s="2" t="str">
        <f>"18044"</f>
        <v>18044</v>
      </c>
      <c r="K996" s="3">
        <v>46130</v>
      </c>
      <c r="L996" s="3">
        <v>46157</v>
      </c>
      <c r="M996" s="1" t="s">
        <v>10001</v>
      </c>
      <c r="N996" s="1" t="s">
        <v>10000</v>
      </c>
    </row>
    <row r="997" spans="1:14" s="1" customFormat="1" x14ac:dyDescent="0.35">
      <c r="A997" s="1" t="s">
        <v>0</v>
      </c>
      <c r="B997" s="1" t="s">
        <v>1930</v>
      </c>
      <c r="C997" s="1" t="s">
        <v>2070</v>
      </c>
      <c r="D997" s="1" t="s">
        <v>9999</v>
      </c>
      <c r="E997" s="1" t="str">
        <f>"1550"</f>
        <v>1550</v>
      </c>
      <c r="F997" s="1" t="str">
        <f>"015389256"</f>
        <v>015389256</v>
      </c>
      <c r="G997" s="1" t="s">
        <v>203</v>
      </c>
      <c r="H997" s="1" t="s">
        <v>16</v>
      </c>
      <c r="I997" s="4" t="str">
        <f>"1"</f>
        <v>1</v>
      </c>
      <c r="J997" s="2" t="str">
        <f>"100000"</f>
        <v>100000</v>
      </c>
      <c r="K997" s="3">
        <v>46160</v>
      </c>
      <c r="L997" s="3">
        <v>46160</v>
      </c>
      <c r="M997" s="1" t="s">
        <v>9998</v>
      </c>
      <c r="N997" s="1" t="s">
        <v>9997</v>
      </c>
    </row>
    <row r="998" spans="1:14" s="1" customFormat="1" x14ac:dyDescent="0.35">
      <c r="A998" s="1" t="s">
        <v>5171</v>
      </c>
      <c r="B998" s="1" t="s">
        <v>1930</v>
      </c>
      <c r="C998" s="1" t="s">
        <v>1931</v>
      </c>
      <c r="D998" s="1" t="s">
        <v>9996</v>
      </c>
      <c r="E998" s="1" t="str">
        <f>"3805"</f>
        <v>3805</v>
      </c>
      <c r="F998" s="1" t="str">
        <f>"015524487"</f>
        <v>015524487</v>
      </c>
      <c r="G998" s="1" t="s">
        <v>6632</v>
      </c>
      <c r="H998" s="1" t="s">
        <v>16</v>
      </c>
      <c r="I998" s="4" t="str">
        <f>"1"</f>
        <v>1</v>
      </c>
      <c r="J998" s="2" t="str">
        <f>"42630"</f>
        <v>42630</v>
      </c>
      <c r="K998" s="3">
        <v>46158</v>
      </c>
      <c r="L998" s="3">
        <v>46161</v>
      </c>
      <c r="M998" s="1" t="s">
        <v>9995</v>
      </c>
      <c r="N998" s="1" t="s">
        <v>9992</v>
      </c>
    </row>
    <row r="999" spans="1:14" s="1" customFormat="1" x14ac:dyDescent="0.35">
      <c r="A999" s="1" t="s">
        <v>5171</v>
      </c>
      <c r="B999" s="1" t="s">
        <v>1930</v>
      </c>
      <c r="C999" s="1" t="s">
        <v>1931</v>
      </c>
      <c r="D999" s="1" t="s">
        <v>9994</v>
      </c>
      <c r="E999" s="1" t="str">
        <f>"3805"</f>
        <v>3805</v>
      </c>
      <c r="F999" s="1" t="str">
        <f>"015524487"</f>
        <v>015524487</v>
      </c>
      <c r="G999" s="1" t="s">
        <v>6632</v>
      </c>
      <c r="H999" s="1" t="s">
        <v>16</v>
      </c>
      <c r="I999" s="4" t="str">
        <f>"1"</f>
        <v>1</v>
      </c>
      <c r="J999" s="2" t="str">
        <f>"42630"</f>
        <v>42630</v>
      </c>
      <c r="K999" s="3">
        <v>46158</v>
      </c>
      <c r="L999" s="3">
        <v>46161</v>
      </c>
      <c r="M999" s="1" t="s">
        <v>9993</v>
      </c>
      <c r="N999" s="1" t="s">
        <v>9992</v>
      </c>
    </row>
    <row r="1000" spans="1:14" s="1" customFormat="1" x14ac:dyDescent="0.35">
      <c r="A1000" s="1" t="s">
        <v>5171</v>
      </c>
      <c r="B1000" s="1" t="s">
        <v>1930</v>
      </c>
      <c r="C1000" s="1" t="s">
        <v>2008</v>
      </c>
      <c r="D1000" s="1" t="s">
        <v>9991</v>
      </c>
      <c r="E1000" s="1" t="str">
        <f>"5965"</f>
        <v>5965</v>
      </c>
      <c r="F1000" s="1" t="str">
        <f>"015727829"</f>
        <v>015727829</v>
      </c>
      <c r="G1000" s="1" t="s">
        <v>1561</v>
      </c>
      <c r="H1000" s="1" t="s">
        <v>215</v>
      </c>
      <c r="I1000" s="4" t="str">
        <f>"20"</f>
        <v>20</v>
      </c>
      <c r="J1000" s="2">
        <v>1325.47</v>
      </c>
      <c r="K1000" s="3">
        <v>46160</v>
      </c>
      <c r="L1000" s="3">
        <v>46162</v>
      </c>
      <c r="M1000" s="1" t="s">
        <v>9990</v>
      </c>
      <c r="N1000" s="1" t="s">
        <v>9989</v>
      </c>
    </row>
    <row r="1001" spans="1:14" s="1" customFormat="1" x14ac:dyDescent="0.35">
      <c r="A1001" s="1" t="s">
        <v>5171</v>
      </c>
      <c r="B1001" s="1" t="s">
        <v>1930</v>
      </c>
      <c r="C1001" s="1" t="s">
        <v>9982</v>
      </c>
      <c r="D1001" s="1" t="s">
        <v>9988</v>
      </c>
      <c r="E1001" s="1" t="str">
        <f>"7125"</f>
        <v>7125</v>
      </c>
      <c r="F1001" s="1" t="s">
        <v>111</v>
      </c>
      <c r="G1001" s="1" t="s">
        <v>112</v>
      </c>
      <c r="H1001" s="1" t="s">
        <v>16</v>
      </c>
      <c r="I1001" s="4" t="str">
        <f>"1"</f>
        <v>1</v>
      </c>
      <c r="J1001" s="2" t="str">
        <f>"100"</f>
        <v>100</v>
      </c>
      <c r="K1001" s="3">
        <v>46147</v>
      </c>
      <c r="L1001" s="3">
        <v>46163</v>
      </c>
      <c r="M1001" s="1" t="s">
        <v>9987</v>
      </c>
      <c r="N1001" s="1" t="s">
        <v>9986</v>
      </c>
    </row>
    <row r="1002" spans="1:14" s="1" customFormat="1" x14ac:dyDescent="0.35">
      <c r="A1002" s="1" t="s">
        <v>5171</v>
      </c>
      <c r="B1002" s="1" t="s">
        <v>1930</v>
      </c>
      <c r="C1002" s="1" t="s">
        <v>9982</v>
      </c>
      <c r="D1002" s="1" t="s">
        <v>9985</v>
      </c>
      <c r="E1002" s="1" t="str">
        <f>"5440"</f>
        <v>5440</v>
      </c>
      <c r="F1002" s="1" t="s">
        <v>142</v>
      </c>
      <c r="G1002" s="1" t="s">
        <v>143</v>
      </c>
      <c r="H1002" s="1" t="s">
        <v>16</v>
      </c>
      <c r="I1002" s="4" t="str">
        <f>"2"</f>
        <v>2</v>
      </c>
      <c r="J1002" s="2" t="str">
        <f>"200"</f>
        <v>200</v>
      </c>
      <c r="K1002" s="3">
        <v>46147</v>
      </c>
      <c r="L1002" s="3">
        <v>46163</v>
      </c>
      <c r="M1002" s="1" t="s">
        <v>9984</v>
      </c>
      <c r="N1002" s="1" t="s">
        <v>9983</v>
      </c>
    </row>
    <row r="1003" spans="1:14" s="1" customFormat="1" x14ac:dyDescent="0.35">
      <c r="A1003" s="1" t="s">
        <v>5171</v>
      </c>
      <c r="B1003" s="1" t="s">
        <v>1930</v>
      </c>
      <c r="C1003" s="1" t="s">
        <v>9982</v>
      </c>
      <c r="D1003" s="1" t="s">
        <v>9981</v>
      </c>
      <c r="E1003" s="1" t="str">
        <f>"7125"</f>
        <v>7125</v>
      </c>
      <c r="F1003" s="1" t="s">
        <v>9980</v>
      </c>
      <c r="G1003" s="1" t="s">
        <v>9979</v>
      </c>
      <c r="H1003" s="1" t="s">
        <v>16</v>
      </c>
      <c r="I1003" s="4" t="str">
        <f>"1"</f>
        <v>1</v>
      </c>
      <c r="J1003" s="2" t="str">
        <f>"250"</f>
        <v>250</v>
      </c>
      <c r="K1003" s="3">
        <v>46147</v>
      </c>
      <c r="L1003" s="3">
        <v>46163</v>
      </c>
      <c r="M1003" s="1" t="s">
        <v>9978</v>
      </c>
      <c r="N1003" s="1" t="s">
        <v>9977</v>
      </c>
    </row>
    <row r="1004" spans="1:14" s="1" customFormat="1" x14ac:dyDescent="0.35">
      <c r="A1004" s="1" t="s">
        <v>5171</v>
      </c>
      <c r="B1004" s="1" t="s">
        <v>1930</v>
      </c>
      <c r="C1004" s="1" t="s">
        <v>1972</v>
      </c>
      <c r="D1004" s="1" t="s">
        <v>9976</v>
      </c>
      <c r="E1004" s="1" t="str">
        <f>"2360"</f>
        <v>2360</v>
      </c>
      <c r="F1004" s="1" t="str">
        <f>"015768653"</f>
        <v>015768653</v>
      </c>
      <c r="G1004" s="1" t="s">
        <v>2021</v>
      </c>
      <c r="H1004" s="1" t="s">
        <v>16</v>
      </c>
      <c r="I1004" s="4" t="str">
        <f>"1"</f>
        <v>1</v>
      </c>
      <c r="J1004" s="2">
        <v>12704.58</v>
      </c>
      <c r="K1004" s="3">
        <v>46163</v>
      </c>
      <c r="L1004" s="3">
        <v>46164</v>
      </c>
      <c r="M1004" s="1" t="s">
        <v>5167</v>
      </c>
      <c r="N1004" s="1" t="s">
        <v>9972</v>
      </c>
    </row>
    <row r="1005" spans="1:14" s="1" customFormat="1" x14ac:dyDescent="0.35">
      <c r="A1005" s="1" t="s">
        <v>5171</v>
      </c>
      <c r="B1005" s="1" t="s">
        <v>1930</v>
      </c>
      <c r="C1005" s="1" t="s">
        <v>1972</v>
      </c>
      <c r="D1005" s="1" t="s">
        <v>9975</v>
      </c>
      <c r="E1005" s="1" t="str">
        <f>"2360"</f>
        <v>2360</v>
      </c>
      <c r="F1005" s="1" t="str">
        <f>"015768653"</f>
        <v>015768653</v>
      </c>
      <c r="G1005" s="1" t="s">
        <v>2021</v>
      </c>
      <c r="H1005" s="1" t="s">
        <v>16</v>
      </c>
      <c r="I1005" s="4" t="str">
        <f>"1"</f>
        <v>1</v>
      </c>
      <c r="J1005" s="2">
        <v>12704.58</v>
      </c>
      <c r="K1005" s="3">
        <v>46163</v>
      </c>
      <c r="L1005" s="3">
        <v>46164</v>
      </c>
      <c r="M1005" s="1" t="s">
        <v>5167</v>
      </c>
      <c r="N1005" s="1" t="s">
        <v>9972</v>
      </c>
    </row>
    <row r="1006" spans="1:14" s="1" customFormat="1" x14ac:dyDescent="0.35">
      <c r="A1006" s="1" t="s">
        <v>5171</v>
      </c>
      <c r="B1006" s="1" t="s">
        <v>1930</v>
      </c>
      <c r="C1006" s="1" t="s">
        <v>1972</v>
      </c>
      <c r="D1006" s="1" t="s">
        <v>9974</v>
      </c>
      <c r="E1006" s="1" t="str">
        <f>"2360"</f>
        <v>2360</v>
      </c>
      <c r="F1006" s="1" t="str">
        <f>"015768653"</f>
        <v>015768653</v>
      </c>
      <c r="G1006" s="1" t="s">
        <v>2021</v>
      </c>
      <c r="H1006" s="1" t="s">
        <v>16</v>
      </c>
      <c r="I1006" s="4" t="str">
        <f>"1"</f>
        <v>1</v>
      </c>
      <c r="J1006" s="2">
        <v>12704.58</v>
      </c>
      <c r="K1006" s="3">
        <v>46163</v>
      </c>
      <c r="L1006" s="3">
        <v>46164</v>
      </c>
      <c r="M1006" s="1" t="s">
        <v>5167</v>
      </c>
      <c r="N1006" s="1" t="s">
        <v>9972</v>
      </c>
    </row>
    <row r="1007" spans="1:14" s="1" customFormat="1" x14ac:dyDescent="0.35">
      <c r="A1007" s="1" t="s">
        <v>5171</v>
      </c>
      <c r="B1007" s="1" t="s">
        <v>1930</v>
      </c>
      <c r="C1007" s="1" t="s">
        <v>1972</v>
      </c>
      <c r="D1007" s="1" t="s">
        <v>9973</v>
      </c>
      <c r="E1007" s="1" t="str">
        <f>"2360"</f>
        <v>2360</v>
      </c>
      <c r="F1007" s="1" t="str">
        <f>"015768653"</f>
        <v>015768653</v>
      </c>
      <c r="G1007" s="1" t="s">
        <v>2021</v>
      </c>
      <c r="H1007" s="1" t="s">
        <v>16</v>
      </c>
      <c r="I1007" s="4" t="str">
        <f>"1"</f>
        <v>1</v>
      </c>
      <c r="J1007" s="2">
        <v>12704.58</v>
      </c>
      <c r="K1007" s="3">
        <v>46163</v>
      </c>
      <c r="L1007" s="3">
        <v>46164</v>
      </c>
      <c r="M1007" s="1" t="s">
        <v>5167</v>
      </c>
      <c r="N1007" s="1" t="s">
        <v>9972</v>
      </c>
    </row>
    <row r="1008" spans="1:14" s="1" customFormat="1" x14ac:dyDescent="0.35">
      <c r="A1008" s="1" t="s">
        <v>5171</v>
      </c>
      <c r="B1008" s="1" t="s">
        <v>1930</v>
      </c>
      <c r="C1008" s="1" t="s">
        <v>2088</v>
      </c>
      <c r="D1008" s="1" t="s">
        <v>9971</v>
      </c>
      <c r="E1008" s="1" t="str">
        <f>"1550"</f>
        <v>1550</v>
      </c>
      <c r="F1008" s="1" t="str">
        <f>"016215533"</f>
        <v>016215533</v>
      </c>
      <c r="G1008" s="1" t="s">
        <v>1417</v>
      </c>
      <c r="H1008" s="1" t="s">
        <v>16</v>
      </c>
      <c r="I1008" s="4" t="str">
        <f>"1"</f>
        <v>1</v>
      </c>
      <c r="J1008" s="2" t="str">
        <f>"168000"</f>
        <v>168000</v>
      </c>
      <c r="K1008" s="3">
        <v>46163</v>
      </c>
      <c r="L1008" s="3">
        <v>46165</v>
      </c>
      <c r="M1008" s="1" t="s">
        <v>5167</v>
      </c>
      <c r="N1008" s="1" t="s">
        <v>2090</v>
      </c>
    </row>
    <row r="1009" spans="1:14" s="1" customFormat="1" x14ac:dyDescent="0.35">
      <c r="A1009" s="1" t="s">
        <v>5171</v>
      </c>
      <c r="B1009" s="1" t="s">
        <v>1930</v>
      </c>
      <c r="C1009" s="1" t="s">
        <v>1996</v>
      </c>
      <c r="D1009" s="1" t="s">
        <v>9970</v>
      </c>
      <c r="E1009" s="1" t="str">
        <f>"1550"</f>
        <v>1550</v>
      </c>
      <c r="F1009" s="1" t="str">
        <f>"016817889"</f>
        <v>016817889</v>
      </c>
      <c r="G1009" s="1" t="s">
        <v>1417</v>
      </c>
      <c r="H1009" s="1" t="s">
        <v>215</v>
      </c>
      <c r="I1009" s="4" t="str">
        <f>"2"</f>
        <v>2</v>
      </c>
      <c r="J1009" s="2">
        <v>19550.3</v>
      </c>
      <c r="K1009" s="3">
        <v>46168</v>
      </c>
      <c r="L1009" s="3">
        <v>46169</v>
      </c>
      <c r="M1009" s="1" t="s">
        <v>9969</v>
      </c>
      <c r="N1009" s="1" t="s">
        <v>9968</v>
      </c>
    </row>
    <row r="1010" spans="1:14" s="1" customFormat="1" x14ac:dyDescent="0.35">
      <c r="A1010" s="1" t="s">
        <v>5171</v>
      </c>
      <c r="B1010" s="1" t="s">
        <v>1930</v>
      </c>
      <c r="C1010" s="1" t="s">
        <v>2070</v>
      </c>
      <c r="D1010" s="1" t="s">
        <v>9967</v>
      </c>
      <c r="E1010" s="1" t="str">
        <f>"1550"</f>
        <v>1550</v>
      </c>
      <c r="F1010" s="1" t="s">
        <v>199</v>
      </c>
      <c r="G1010" s="1" t="s">
        <v>200</v>
      </c>
      <c r="H1010" s="1" t="s">
        <v>16</v>
      </c>
      <c r="I1010" s="4" t="str">
        <f>"1"</f>
        <v>1</v>
      </c>
      <c r="J1010" s="2" t="str">
        <f>"42300"</f>
        <v>42300</v>
      </c>
      <c r="K1010" s="3">
        <v>46168</v>
      </c>
      <c r="L1010" s="3">
        <v>46169</v>
      </c>
      <c r="M1010" s="1" t="s">
        <v>9966</v>
      </c>
      <c r="N1010" s="1" t="s">
        <v>9965</v>
      </c>
    </row>
    <row r="1011" spans="1:14" s="1" customFormat="1" x14ac:dyDescent="0.35">
      <c r="A1011" s="1" t="s">
        <v>5171</v>
      </c>
      <c r="B1011" s="1" t="s">
        <v>1930</v>
      </c>
      <c r="C1011" s="1" t="s">
        <v>2070</v>
      </c>
      <c r="D1011" s="1" t="s">
        <v>9964</v>
      </c>
      <c r="E1011" s="1" t="str">
        <f>"1550"</f>
        <v>1550</v>
      </c>
      <c r="F1011" s="1" t="str">
        <f>"016817889"</f>
        <v>016817889</v>
      </c>
      <c r="G1011" s="1" t="s">
        <v>1417</v>
      </c>
      <c r="H1011" s="1" t="s">
        <v>215</v>
      </c>
      <c r="I1011" s="4" t="str">
        <f>"1"</f>
        <v>1</v>
      </c>
      <c r="J1011" s="2">
        <v>19550.3</v>
      </c>
      <c r="K1011" s="3">
        <v>46168</v>
      </c>
      <c r="L1011" s="3">
        <v>46169</v>
      </c>
      <c r="M1011" s="1" t="s">
        <v>9963</v>
      </c>
      <c r="N1011" s="1" t="s">
        <v>9962</v>
      </c>
    </row>
    <row r="1012" spans="1:14" s="1" customFormat="1" x14ac:dyDescent="0.35">
      <c r="A1012" s="1" t="s">
        <v>5171</v>
      </c>
      <c r="B1012" s="1" t="s">
        <v>1930</v>
      </c>
      <c r="C1012" s="1" t="s">
        <v>2008</v>
      </c>
      <c r="D1012" s="1" t="s">
        <v>9961</v>
      </c>
      <c r="E1012" s="1" t="str">
        <f>"3990"</f>
        <v>3990</v>
      </c>
      <c r="F1012" s="1" t="str">
        <f>"016884520"</f>
        <v>016884520</v>
      </c>
      <c r="G1012" s="1" t="s">
        <v>7466</v>
      </c>
      <c r="H1012" s="1" t="s">
        <v>16</v>
      </c>
      <c r="I1012" s="4" t="str">
        <f>"100"</f>
        <v>100</v>
      </c>
      <c r="J1012" s="2">
        <v>22.24</v>
      </c>
      <c r="K1012" s="3">
        <v>46165</v>
      </c>
      <c r="L1012" s="3">
        <v>46171</v>
      </c>
      <c r="M1012" s="1" t="s">
        <v>9960</v>
      </c>
      <c r="N1012" s="1" t="s">
        <v>9959</v>
      </c>
    </row>
    <row r="1013" spans="1:14" s="1" customFormat="1" x14ac:dyDescent="0.35">
      <c r="A1013" s="1" t="s">
        <v>5216</v>
      </c>
      <c r="B1013" s="1" t="s">
        <v>1930</v>
      </c>
      <c r="C1013" s="1" t="s">
        <v>2008</v>
      </c>
      <c r="D1013" s="1" t="s">
        <v>9958</v>
      </c>
      <c r="E1013" s="1" t="str">
        <f>"4210"</f>
        <v>4210</v>
      </c>
      <c r="F1013" s="1" t="str">
        <f>"015235744"</f>
        <v>015235744</v>
      </c>
      <c r="G1013" s="1" t="s">
        <v>2225</v>
      </c>
      <c r="H1013" s="1" t="s">
        <v>16</v>
      </c>
      <c r="I1013" s="4" t="str">
        <f>"1"</f>
        <v>1</v>
      </c>
      <c r="J1013" s="2" t="str">
        <f>"375636"</f>
        <v>375636</v>
      </c>
      <c r="K1013" s="3">
        <v>46172</v>
      </c>
      <c r="L1013" s="3">
        <v>46174</v>
      </c>
      <c r="M1013" s="1" t="s">
        <v>9957</v>
      </c>
      <c r="N1013" s="1" t="s">
        <v>9956</v>
      </c>
    </row>
    <row r="1014" spans="1:14" s="1" customFormat="1" x14ac:dyDescent="0.35">
      <c r="A1014" s="1" t="s">
        <v>5171</v>
      </c>
      <c r="B1014" s="1" t="s">
        <v>1930</v>
      </c>
      <c r="C1014" s="1" t="s">
        <v>1931</v>
      </c>
      <c r="D1014" s="1" t="s">
        <v>9955</v>
      </c>
      <c r="E1014" s="1" t="str">
        <f>"7450"</f>
        <v>7450</v>
      </c>
      <c r="F1014" s="1" t="s">
        <v>9954</v>
      </c>
      <c r="G1014" s="1" t="s">
        <v>9953</v>
      </c>
      <c r="H1014" s="1" t="s">
        <v>16</v>
      </c>
      <c r="I1014" s="4" t="str">
        <f>"1"</f>
        <v>1</v>
      </c>
      <c r="J1014" s="2" t="str">
        <f>"7000"</f>
        <v>7000</v>
      </c>
      <c r="K1014" s="3">
        <v>46158</v>
      </c>
      <c r="L1014" s="3">
        <v>46175</v>
      </c>
      <c r="M1014" s="1" t="s">
        <v>9952</v>
      </c>
      <c r="N1014" s="1" t="s">
        <v>9951</v>
      </c>
    </row>
    <row r="1015" spans="1:14" s="1" customFormat="1" x14ac:dyDescent="0.35">
      <c r="A1015" s="1" t="s">
        <v>5171</v>
      </c>
      <c r="B1015" s="1" t="s">
        <v>1930</v>
      </c>
      <c r="C1015" s="1" t="s">
        <v>2008</v>
      </c>
      <c r="D1015" s="1" t="s">
        <v>9950</v>
      </c>
      <c r="E1015" s="1" t="str">
        <f>"5965"</f>
        <v>5965</v>
      </c>
      <c r="F1015" s="1" t="str">
        <f>"015727829"</f>
        <v>015727829</v>
      </c>
      <c r="G1015" s="1" t="s">
        <v>1561</v>
      </c>
      <c r="H1015" s="1" t="s">
        <v>215</v>
      </c>
      <c r="I1015" s="4" t="str">
        <f>"9"</f>
        <v>9</v>
      </c>
      <c r="J1015" s="2">
        <v>1325.47</v>
      </c>
      <c r="K1015" s="3">
        <v>46172</v>
      </c>
      <c r="L1015" s="3">
        <v>46177</v>
      </c>
      <c r="M1015" s="1" t="s">
        <v>9949</v>
      </c>
      <c r="N1015" s="1" t="s">
        <v>9948</v>
      </c>
    </row>
    <row r="1016" spans="1:14" s="1" customFormat="1" x14ac:dyDescent="0.35">
      <c r="A1016" s="1" t="s">
        <v>5171</v>
      </c>
      <c r="B1016" s="1" t="s">
        <v>1930</v>
      </c>
      <c r="C1016" s="1" t="s">
        <v>2008</v>
      </c>
      <c r="D1016" s="1" t="s">
        <v>9947</v>
      </c>
      <c r="E1016" s="1" t="str">
        <f>"2340"</f>
        <v>2340</v>
      </c>
      <c r="F1016" s="1" t="s">
        <v>2017</v>
      </c>
      <c r="G1016" s="1" t="s">
        <v>2018</v>
      </c>
      <c r="H1016" s="1" t="s">
        <v>16</v>
      </c>
      <c r="I1016" s="4" t="str">
        <f>"1"</f>
        <v>1</v>
      </c>
      <c r="J1016" s="2" t="str">
        <f>"3938"</f>
        <v>3938</v>
      </c>
      <c r="K1016" s="3">
        <v>46173</v>
      </c>
      <c r="L1016" s="3">
        <v>46178</v>
      </c>
      <c r="M1016" s="1" t="s">
        <v>9946</v>
      </c>
      <c r="N1016" s="1" t="s">
        <v>2019</v>
      </c>
    </row>
    <row r="1017" spans="1:14" s="1" customFormat="1" x14ac:dyDescent="0.35">
      <c r="A1017" s="1" t="s">
        <v>5171</v>
      </c>
      <c r="B1017" s="1" t="s">
        <v>1930</v>
      </c>
      <c r="C1017" s="1" t="s">
        <v>1972</v>
      </c>
      <c r="D1017" s="1" t="s">
        <v>9945</v>
      </c>
      <c r="E1017" s="1" t="str">
        <f>"6650"</f>
        <v>6650</v>
      </c>
      <c r="F1017" s="1" t="s">
        <v>2750</v>
      </c>
      <c r="G1017" s="1" t="s">
        <v>2751</v>
      </c>
      <c r="H1017" s="1" t="s">
        <v>16</v>
      </c>
      <c r="I1017" s="4" t="str">
        <f>"10"</f>
        <v>10</v>
      </c>
      <c r="J1017" s="2" t="str">
        <f>"108"</f>
        <v>108</v>
      </c>
      <c r="K1017" s="3">
        <v>46178</v>
      </c>
      <c r="L1017" s="3">
        <v>46179</v>
      </c>
      <c r="M1017" s="1" t="s">
        <v>5167</v>
      </c>
      <c r="N1017" s="1" t="s">
        <v>9944</v>
      </c>
    </row>
    <row r="1018" spans="1:14" s="1" customFormat="1" x14ac:dyDescent="0.35">
      <c r="A1018" s="1" t="s">
        <v>5171</v>
      </c>
      <c r="B1018" s="1" t="s">
        <v>1930</v>
      </c>
      <c r="C1018" s="1" t="s">
        <v>2008</v>
      </c>
      <c r="D1018" s="1" t="s">
        <v>9943</v>
      </c>
      <c r="E1018" s="1" t="str">
        <f>"8430"</f>
        <v>8430</v>
      </c>
      <c r="F1018" s="1" t="s">
        <v>9942</v>
      </c>
      <c r="G1018" s="1" t="s">
        <v>9941</v>
      </c>
      <c r="H1018" s="1" t="s">
        <v>16</v>
      </c>
      <c r="I1018" s="4" t="str">
        <f>"20"</f>
        <v>20</v>
      </c>
      <c r="J1018" s="2" t="str">
        <f>"65"</f>
        <v>65</v>
      </c>
      <c r="K1018" s="3">
        <v>46178</v>
      </c>
      <c r="L1018" s="3">
        <v>46179</v>
      </c>
      <c r="M1018" s="1" t="s">
        <v>5167</v>
      </c>
      <c r="N1018" s="1" t="s">
        <v>9940</v>
      </c>
    </row>
    <row r="1019" spans="1:14" s="1" customFormat="1" x14ac:dyDescent="0.35">
      <c r="A1019" s="1" t="s">
        <v>5171</v>
      </c>
      <c r="B1019" s="1" t="s">
        <v>1930</v>
      </c>
      <c r="C1019" s="1" t="s">
        <v>2008</v>
      </c>
      <c r="D1019" s="1" t="s">
        <v>9939</v>
      </c>
      <c r="E1019" s="1" t="str">
        <f>"6530"</f>
        <v>6530</v>
      </c>
      <c r="F1019" s="1" t="str">
        <f>"015049051"</f>
        <v>015049051</v>
      </c>
      <c r="G1019" s="1" t="s">
        <v>1121</v>
      </c>
      <c r="H1019" s="1" t="s">
        <v>16</v>
      </c>
      <c r="I1019" s="4" t="str">
        <f>"5"</f>
        <v>5</v>
      </c>
      <c r="J1019" s="2">
        <v>937.15</v>
      </c>
      <c r="K1019" s="3">
        <v>46138</v>
      </c>
      <c r="L1019" s="3">
        <v>46182</v>
      </c>
      <c r="M1019" s="1" t="s">
        <v>9938</v>
      </c>
      <c r="N1019" s="1" t="s">
        <v>2054</v>
      </c>
    </row>
    <row r="1020" spans="1:14" s="1" customFormat="1" x14ac:dyDescent="0.35">
      <c r="A1020" s="1" t="s">
        <v>5171</v>
      </c>
      <c r="B1020" s="1" t="s">
        <v>1930</v>
      </c>
      <c r="C1020" s="1" t="s">
        <v>2008</v>
      </c>
      <c r="D1020" s="1" t="s">
        <v>9937</v>
      </c>
      <c r="E1020" s="1" t="str">
        <f>"4240"</f>
        <v>4240</v>
      </c>
      <c r="F1020" s="1" t="str">
        <f>"013043194"</f>
        <v>013043194</v>
      </c>
      <c r="G1020" s="1" t="s">
        <v>9936</v>
      </c>
      <c r="H1020" s="1" t="s">
        <v>16</v>
      </c>
      <c r="I1020" s="4" t="str">
        <f>"45"</f>
        <v>45</v>
      </c>
      <c r="J1020" s="2">
        <v>60.4</v>
      </c>
      <c r="K1020" s="3">
        <v>46180</v>
      </c>
      <c r="L1020" s="3">
        <v>46182</v>
      </c>
      <c r="M1020" s="1" t="s">
        <v>9935</v>
      </c>
      <c r="N1020" s="1" t="s">
        <v>9934</v>
      </c>
    </row>
    <row r="1021" spans="1:14" s="1" customFormat="1" x14ac:dyDescent="0.35">
      <c r="A1021" s="1" t="s">
        <v>5171</v>
      </c>
      <c r="B1021" s="1" t="s">
        <v>1930</v>
      </c>
      <c r="C1021" s="1" t="s">
        <v>1931</v>
      </c>
      <c r="D1021" s="1" t="s">
        <v>9933</v>
      </c>
      <c r="E1021" s="1" t="str">
        <f>"1740"</f>
        <v>1740</v>
      </c>
      <c r="F1021" s="1" t="str">
        <f>"004860552"</f>
        <v>004860552</v>
      </c>
      <c r="G1021" s="1" t="s">
        <v>9932</v>
      </c>
      <c r="H1021" s="1" t="s">
        <v>16</v>
      </c>
      <c r="I1021" s="4" t="str">
        <f>"10"</f>
        <v>10</v>
      </c>
      <c r="J1021" s="2">
        <v>125.74</v>
      </c>
      <c r="K1021" s="3">
        <v>46143</v>
      </c>
      <c r="L1021" s="3">
        <v>46185</v>
      </c>
      <c r="M1021" s="1" t="s">
        <v>9931</v>
      </c>
      <c r="N1021" s="1" t="s">
        <v>9930</v>
      </c>
    </row>
    <row r="1022" spans="1:14" s="1" customFormat="1" x14ac:dyDescent="0.35">
      <c r="A1022" s="1" t="s">
        <v>5171</v>
      </c>
      <c r="B1022" s="1" t="s">
        <v>1930</v>
      </c>
      <c r="C1022" s="1" t="s">
        <v>1972</v>
      </c>
      <c r="D1022" s="1" t="s">
        <v>9929</v>
      </c>
      <c r="E1022" s="1" t="str">
        <f>"8415"</f>
        <v>8415</v>
      </c>
      <c r="F1022" s="1" t="s">
        <v>1139</v>
      </c>
      <c r="G1022" s="1" t="s">
        <v>1140</v>
      </c>
      <c r="H1022" s="1" t="s">
        <v>16</v>
      </c>
      <c r="I1022" s="4" t="str">
        <f>"1"</f>
        <v>1</v>
      </c>
      <c r="J1022" s="2">
        <v>51.4</v>
      </c>
      <c r="K1022" s="3">
        <v>46156</v>
      </c>
      <c r="L1022" s="3">
        <v>46185</v>
      </c>
      <c r="M1022" s="1" t="s">
        <v>9928</v>
      </c>
      <c r="N1022" s="1" t="s">
        <v>9927</v>
      </c>
    </row>
    <row r="1023" spans="1:14" s="1" customFormat="1" x14ac:dyDescent="0.35">
      <c r="A1023" s="1" t="s">
        <v>5171</v>
      </c>
      <c r="B1023" s="1" t="s">
        <v>1930</v>
      </c>
      <c r="C1023" s="1" t="s">
        <v>2008</v>
      </c>
      <c r="D1023" s="1" t="s">
        <v>9926</v>
      </c>
      <c r="E1023" s="1" t="str">
        <f>"2340"</f>
        <v>2340</v>
      </c>
      <c r="F1023" s="1" t="s">
        <v>2017</v>
      </c>
      <c r="G1023" s="1" t="s">
        <v>2018</v>
      </c>
      <c r="H1023" s="1" t="s">
        <v>16</v>
      </c>
      <c r="I1023" s="4" t="str">
        <f>"1"</f>
        <v>1</v>
      </c>
      <c r="J1023" s="2" t="str">
        <f>"3938"</f>
        <v>3938</v>
      </c>
      <c r="K1023" s="3">
        <v>46173</v>
      </c>
      <c r="L1023" s="3">
        <v>46185</v>
      </c>
      <c r="M1023" s="1" t="s">
        <v>9925</v>
      </c>
      <c r="N1023" s="1" t="s">
        <v>2019</v>
      </c>
    </row>
    <row r="1024" spans="1:14" s="1" customFormat="1" x14ac:dyDescent="0.35">
      <c r="A1024" s="1" t="s">
        <v>5171</v>
      </c>
      <c r="B1024" s="1" t="s">
        <v>1930</v>
      </c>
      <c r="C1024" s="1" t="s">
        <v>2008</v>
      </c>
      <c r="D1024" s="1" t="s">
        <v>9924</v>
      </c>
      <c r="E1024" s="1" t="str">
        <f>"2340"</f>
        <v>2340</v>
      </c>
      <c r="F1024" s="1" t="s">
        <v>2017</v>
      </c>
      <c r="G1024" s="1" t="s">
        <v>2018</v>
      </c>
      <c r="H1024" s="1" t="s">
        <v>16</v>
      </c>
      <c r="I1024" s="4" t="str">
        <f>"1"</f>
        <v>1</v>
      </c>
      <c r="J1024" s="2" t="str">
        <f>"3938"</f>
        <v>3938</v>
      </c>
      <c r="K1024" s="3">
        <v>46173</v>
      </c>
      <c r="L1024" s="3">
        <v>46185</v>
      </c>
      <c r="M1024" s="1" t="s">
        <v>9923</v>
      </c>
      <c r="N1024" s="1" t="s">
        <v>2019</v>
      </c>
    </row>
    <row r="1025" spans="1:14" s="1" customFormat="1" x14ac:dyDescent="0.35">
      <c r="A1025" s="1" t="s">
        <v>5171</v>
      </c>
      <c r="B1025" s="1" t="s">
        <v>1930</v>
      </c>
      <c r="C1025" s="1" t="s">
        <v>2008</v>
      </c>
      <c r="D1025" s="1" t="s">
        <v>9922</v>
      </c>
      <c r="E1025" s="1" t="str">
        <f>"2340"</f>
        <v>2340</v>
      </c>
      <c r="F1025" s="1" t="s">
        <v>2017</v>
      </c>
      <c r="G1025" s="1" t="s">
        <v>2018</v>
      </c>
      <c r="H1025" s="1" t="s">
        <v>16</v>
      </c>
      <c r="I1025" s="4" t="str">
        <f>"1"</f>
        <v>1</v>
      </c>
      <c r="J1025" s="2" t="str">
        <f>"3938"</f>
        <v>3938</v>
      </c>
      <c r="K1025" s="3">
        <v>46173</v>
      </c>
      <c r="L1025" s="3">
        <v>46185</v>
      </c>
      <c r="M1025" s="1" t="s">
        <v>9921</v>
      </c>
      <c r="N1025" s="1" t="s">
        <v>2019</v>
      </c>
    </row>
    <row r="1026" spans="1:14" s="1" customFormat="1" x14ac:dyDescent="0.35">
      <c r="A1026" s="1" t="s">
        <v>0</v>
      </c>
      <c r="B1026" s="1" t="s">
        <v>1930</v>
      </c>
      <c r="C1026" s="1" t="s">
        <v>1931</v>
      </c>
      <c r="D1026" s="1" t="s">
        <v>9920</v>
      </c>
      <c r="E1026" s="1" t="str">
        <f>"2320"</f>
        <v>2320</v>
      </c>
      <c r="F1026" s="1" t="s">
        <v>975</v>
      </c>
      <c r="G1026" s="1" t="s">
        <v>976</v>
      </c>
      <c r="H1026" s="1" t="s">
        <v>16</v>
      </c>
      <c r="I1026" s="4" t="str">
        <f>"1"</f>
        <v>1</v>
      </c>
      <c r="J1026" s="2" t="str">
        <f>"100000"</f>
        <v>100000</v>
      </c>
      <c r="K1026" s="3">
        <v>46187</v>
      </c>
      <c r="L1026" s="3">
        <v>46188</v>
      </c>
      <c r="N1026" s="1" t="s">
        <v>9919</v>
      </c>
    </row>
    <row r="1027" spans="1:14" s="1" customFormat="1" x14ac:dyDescent="0.35">
      <c r="A1027" s="1" t="s">
        <v>5171</v>
      </c>
      <c r="B1027" s="1" t="s">
        <v>1930</v>
      </c>
      <c r="C1027" s="1" t="s">
        <v>1931</v>
      </c>
      <c r="D1027" s="1" t="s">
        <v>9918</v>
      </c>
      <c r="E1027" s="1" t="str">
        <f>"2330"</f>
        <v>2330</v>
      </c>
      <c r="F1027" s="1" t="s">
        <v>70</v>
      </c>
      <c r="G1027" s="1" t="s">
        <v>71</v>
      </c>
      <c r="H1027" s="1" t="s">
        <v>16</v>
      </c>
      <c r="I1027" s="4" t="str">
        <f>"1"</f>
        <v>1</v>
      </c>
      <c r="J1027" s="2" t="str">
        <f>"26680"</f>
        <v>26680</v>
      </c>
      <c r="K1027" s="3">
        <v>46186</v>
      </c>
      <c r="L1027" s="3">
        <v>46191</v>
      </c>
      <c r="M1027" s="1" t="s">
        <v>9917</v>
      </c>
      <c r="N1027" s="1" t="s">
        <v>9916</v>
      </c>
    </row>
    <row r="1028" spans="1:14" s="1" customFormat="1" x14ac:dyDescent="0.35">
      <c r="A1028" s="1" t="s">
        <v>5171</v>
      </c>
      <c r="B1028" s="1" t="s">
        <v>1930</v>
      </c>
      <c r="C1028" s="1" t="s">
        <v>1959</v>
      </c>
      <c r="D1028" s="1" t="s">
        <v>9915</v>
      </c>
      <c r="E1028" s="1" t="str">
        <f>"2330"</f>
        <v>2330</v>
      </c>
      <c r="F1028" s="1" t="s">
        <v>70</v>
      </c>
      <c r="G1028" s="1" t="s">
        <v>71</v>
      </c>
      <c r="H1028" s="1" t="s">
        <v>16</v>
      </c>
      <c r="I1028" s="4" t="str">
        <f>"1"</f>
        <v>1</v>
      </c>
      <c r="J1028" s="2" t="str">
        <f>"26680"</f>
        <v>26680</v>
      </c>
      <c r="K1028" s="3">
        <v>46188</v>
      </c>
      <c r="L1028" s="3">
        <v>46191</v>
      </c>
      <c r="M1028" s="1" t="s">
        <v>9914</v>
      </c>
      <c r="N1028" s="1" t="s">
        <v>9913</v>
      </c>
    </row>
    <row r="1029" spans="1:14" s="1" customFormat="1" x14ac:dyDescent="0.35">
      <c r="A1029" s="1" t="s">
        <v>5171</v>
      </c>
      <c r="B1029" s="1" t="s">
        <v>1930</v>
      </c>
      <c r="C1029" s="1" t="s">
        <v>1953</v>
      </c>
      <c r="D1029" s="1" t="s">
        <v>9912</v>
      </c>
      <c r="E1029" s="1" t="str">
        <f>"1240"</f>
        <v>1240</v>
      </c>
      <c r="F1029" s="1" t="str">
        <f>"015766134"</f>
        <v>015766134</v>
      </c>
      <c r="G1029" s="1" t="s">
        <v>1103</v>
      </c>
      <c r="H1029" s="1" t="s">
        <v>16</v>
      </c>
      <c r="I1029" s="4" t="str">
        <f>"6"</f>
        <v>6</v>
      </c>
      <c r="J1029" s="2" t="str">
        <f>"589"</f>
        <v>589</v>
      </c>
      <c r="K1029" s="3">
        <v>46170</v>
      </c>
      <c r="L1029" s="3">
        <v>46195</v>
      </c>
      <c r="M1029" s="1" t="s">
        <v>9911</v>
      </c>
      <c r="N1029" s="1" t="s">
        <v>9910</v>
      </c>
    </row>
    <row r="1030" spans="1:14" s="1" customFormat="1" x14ac:dyDescent="0.35">
      <c r="A1030" s="1" t="s">
        <v>5171</v>
      </c>
      <c r="B1030" s="1" t="s">
        <v>1930</v>
      </c>
      <c r="C1030" s="1" t="s">
        <v>1972</v>
      </c>
      <c r="D1030" s="1" t="s">
        <v>9909</v>
      </c>
      <c r="E1030" s="1" t="str">
        <f>"1005"</f>
        <v>1005</v>
      </c>
      <c r="F1030" s="1" t="str">
        <f>"014534225"</f>
        <v>014534225</v>
      </c>
      <c r="G1030" s="1" t="s">
        <v>9908</v>
      </c>
      <c r="H1030" s="1" t="s">
        <v>16</v>
      </c>
      <c r="I1030" s="4" t="str">
        <f>"5"</f>
        <v>5</v>
      </c>
      <c r="J1030" s="2">
        <v>203.67</v>
      </c>
      <c r="K1030" s="3">
        <v>46178</v>
      </c>
      <c r="L1030" s="3">
        <v>46196</v>
      </c>
      <c r="M1030" s="1" t="s">
        <v>9907</v>
      </c>
      <c r="N1030" s="1" t="s">
        <v>9906</v>
      </c>
    </row>
    <row r="1031" spans="1:14" s="1" customFormat="1" x14ac:dyDescent="0.35">
      <c r="A1031" s="1" t="s">
        <v>5216</v>
      </c>
      <c r="B1031" s="1" t="s">
        <v>1930</v>
      </c>
      <c r="C1031" s="1" t="s">
        <v>9878</v>
      </c>
      <c r="D1031" s="1" t="s">
        <v>9905</v>
      </c>
      <c r="E1031" s="1" t="str">
        <f>"2310"</f>
        <v>2310</v>
      </c>
      <c r="F1031" s="1" t="s">
        <v>178</v>
      </c>
      <c r="G1031" s="1" t="s">
        <v>179</v>
      </c>
      <c r="H1031" s="1" t="s">
        <v>16</v>
      </c>
      <c r="I1031" s="4" t="str">
        <f>"1"</f>
        <v>1</v>
      </c>
      <c r="J1031" s="2" t="str">
        <f>"21142"</f>
        <v>21142</v>
      </c>
      <c r="K1031" s="3">
        <v>46197</v>
      </c>
      <c r="L1031" s="3">
        <v>46197</v>
      </c>
      <c r="N1031" s="1" t="s">
        <v>9904</v>
      </c>
    </row>
    <row r="1032" spans="1:14" s="1" customFormat="1" x14ac:dyDescent="0.35">
      <c r="A1032" s="1" t="s">
        <v>5171</v>
      </c>
      <c r="B1032" s="1" t="s">
        <v>1930</v>
      </c>
      <c r="C1032" s="1" t="s">
        <v>2008</v>
      </c>
      <c r="D1032" s="1" t="s">
        <v>9903</v>
      </c>
      <c r="E1032" s="1" t="str">
        <f>"5445"</f>
        <v>5445</v>
      </c>
      <c r="F1032" s="1" t="str">
        <f>"997991297"</f>
        <v>997991297</v>
      </c>
      <c r="G1032" s="1" t="s">
        <v>8427</v>
      </c>
      <c r="H1032" s="1" t="s">
        <v>16</v>
      </c>
      <c r="I1032" s="4" t="str">
        <f>"1"</f>
        <v>1</v>
      </c>
      <c r="J1032" s="2" t="str">
        <f>"174850"</f>
        <v>174850</v>
      </c>
      <c r="K1032" s="3">
        <v>46193</v>
      </c>
      <c r="L1032" s="3">
        <v>46197</v>
      </c>
      <c r="M1032" s="1" t="s">
        <v>9902</v>
      </c>
      <c r="N1032" s="1" t="s">
        <v>9901</v>
      </c>
    </row>
    <row r="1033" spans="1:14" s="1" customFormat="1" x14ac:dyDescent="0.35">
      <c r="A1033" s="1" t="s">
        <v>5171</v>
      </c>
      <c r="B1033" s="1" t="s">
        <v>1930</v>
      </c>
      <c r="C1033" s="1" t="s">
        <v>2070</v>
      </c>
      <c r="D1033" s="1" t="s">
        <v>9900</v>
      </c>
      <c r="E1033" s="1" t="str">
        <f>"2540"</f>
        <v>2540</v>
      </c>
      <c r="F1033" s="1" t="str">
        <f>"015442208"</f>
        <v>015442208</v>
      </c>
      <c r="G1033" s="1" t="s">
        <v>9899</v>
      </c>
      <c r="H1033" s="1" t="s">
        <v>16</v>
      </c>
      <c r="I1033" s="4" t="str">
        <f>"20"</f>
        <v>20</v>
      </c>
      <c r="J1033" s="2">
        <v>1532.01</v>
      </c>
      <c r="K1033" s="3">
        <v>46192</v>
      </c>
      <c r="L1033" s="3">
        <v>46197</v>
      </c>
      <c r="M1033" s="1" t="s">
        <v>9898</v>
      </c>
      <c r="N1033" s="1" t="s">
        <v>9897</v>
      </c>
    </row>
    <row r="1034" spans="1:14" s="1" customFormat="1" x14ac:dyDescent="0.35">
      <c r="A1034" s="1" t="s">
        <v>5171</v>
      </c>
      <c r="B1034" s="1" t="s">
        <v>1930</v>
      </c>
      <c r="C1034" s="1" t="s">
        <v>9896</v>
      </c>
      <c r="D1034" s="1" t="s">
        <v>9895</v>
      </c>
      <c r="E1034" s="1" t="str">
        <f>"5855"</f>
        <v>5855</v>
      </c>
      <c r="F1034" s="1" t="str">
        <f>"015777174"</f>
        <v>015777174</v>
      </c>
      <c r="G1034" s="1" t="s">
        <v>1366</v>
      </c>
      <c r="H1034" s="1" t="s">
        <v>16</v>
      </c>
      <c r="I1034" s="4" t="str">
        <f>"7"</f>
        <v>7</v>
      </c>
      <c r="J1034" s="2" t="str">
        <f>"1791"</f>
        <v>1791</v>
      </c>
      <c r="K1034" s="3">
        <v>46195</v>
      </c>
      <c r="L1034" s="3">
        <v>46198</v>
      </c>
      <c r="M1034" s="1" t="s">
        <v>9894</v>
      </c>
      <c r="N1034" s="1" t="s">
        <v>9893</v>
      </c>
    </row>
    <row r="1035" spans="1:14" s="1" customFormat="1" x14ac:dyDescent="0.35">
      <c r="A1035" s="1" t="s">
        <v>5171</v>
      </c>
      <c r="B1035" s="1" t="s">
        <v>1930</v>
      </c>
      <c r="C1035" s="1" t="s">
        <v>1931</v>
      </c>
      <c r="D1035" s="1" t="s">
        <v>9892</v>
      </c>
      <c r="E1035" s="1" t="str">
        <f>"4940"</f>
        <v>4940</v>
      </c>
      <c r="F1035" s="1" t="s">
        <v>1655</v>
      </c>
      <c r="G1035" s="1" t="s">
        <v>1656</v>
      </c>
      <c r="H1035" s="1" t="s">
        <v>16</v>
      </c>
      <c r="I1035" s="4" t="str">
        <f>"1"</f>
        <v>1</v>
      </c>
      <c r="J1035" s="2">
        <v>3409.86</v>
      </c>
      <c r="K1035" s="3">
        <v>46199</v>
      </c>
      <c r="L1035" s="3">
        <v>46200</v>
      </c>
      <c r="M1035" s="1" t="s">
        <v>5167</v>
      </c>
      <c r="N1035" s="1" t="s">
        <v>9891</v>
      </c>
    </row>
    <row r="1036" spans="1:14" s="1" customFormat="1" x14ac:dyDescent="0.35">
      <c r="A1036" s="1" t="s">
        <v>5171</v>
      </c>
      <c r="B1036" s="1" t="s">
        <v>1930</v>
      </c>
      <c r="C1036" s="1" t="s">
        <v>1931</v>
      </c>
      <c r="D1036" s="1" t="s">
        <v>9890</v>
      </c>
      <c r="E1036" s="1" t="str">
        <f>"3431"</f>
        <v>3431</v>
      </c>
      <c r="F1036" s="1" t="s">
        <v>4301</v>
      </c>
      <c r="G1036" s="1" t="s">
        <v>4302</v>
      </c>
      <c r="H1036" s="1" t="s">
        <v>16</v>
      </c>
      <c r="I1036" s="4" t="str">
        <f>"1"</f>
        <v>1</v>
      </c>
      <c r="J1036" s="2">
        <v>7653.52</v>
      </c>
      <c r="K1036" s="3">
        <v>46199</v>
      </c>
      <c r="L1036" s="3">
        <v>46200</v>
      </c>
      <c r="M1036" s="1" t="s">
        <v>5167</v>
      </c>
      <c r="N1036" s="1" t="s">
        <v>9889</v>
      </c>
    </row>
    <row r="1037" spans="1:14" s="1" customFormat="1" x14ac:dyDescent="0.35">
      <c r="A1037" s="1" t="s">
        <v>5216</v>
      </c>
      <c r="B1037" s="1" t="s">
        <v>1930</v>
      </c>
      <c r="C1037" s="1" t="s">
        <v>2008</v>
      </c>
      <c r="D1037" s="1" t="s">
        <v>9888</v>
      </c>
      <c r="E1037" s="1" t="str">
        <f>"7830"</f>
        <v>7830</v>
      </c>
      <c r="F1037" s="1" t="s">
        <v>453</v>
      </c>
      <c r="G1037" s="1" t="s">
        <v>454</v>
      </c>
      <c r="H1037" s="1" t="s">
        <v>16</v>
      </c>
      <c r="I1037" s="4" t="str">
        <f>"1"</f>
        <v>1</v>
      </c>
      <c r="J1037" s="2" t="str">
        <f>"1395"</f>
        <v>1395</v>
      </c>
      <c r="K1037" s="3">
        <v>46200</v>
      </c>
      <c r="L1037" s="3">
        <v>46202</v>
      </c>
      <c r="M1037" s="1" t="s">
        <v>9887</v>
      </c>
      <c r="N1037" s="1" t="s">
        <v>9886</v>
      </c>
    </row>
    <row r="1038" spans="1:14" s="1" customFormat="1" x14ac:dyDescent="0.35">
      <c r="A1038" s="1" t="s">
        <v>5171</v>
      </c>
      <c r="B1038" s="1" t="s">
        <v>1930</v>
      </c>
      <c r="C1038" s="1" t="s">
        <v>2008</v>
      </c>
      <c r="D1038" s="1" t="s">
        <v>9885</v>
      </c>
      <c r="E1038" s="1" t="str">
        <f>"4210"</f>
        <v>4210</v>
      </c>
      <c r="F1038" s="1" t="s">
        <v>1017</v>
      </c>
      <c r="G1038" s="1" t="s">
        <v>1018</v>
      </c>
      <c r="H1038" s="1" t="s">
        <v>16</v>
      </c>
      <c r="I1038" s="4" t="str">
        <f>"1"</f>
        <v>1</v>
      </c>
      <c r="J1038" s="2" t="str">
        <f>"1000"</f>
        <v>1000</v>
      </c>
      <c r="K1038" s="3">
        <v>46160</v>
      </c>
      <c r="L1038" s="3">
        <v>46202</v>
      </c>
      <c r="M1038" s="1" t="s">
        <v>9884</v>
      </c>
      <c r="N1038" s="1" t="s">
        <v>9883</v>
      </c>
    </row>
    <row r="1039" spans="1:14" s="1" customFormat="1" x14ac:dyDescent="0.35">
      <c r="A1039" s="1" t="s">
        <v>5171</v>
      </c>
      <c r="B1039" s="1" t="s">
        <v>1930</v>
      </c>
      <c r="C1039" s="1" t="s">
        <v>2070</v>
      </c>
      <c r="D1039" s="1" t="s">
        <v>9882</v>
      </c>
      <c r="E1039" s="1" t="str">
        <f>"1940"</f>
        <v>1940</v>
      </c>
      <c r="F1039" s="1" t="s">
        <v>1503</v>
      </c>
      <c r="G1039" s="1" t="s">
        <v>1504</v>
      </c>
      <c r="H1039" s="1" t="s">
        <v>16</v>
      </c>
      <c r="I1039" s="4" t="str">
        <f>"1"</f>
        <v>1</v>
      </c>
      <c r="J1039" s="2" t="str">
        <f>"2500"</f>
        <v>2500</v>
      </c>
      <c r="K1039" s="3">
        <v>46195</v>
      </c>
      <c r="L1039" s="3">
        <v>46202</v>
      </c>
      <c r="M1039" s="1" t="s">
        <v>9881</v>
      </c>
      <c r="N1039" s="1" t="s">
        <v>9880</v>
      </c>
    </row>
    <row r="1040" spans="1:14" s="1" customFormat="1" x14ac:dyDescent="0.35">
      <c r="A1040" s="1" t="s">
        <v>5216</v>
      </c>
      <c r="B1040" s="1" t="s">
        <v>1930</v>
      </c>
      <c r="C1040" s="1" t="s">
        <v>9878</v>
      </c>
      <c r="D1040" s="1" t="s">
        <v>9879</v>
      </c>
      <c r="E1040" s="1" t="str">
        <f>"2320"</f>
        <v>2320</v>
      </c>
      <c r="F1040" s="1" t="str">
        <f>"002871991"</f>
        <v>002871991</v>
      </c>
      <c r="G1040" s="1" t="s">
        <v>2303</v>
      </c>
      <c r="H1040" s="1" t="s">
        <v>16</v>
      </c>
      <c r="I1040" s="4" t="str">
        <f>"1"</f>
        <v>1</v>
      </c>
      <c r="J1040" s="2" t="str">
        <f>"17059"</f>
        <v>17059</v>
      </c>
      <c r="K1040" s="3">
        <v>46203</v>
      </c>
      <c r="L1040" s="3">
        <v>46203</v>
      </c>
      <c r="N1040" s="1" t="s">
        <v>9876</v>
      </c>
    </row>
    <row r="1041" spans="1:14" s="1" customFormat="1" x14ac:dyDescent="0.35">
      <c r="A1041" s="1" t="s">
        <v>5216</v>
      </c>
      <c r="B1041" s="1" t="s">
        <v>1930</v>
      </c>
      <c r="C1041" s="1" t="s">
        <v>9878</v>
      </c>
      <c r="D1041" s="1" t="s">
        <v>9877</v>
      </c>
      <c r="E1041" s="1" t="str">
        <f>"2320"</f>
        <v>2320</v>
      </c>
      <c r="F1041" s="1" t="str">
        <f>"002871991"</f>
        <v>002871991</v>
      </c>
      <c r="G1041" s="1" t="s">
        <v>2303</v>
      </c>
      <c r="H1041" s="1" t="s">
        <v>16</v>
      </c>
      <c r="I1041" s="4" t="str">
        <f>"1"</f>
        <v>1</v>
      </c>
      <c r="J1041" s="2" t="str">
        <f>"17059"</f>
        <v>17059</v>
      </c>
      <c r="K1041" s="3">
        <v>46203</v>
      </c>
      <c r="L1041" s="3">
        <v>46203</v>
      </c>
      <c r="N1041" s="1" t="s">
        <v>9876</v>
      </c>
    </row>
    <row r="1042" spans="1:14" s="1" customFormat="1" x14ac:dyDescent="0.35">
      <c r="A1042" s="1" t="s">
        <v>5171</v>
      </c>
      <c r="B1042" s="1" t="s">
        <v>1930</v>
      </c>
      <c r="C1042" s="1" t="s">
        <v>1931</v>
      </c>
      <c r="D1042" s="1" t="s">
        <v>9875</v>
      </c>
      <c r="E1042" s="1" t="str">
        <f>"2320"</f>
        <v>2320</v>
      </c>
      <c r="F1042" s="1" t="s">
        <v>975</v>
      </c>
      <c r="G1042" s="1" t="s">
        <v>976</v>
      </c>
      <c r="H1042" s="1" t="s">
        <v>16</v>
      </c>
      <c r="I1042" s="4" t="str">
        <f>"1"</f>
        <v>1</v>
      </c>
      <c r="J1042" s="2" t="str">
        <f>"36123"</f>
        <v>36123</v>
      </c>
      <c r="K1042" s="3">
        <v>46196</v>
      </c>
      <c r="L1042" s="3">
        <v>46203</v>
      </c>
      <c r="M1042" s="1" t="s">
        <v>9874</v>
      </c>
      <c r="N1042" s="1" t="s">
        <v>9873</v>
      </c>
    </row>
    <row r="1043" spans="1:14" s="1" customFormat="1" x14ac:dyDescent="0.35">
      <c r="A1043" s="1" t="s">
        <v>5171</v>
      </c>
      <c r="B1043" s="1" t="s">
        <v>1930</v>
      </c>
      <c r="C1043" s="1" t="s">
        <v>1931</v>
      </c>
      <c r="D1043" s="1" t="s">
        <v>9872</v>
      </c>
      <c r="E1043" s="1" t="str">
        <f>"2320"</f>
        <v>2320</v>
      </c>
      <c r="F1043" s="1" t="s">
        <v>975</v>
      </c>
      <c r="G1043" s="1" t="s">
        <v>976</v>
      </c>
      <c r="H1043" s="1" t="s">
        <v>16</v>
      </c>
      <c r="I1043" s="4" t="str">
        <f>"1"</f>
        <v>1</v>
      </c>
      <c r="J1043" s="2">
        <v>36645.83</v>
      </c>
      <c r="K1043" s="3">
        <v>46196</v>
      </c>
      <c r="L1043" s="3">
        <v>46203</v>
      </c>
      <c r="M1043" s="1" t="s">
        <v>9871</v>
      </c>
      <c r="N1043" s="1" t="s">
        <v>9870</v>
      </c>
    </row>
    <row r="1044" spans="1:14" s="1" customFormat="1" x14ac:dyDescent="0.35">
      <c r="A1044" s="1" t="s">
        <v>5171</v>
      </c>
      <c r="B1044" s="1" t="s">
        <v>1930</v>
      </c>
      <c r="C1044" s="1" t="s">
        <v>1931</v>
      </c>
      <c r="D1044" s="1" t="s">
        <v>9869</v>
      </c>
      <c r="E1044" s="1" t="str">
        <f>"2320"</f>
        <v>2320</v>
      </c>
      <c r="F1044" s="1" t="s">
        <v>975</v>
      </c>
      <c r="G1044" s="1" t="s">
        <v>976</v>
      </c>
      <c r="H1044" s="1" t="s">
        <v>16</v>
      </c>
      <c r="I1044" s="4" t="str">
        <f>"1"</f>
        <v>1</v>
      </c>
      <c r="J1044" s="2" t="str">
        <f>"36123"</f>
        <v>36123</v>
      </c>
      <c r="K1044" s="3">
        <v>46196</v>
      </c>
      <c r="L1044" s="3">
        <v>46203</v>
      </c>
      <c r="M1044" s="1" t="s">
        <v>9868</v>
      </c>
      <c r="N1044" s="1" t="s">
        <v>9867</v>
      </c>
    </row>
    <row r="1045" spans="1:14" s="1" customFormat="1" x14ac:dyDescent="0.35">
      <c r="A1045" s="1" t="s">
        <v>5230</v>
      </c>
      <c r="B1045" s="1" t="s">
        <v>2091</v>
      </c>
      <c r="C1045" s="1" t="s">
        <v>2115</v>
      </c>
      <c r="D1045" s="1" t="s">
        <v>9866</v>
      </c>
      <c r="E1045" s="1" t="str">
        <f>"5855"</f>
        <v>5855</v>
      </c>
      <c r="F1045" s="1" t="str">
        <f>"014684169"</f>
        <v>014684169</v>
      </c>
      <c r="G1045" s="1" t="s">
        <v>1366</v>
      </c>
      <c r="H1045" s="1" t="s">
        <v>16</v>
      </c>
      <c r="I1045" s="4" t="str">
        <f>"1"</f>
        <v>1</v>
      </c>
      <c r="J1045" s="2">
        <v>790.97</v>
      </c>
      <c r="K1045" s="3">
        <v>46114</v>
      </c>
      <c r="L1045" s="3">
        <v>46115</v>
      </c>
      <c r="N1045" s="1" t="s">
        <v>2119</v>
      </c>
    </row>
    <row r="1046" spans="1:14" s="1" customFormat="1" x14ac:dyDescent="0.35">
      <c r="A1046" s="1" t="s">
        <v>5171</v>
      </c>
      <c r="B1046" s="1" t="s">
        <v>2091</v>
      </c>
      <c r="C1046" s="1" t="s">
        <v>2115</v>
      </c>
      <c r="D1046" s="1" t="s">
        <v>9865</v>
      </c>
      <c r="E1046" s="1" t="str">
        <f>"1240"</f>
        <v>1240</v>
      </c>
      <c r="F1046" s="1" t="str">
        <f>"014111265"</f>
        <v>014111265</v>
      </c>
      <c r="G1046" s="1" t="s">
        <v>1103</v>
      </c>
      <c r="H1046" s="1" t="s">
        <v>16</v>
      </c>
      <c r="I1046" s="4" t="str">
        <f>"2"</f>
        <v>2</v>
      </c>
      <c r="J1046" s="2" t="str">
        <f>"339"</f>
        <v>339</v>
      </c>
      <c r="K1046" s="3">
        <v>46113</v>
      </c>
      <c r="L1046" s="3">
        <v>46115</v>
      </c>
      <c r="M1046" s="1" t="s">
        <v>9864</v>
      </c>
      <c r="N1046" s="1" t="s">
        <v>9863</v>
      </c>
    </row>
    <row r="1047" spans="1:14" s="1" customFormat="1" x14ac:dyDescent="0.35">
      <c r="A1047" s="1" t="s">
        <v>5171</v>
      </c>
      <c r="B1047" s="1" t="s">
        <v>2091</v>
      </c>
      <c r="C1047" s="1" t="s">
        <v>2141</v>
      </c>
      <c r="D1047" s="1" t="s">
        <v>9862</v>
      </c>
      <c r="E1047" s="1" t="str">
        <f>"1240"</f>
        <v>1240</v>
      </c>
      <c r="F1047" s="1" t="str">
        <f>"014111265"</f>
        <v>014111265</v>
      </c>
      <c r="G1047" s="1" t="s">
        <v>1103</v>
      </c>
      <c r="H1047" s="1" t="s">
        <v>16</v>
      </c>
      <c r="I1047" s="4" t="str">
        <f>"2"</f>
        <v>2</v>
      </c>
      <c r="J1047" s="2" t="str">
        <f>"339"</f>
        <v>339</v>
      </c>
      <c r="K1047" s="3">
        <v>46113</v>
      </c>
      <c r="L1047" s="3">
        <v>46115</v>
      </c>
      <c r="M1047" s="1" t="s">
        <v>9861</v>
      </c>
      <c r="N1047" s="1" t="s">
        <v>9860</v>
      </c>
    </row>
    <row r="1048" spans="1:14" s="1" customFormat="1" x14ac:dyDescent="0.35">
      <c r="A1048" s="1" t="s">
        <v>5171</v>
      </c>
      <c r="B1048" s="1" t="s">
        <v>2091</v>
      </c>
      <c r="C1048" s="1" t="s">
        <v>2144</v>
      </c>
      <c r="D1048" s="1" t="s">
        <v>9859</v>
      </c>
      <c r="E1048" s="1" t="str">
        <f>"1240"</f>
        <v>1240</v>
      </c>
      <c r="F1048" s="1" t="str">
        <f>"015591536"</f>
        <v>015591536</v>
      </c>
      <c r="G1048" s="1" t="s">
        <v>1159</v>
      </c>
      <c r="H1048" s="1" t="s">
        <v>16</v>
      </c>
      <c r="I1048" s="4" t="str">
        <f>"4"</f>
        <v>4</v>
      </c>
      <c r="J1048" s="2" t="str">
        <f>"430"</f>
        <v>430</v>
      </c>
      <c r="K1048" s="3">
        <v>46105</v>
      </c>
      <c r="L1048" s="3">
        <v>46116</v>
      </c>
      <c r="M1048" s="1" t="s">
        <v>9858</v>
      </c>
      <c r="N1048" s="1" t="s">
        <v>9857</v>
      </c>
    </row>
    <row r="1049" spans="1:14" s="1" customFormat="1" x14ac:dyDescent="0.35">
      <c r="A1049" s="1" t="s">
        <v>5230</v>
      </c>
      <c r="B1049" s="1" t="s">
        <v>2091</v>
      </c>
      <c r="C1049" s="1" t="s">
        <v>2144</v>
      </c>
      <c r="D1049" s="1" t="s">
        <v>9856</v>
      </c>
      <c r="E1049" s="1" t="str">
        <f>"6515"</f>
        <v>6515</v>
      </c>
      <c r="F1049" s="1" t="str">
        <f>"012821194"</f>
        <v>012821194</v>
      </c>
      <c r="G1049" s="1" t="s">
        <v>9855</v>
      </c>
      <c r="H1049" s="1" t="s">
        <v>16</v>
      </c>
      <c r="I1049" s="4" t="str">
        <f>"5"</f>
        <v>5</v>
      </c>
      <c r="J1049" s="2">
        <v>1.74</v>
      </c>
      <c r="K1049" s="3">
        <v>46118</v>
      </c>
      <c r="L1049" s="3">
        <v>46118</v>
      </c>
      <c r="N1049" s="1" t="s">
        <v>9854</v>
      </c>
    </row>
    <row r="1050" spans="1:14" s="1" customFormat="1" x14ac:dyDescent="0.35">
      <c r="A1050" s="1" t="s">
        <v>5171</v>
      </c>
      <c r="B1050" s="1" t="s">
        <v>2091</v>
      </c>
      <c r="C1050" s="1" t="s">
        <v>2115</v>
      </c>
      <c r="D1050" s="1" t="s">
        <v>9853</v>
      </c>
      <c r="E1050" s="1" t="str">
        <f>"5855"</f>
        <v>5855</v>
      </c>
      <c r="F1050" s="1" t="str">
        <f>"015330555"</f>
        <v>015330555</v>
      </c>
      <c r="G1050" s="1" t="s">
        <v>462</v>
      </c>
      <c r="H1050" s="1" t="s">
        <v>16</v>
      </c>
      <c r="I1050" s="4" t="str">
        <f>"12"</f>
        <v>12</v>
      </c>
      <c r="J1050" s="2" t="str">
        <f>"1800"</f>
        <v>1800</v>
      </c>
      <c r="K1050" s="3">
        <v>46116</v>
      </c>
      <c r="L1050" s="3">
        <v>46119</v>
      </c>
      <c r="M1050" s="1" t="s">
        <v>9852</v>
      </c>
      <c r="N1050" s="1" t="s">
        <v>9849</v>
      </c>
    </row>
    <row r="1051" spans="1:14" s="1" customFormat="1" x14ac:dyDescent="0.35">
      <c r="A1051" s="1" t="s">
        <v>5171</v>
      </c>
      <c r="B1051" s="1" t="s">
        <v>2091</v>
      </c>
      <c r="C1051" s="1" t="s">
        <v>2115</v>
      </c>
      <c r="D1051" s="1" t="s">
        <v>9851</v>
      </c>
      <c r="E1051" s="1" t="str">
        <f>"5855"</f>
        <v>5855</v>
      </c>
      <c r="F1051" s="1" t="str">
        <f>"015345931"</f>
        <v>015345931</v>
      </c>
      <c r="G1051" s="1" t="s">
        <v>1379</v>
      </c>
      <c r="H1051" s="1" t="s">
        <v>16</v>
      </c>
      <c r="I1051" s="4" t="str">
        <f>"14"</f>
        <v>14</v>
      </c>
      <c r="J1051" s="2" t="str">
        <f>"970"</f>
        <v>970</v>
      </c>
      <c r="K1051" s="3">
        <v>46116</v>
      </c>
      <c r="L1051" s="3">
        <v>46121</v>
      </c>
      <c r="M1051" s="1" t="s">
        <v>9850</v>
      </c>
      <c r="N1051" s="1" t="s">
        <v>9849</v>
      </c>
    </row>
    <row r="1052" spans="1:14" s="1" customFormat="1" x14ac:dyDescent="0.35">
      <c r="A1052" s="1" t="s">
        <v>5171</v>
      </c>
      <c r="B1052" s="1" t="s">
        <v>2091</v>
      </c>
      <c r="C1052" s="1" t="s">
        <v>2144</v>
      </c>
      <c r="D1052" s="1" t="s">
        <v>9848</v>
      </c>
      <c r="E1052" s="1" t="str">
        <f>"8415"</f>
        <v>8415</v>
      </c>
      <c r="F1052" s="1" t="str">
        <f>"015802502"</f>
        <v>015802502</v>
      </c>
      <c r="G1052" s="1" t="s">
        <v>1988</v>
      </c>
      <c r="H1052" s="1" t="s">
        <v>311</v>
      </c>
      <c r="I1052" s="4" t="str">
        <f>"3"</f>
        <v>3</v>
      </c>
      <c r="J1052" s="2">
        <v>120.1</v>
      </c>
      <c r="K1052" s="3">
        <v>46120</v>
      </c>
      <c r="L1052" s="3">
        <v>46121</v>
      </c>
      <c r="M1052" s="1" t="s">
        <v>5167</v>
      </c>
      <c r="N1052" s="1" t="s">
        <v>2169</v>
      </c>
    </row>
    <row r="1053" spans="1:14" s="1" customFormat="1" x14ac:dyDescent="0.35">
      <c r="A1053" s="1" t="s">
        <v>5171</v>
      </c>
      <c r="B1053" s="1" t="s">
        <v>2091</v>
      </c>
      <c r="C1053" s="1" t="s">
        <v>2115</v>
      </c>
      <c r="D1053" s="1" t="s">
        <v>9847</v>
      </c>
      <c r="E1053" s="1" t="str">
        <f>"5855"</f>
        <v>5855</v>
      </c>
      <c r="F1053" s="1" t="str">
        <f>"015650336"</f>
        <v>015650336</v>
      </c>
      <c r="G1053" s="1" t="s">
        <v>9846</v>
      </c>
      <c r="H1053" s="1" t="s">
        <v>16</v>
      </c>
      <c r="I1053" s="4" t="str">
        <f>"2"</f>
        <v>2</v>
      </c>
      <c r="J1053" s="2" t="str">
        <f>"300"</f>
        <v>300</v>
      </c>
      <c r="K1053" s="3">
        <v>46118</v>
      </c>
      <c r="L1053" s="3">
        <v>46122</v>
      </c>
      <c r="M1053" s="1" t="s">
        <v>5167</v>
      </c>
      <c r="N1053" s="1" t="s">
        <v>9845</v>
      </c>
    </row>
    <row r="1054" spans="1:14" s="1" customFormat="1" x14ac:dyDescent="0.35">
      <c r="A1054" s="1" t="s">
        <v>5171</v>
      </c>
      <c r="B1054" s="1" t="s">
        <v>2091</v>
      </c>
      <c r="C1054" s="1" t="s">
        <v>2144</v>
      </c>
      <c r="D1054" s="1" t="s">
        <v>9844</v>
      </c>
      <c r="E1054" s="1" t="str">
        <f>"8415"</f>
        <v>8415</v>
      </c>
      <c r="F1054" s="1" t="str">
        <f>"015803191"</f>
        <v>015803191</v>
      </c>
      <c r="G1054" s="1" t="s">
        <v>668</v>
      </c>
      <c r="H1054" s="1" t="s">
        <v>311</v>
      </c>
      <c r="I1054" s="4" t="str">
        <f>"3"</f>
        <v>3</v>
      </c>
      <c r="J1054" s="2">
        <v>113.3</v>
      </c>
      <c r="K1054" s="3">
        <v>46118</v>
      </c>
      <c r="L1054" s="3">
        <v>46122</v>
      </c>
      <c r="M1054" s="1" t="s">
        <v>5167</v>
      </c>
      <c r="N1054" s="1" t="s">
        <v>2171</v>
      </c>
    </row>
    <row r="1055" spans="1:14" s="1" customFormat="1" x14ac:dyDescent="0.35">
      <c r="A1055" s="1" t="s">
        <v>5171</v>
      </c>
      <c r="B1055" s="1" t="s">
        <v>2091</v>
      </c>
      <c r="C1055" s="1" t="s">
        <v>2144</v>
      </c>
      <c r="D1055" s="1" t="s">
        <v>9843</v>
      </c>
      <c r="E1055" s="1" t="str">
        <f>"8415"</f>
        <v>8415</v>
      </c>
      <c r="F1055" s="1" t="str">
        <f>"015802468"</f>
        <v>015802468</v>
      </c>
      <c r="G1055" s="1" t="s">
        <v>1988</v>
      </c>
      <c r="H1055" s="1" t="s">
        <v>311</v>
      </c>
      <c r="I1055" s="4" t="str">
        <f>"5"</f>
        <v>5</v>
      </c>
      <c r="J1055" s="2">
        <v>120.1</v>
      </c>
      <c r="K1055" s="3">
        <v>46120</v>
      </c>
      <c r="L1055" s="3">
        <v>46122</v>
      </c>
      <c r="M1055" s="1" t="s">
        <v>5167</v>
      </c>
      <c r="N1055" s="1" t="s">
        <v>2169</v>
      </c>
    </row>
    <row r="1056" spans="1:14" s="1" customFormat="1" x14ac:dyDescent="0.35">
      <c r="A1056" s="1" t="s">
        <v>5171</v>
      </c>
      <c r="B1056" s="1" t="s">
        <v>2091</v>
      </c>
      <c r="C1056" s="1" t="s">
        <v>2115</v>
      </c>
      <c r="D1056" s="1" t="s">
        <v>9842</v>
      </c>
      <c r="E1056" s="1" t="str">
        <f>"5855"</f>
        <v>5855</v>
      </c>
      <c r="F1056" s="1" t="str">
        <f>"014684169"</f>
        <v>014684169</v>
      </c>
      <c r="G1056" s="1" t="s">
        <v>1366</v>
      </c>
      <c r="H1056" s="1" t="s">
        <v>16</v>
      </c>
      <c r="I1056" s="4" t="str">
        <f>"4"</f>
        <v>4</v>
      </c>
      <c r="J1056" s="2">
        <v>790.97</v>
      </c>
      <c r="K1056" s="3">
        <v>46115</v>
      </c>
      <c r="L1056" s="3">
        <v>46123</v>
      </c>
      <c r="M1056" s="1" t="s">
        <v>9841</v>
      </c>
      <c r="N1056" s="1" t="s">
        <v>2119</v>
      </c>
    </row>
    <row r="1057" spans="1:14" s="1" customFormat="1" x14ac:dyDescent="0.35">
      <c r="A1057" s="1" t="s">
        <v>5171</v>
      </c>
      <c r="B1057" s="1" t="s">
        <v>2091</v>
      </c>
      <c r="C1057" s="1" t="s">
        <v>2135</v>
      </c>
      <c r="D1057" s="1" t="s">
        <v>9840</v>
      </c>
      <c r="E1057" s="1" t="str">
        <f>"1240"</f>
        <v>1240</v>
      </c>
      <c r="F1057" s="1" t="s">
        <v>1800</v>
      </c>
      <c r="G1057" s="1" t="s">
        <v>1801</v>
      </c>
      <c r="H1057" s="1" t="s">
        <v>16</v>
      </c>
      <c r="I1057" s="4" t="str">
        <f>"1"</f>
        <v>1</v>
      </c>
      <c r="J1057" s="2" t="str">
        <f>"4000"</f>
        <v>4000</v>
      </c>
      <c r="K1057" s="3">
        <v>46121</v>
      </c>
      <c r="L1057" s="3">
        <v>46123</v>
      </c>
      <c r="M1057" s="1" t="s">
        <v>5167</v>
      </c>
      <c r="N1057" s="1" t="s">
        <v>2137</v>
      </c>
    </row>
    <row r="1058" spans="1:14" s="1" customFormat="1" x14ac:dyDescent="0.35">
      <c r="A1058" s="1" t="s">
        <v>5171</v>
      </c>
      <c r="B1058" s="1" t="s">
        <v>2091</v>
      </c>
      <c r="C1058" s="1" t="s">
        <v>2144</v>
      </c>
      <c r="D1058" s="1" t="s">
        <v>9839</v>
      </c>
      <c r="E1058" s="1" t="str">
        <f>"8465"</f>
        <v>8465</v>
      </c>
      <c r="F1058" s="1" t="str">
        <f>"016036613"</f>
        <v>016036613</v>
      </c>
      <c r="G1058" s="1" t="s">
        <v>1236</v>
      </c>
      <c r="H1058" s="1" t="s">
        <v>16</v>
      </c>
      <c r="I1058" s="4" t="str">
        <f>"8"</f>
        <v>8</v>
      </c>
      <c r="J1058" s="2">
        <v>395.65</v>
      </c>
      <c r="K1058" s="3">
        <v>46118</v>
      </c>
      <c r="L1058" s="3">
        <v>46123</v>
      </c>
      <c r="M1058" s="1" t="s">
        <v>9838</v>
      </c>
      <c r="N1058" s="1" t="s">
        <v>9837</v>
      </c>
    </row>
    <row r="1059" spans="1:14" s="1" customFormat="1" x14ac:dyDescent="0.35">
      <c r="A1059" s="1" t="s">
        <v>5171</v>
      </c>
      <c r="B1059" s="1" t="s">
        <v>2091</v>
      </c>
      <c r="C1059" s="1" t="s">
        <v>2135</v>
      </c>
      <c r="D1059" s="1" t="s">
        <v>9836</v>
      </c>
      <c r="E1059" s="1" t="str">
        <f>"1240"</f>
        <v>1240</v>
      </c>
      <c r="F1059" s="1" t="s">
        <v>1800</v>
      </c>
      <c r="G1059" s="1" t="s">
        <v>1801</v>
      </c>
      <c r="H1059" s="1" t="s">
        <v>16</v>
      </c>
      <c r="I1059" s="4" t="str">
        <f>"1"</f>
        <v>1</v>
      </c>
      <c r="J1059" s="2" t="str">
        <f>"2500"</f>
        <v>2500</v>
      </c>
      <c r="K1059" s="3">
        <v>46121</v>
      </c>
      <c r="L1059" s="3">
        <v>46124</v>
      </c>
      <c r="M1059" s="1" t="s">
        <v>5167</v>
      </c>
      <c r="N1059" s="1" t="s">
        <v>2137</v>
      </c>
    </row>
    <row r="1060" spans="1:14" s="1" customFormat="1" x14ac:dyDescent="0.35">
      <c r="A1060" s="1" t="s">
        <v>5171</v>
      </c>
      <c r="B1060" s="1" t="s">
        <v>2091</v>
      </c>
      <c r="C1060" s="1" t="s">
        <v>2115</v>
      </c>
      <c r="D1060" s="1" t="s">
        <v>9835</v>
      </c>
      <c r="E1060" s="1" t="str">
        <f>"5855"</f>
        <v>5855</v>
      </c>
      <c r="F1060" s="1" t="str">
        <f>"015330555"</f>
        <v>015330555</v>
      </c>
      <c r="G1060" s="1" t="s">
        <v>462</v>
      </c>
      <c r="H1060" s="1" t="s">
        <v>16</v>
      </c>
      <c r="I1060" s="4" t="str">
        <f>"14"</f>
        <v>14</v>
      </c>
      <c r="J1060" s="2" t="str">
        <f>"1800"</f>
        <v>1800</v>
      </c>
      <c r="K1060" s="3">
        <v>46109</v>
      </c>
      <c r="L1060" s="3">
        <v>46126</v>
      </c>
      <c r="M1060" s="1" t="s">
        <v>9834</v>
      </c>
      <c r="N1060" s="1" t="s">
        <v>9833</v>
      </c>
    </row>
    <row r="1061" spans="1:14" s="1" customFormat="1" x14ac:dyDescent="0.35">
      <c r="A1061" s="1" t="s">
        <v>5171</v>
      </c>
      <c r="B1061" s="1" t="s">
        <v>2091</v>
      </c>
      <c r="C1061" s="1" t="s">
        <v>2115</v>
      </c>
      <c r="D1061" s="1" t="s">
        <v>9832</v>
      </c>
      <c r="E1061" s="1" t="str">
        <f>"5855"</f>
        <v>5855</v>
      </c>
      <c r="F1061" s="1" t="str">
        <f>"015330555"</f>
        <v>015330555</v>
      </c>
      <c r="G1061" s="1" t="s">
        <v>462</v>
      </c>
      <c r="H1061" s="1" t="s">
        <v>16</v>
      </c>
      <c r="I1061" s="4" t="str">
        <f>"14"</f>
        <v>14</v>
      </c>
      <c r="J1061" s="2" t="str">
        <f>"1800"</f>
        <v>1800</v>
      </c>
      <c r="K1061" s="3">
        <v>46116</v>
      </c>
      <c r="L1061" s="3">
        <v>46127</v>
      </c>
      <c r="M1061" s="1" t="s">
        <v>9831</v>
      </c>
      <c r="N1061" s="1" t="s">
        <v>2119</v>
      </c>
    </row>
    <row r="1062" spans="1:14" s="1" customFormat="1" x14ac:dyDescent="0.35">
      <c r="A1062" s="1" t="s">
        <v>5171</v>
      </c>
      <c r="B1062" s="1" t="s">
        <v>2091</v>
      </c>
      <c r="C1062" s="1" t="s">
        <v>2115</v>
      </c>
      <c r="D1062" s="1" t="s">
        <v>9830</v>
      </c>
      <c r="E1062" s="1" t="str">
        <f>"5855"</f>
        <v>5855</v>
      </c>
      <c r="F1062" s="1" t="str">
        <f>"015485687"</f>
        <v>015485687</v>
      </c>
      <c r="G1062" s="1" t="s">
        <v>1921</v>
      </c>
      <c r="H1062" s="1" t="s">
        <v>16</v>
      </c>
      <c r="I1062" s="4" t="str">
        <f>"2"</f>
        <v>2</v>
      </c>
      <c r="J1062" s="2" t="str">
        <f>"10402"</f>
        <v>10402</v>
      </c>
      <c r="K1062" s="3">
        <v>46123</v>
      </c>
      <c r="L1062" s="3">
        <v>46127</v>
      </c>
      <c r="M1062" s="1" t="s">
        <v>9829</v>
      </c>
      <c r="N1062" s="1" t="s">
        <v>2124</v>
      </c>
    </row>
    <row r="1063" spans="1:14" s="1" customFormat="1" x14ac:dyDescent="0.35">
      <c r="A1063" s="1" t="s">
        <v>5171</v>
      </c>
      <c r="B1063" s="1" t="s">
        <v>2091</v>
      </c>
      <c r="C1063" s="1" t="s">
        <v>2144</v>
      </c>
      <c r="D1063" s="1" t="s">
        <v>9828</v>
      </c>
      <c r="E1063" s="1" t="str">
        <f>"1240"</f>
        <v>1240</v>
      </c>
      <c r="F1063" s="1" t="str">
        <f>"015766134"</f>
        <v>015766134</v>
      </c>
      <c r="G1063" s="1" t="s">
        <v>1103</v>
      </c>
      <c r="H1063" s="1" t="s">
        <v>16</v>
      </c>
      <c r="I1063" s="4" t="str">
        <f>"15"</f>
        <v>15</v>
      </c>
      <c r="J1063" s="2" t="str">
        <f>"589"</f>
        <v>589</v>
      </c>
      <c r="K1063" s="3">
        <v>46125</v>
      </c>
      <c r="L1063" s="3">
        <v>46127</v>
      </c>
      <c r="M1063" s="1" t="s">
        <v>9827</v>
      </c>
      <c r="N1063" s="1" t="s">
        <v>9826</v>
      </c>
    </row>
    <row r="1064" spans="1:14" s="1" customFormat="1" x14ac:dyDescent="0.35">
      <c r="A1064" s="1" t="s">
        <v>5171</v>
      </c>
      <c r="B1064" s="1" t="s">
        <v>2091</v>
      </c>
      <c r="C1064" s="1" t="s">
        <v>2104</v>
      </c>
      <c r="D1064" s="1" t="s">
        <v>9825</v>
      </c>
      <c r="E1064" s="1" t="str">
        <f>"5855"</f>
        <v>5855</v>
      </c>
      <c r="F1064" s="1" t="s">
        <v>5542</v>
      </c>
      <c r="G1064" s="1" t="s">
        <v>5541</v>
      </c>
      <c r="H1064" s="1" t="s">
        <v>16</v>
      </c>
      <c r="I1064" s="4" t="str">
        <f>"1"</f>
        <v>1</v>
      </c>
      <c r="J1064" s="2" t="str">
        <f>"13000"</f>
        <v>13000</v>
      </c>
      <c r="K1064" s="3">
        <v>46124</v>
      </c>
      <c r="L1064" s="3">
        <v>46128</v>
      </c>
      <c r="M1064" s="1" t="s">
        <v>9824</v>
      </c>
      <c r="N1064" s="1" t="s">
        <v>9823</v>
      </c>
    </row>
    <row r="1065" spans="1:14" s="1" customFormat="1" x14ac:dyDescent="0.35">
      <c r="A1065" s="1" t="s">
        <v>5171</v>
      </c>
      <c r="B1065" s="1" t="s">
        <v>2091</v>
      </c>
      <c r="C1065" s="1" t="s">
        <v>2092</v>
      </c>
      <c r="D1065" s="1" t="s">
        <v>9822</v>
      </c>
      <c r="E1065" s="1" t="str">
        <f>"4240"</f>
        <v>4240</v>
      </c>
      <c r="F1065" s="1" t="str">
        <f>"015835158"</f>
        <v>015835158</v>
      </c>
      <c r="G1065" s="1" t="s">
        <v>561</v>
      </c>
      <c r="H1065" s="1" t="s">
        <v>16</v>
      </c>
      <c r="I1065" s="4" t="str">
        <f>"85"</f>
        <v>85</v>
      </c>
      <c r="J1065" s="2">
        <v>67.39</v>
      </c>
      <c r="K1065" s="3">
        <v>46121</v>
      </c>
      <c r="L1065" s="3">
        <v>46130</v>
      </c>
      <c r="M1065" s="1" t="s">
        <v>9821</v>
      </c>
      <c r="N1065" s="1" t="s">
        <v>9820</v>
      </c>
    </row>
    <row r="1066" spans="1:14" s="1" customFormat="1" x14ac:dyDescent="0.35">
      <c r="A1066" s="1" t="s">
        <v>5171</v>
      </c>
      <c r="B1066" s="1" t="s">
        <v>2091</v>
      </c>
      <c r="C1066" s="1" t="s">
        <v>2135</v>
      </c>
      <c r="D1066" s="1" t="s">
        <v>9819</v>
      </c>
      <c r="E1066" s="1" t="str">
        <f>"5855"</f>
        <v>5855</v>
      </c>
      <c r="F1066" s="1" t="str">
        <f>"014778741"</f>
        <v>014778741</v>
      </c>
      <c r="G1066" s="1" t="s">
        <v>1770</v>
      </c>
      <c r="H1066" s="1" t="s">
        <v>16</v>
      </c>
      <c r="I1066" s="4" t="str">
        <f>"1"</f>
        <v>1</v>
      </c>
      <c r="J1066" s="2" t="str">
        <f>"10165"</f>
        <v>10165</v>
      </c>
      <c r="K1066" s="3">
        <v>46121</v>
      </c>
      <c r="L1066" s="3">
        <v>46130</v>
      </c>
      <c r="M1066" s="1" t="s">
        <v>9818</v>
      </c>
      <c r="N1066" s="1" t="s">
        <v>2137</v>
      </c>
    </row>
    <row r="1067" spans="1:14" s="1" customFormat="1" x14ac:dyDescent="0.35">
      <c r="A1067" s="1" t="s">
        <v>5171</v>
      </c>
      <c r="B1067" s="1" t="s">
        <v>2091</v>
      </c>
      <c r="C1067" s="1" t="s">
        <v>2135</v>
      </c>
      <c r="D1067" s="1" t="s">
        <v>9817</v>
      </c>
      <c r="E1067" s="1" t="str">
        <f>"5855"</f>
        <v>5855</v>
      </c>
      <c r="F1067" s="1" t="str">
        <f>"014778741"</f>
        <v>014778741</v>
      </c>
      <c r="G1067" s="1" t="s">
        <v>1770</v>
      </c>
      <c r="H1067" s="1" t="s">
        <v>16</v>
      </c>
      <c r="I1067" s="4" t="str">
        <f>"1"</f>
        <v>1</v>
      </c>
      <c r="J1067" s="2" t="str">
        <f>"10165"</f>
        <v>10165</v>
      </c>
      <c r="K1067" s="3">
        <v>46121</v>
      </c>
      <c r="L1067" s="3">
        <v>46130</v>
      </c>
      <c r="M1067" s="1" t="s">
        <v>9816</v>
      </c>
      <c r="N1067" s="1" t="s">
        <v>2137</v>
      </c>
    </row>
    <row r="1068" spans="1:14" s="1" customFormat="1" x14ac:dyDescent="0.35">
      <c r="A1068" s="1" t="s">
        <v>5171</v>
      </c>
      <c r="B1068" s="1" t="s">
        <v>2091</v>
      </c>
      <c r="C1068" s="1" t="s">
        <v>2135</v>
      </c>
      <c r="D1068" s="1" t="s">
        <v>9815</v>
      </c>
      <c r="E1068" s="1" t="str">
        <f>"5855"</f>
        <v>5855</v>
      </c>
      <c r="F1068" s="1" t="str">
        <f>"014778741"</f>
        <v>014778741</v>
      </c>
      <c r="G1068" s="1" t="s">
        <v>1770</v>
      </c>
      <c r="H1068" s="1" t="s">
        <v>16</v>
      </c>
      <c r="I1068" s="4" t="str">
        <f>"1"</f>
        <v>1</v>
      </c>
      <c r="J1068" s="2" t="str">
        <f>"10165"</f>
        <v>10165</v>
      </c>
      <c r="K1068" s="3">
        <v>46121</v>
      </c>
      <c r="L1068" s="3">
        <v>46130</v>
      </c>
      <c r="M1068" s="1" t="s">
        <v>9814</v>
      </c>
      <c r="N1068" s="1" t="s">
        <v>2137</v>
      </c>
    </row>
    <row r="1069" spans="1:14" s="1" customFormat="1" x14ac:dyDescent="0.35">
      <c r="A1069" s="1" t="s">
        <v>5171</v>
      </c>
      <c r="B1069" s="1" t="s">
        <v>2091</v>
      </c>
      <c r="C1069" s="1" t="s">
        <v>2135</v>
      </c>
      <c r="D1069" s="1" t="s">
        <v>9813</v>
      </c>
      <c r="E1069" s="1" t="str">
        <f>"5855"</f>
        <v>5855</v>
      </c>
      <c r="F1069" s="1" t="str">
        <f>"013637491"</f>
        <v>013637491</v>
      </c>
      <c r="G1069" s="1" t="s">
        <v>1770</v>
      </c>
      <c r="H1069" s="1" t="s">
        <v>16</v>
      </c>
      <c r="I1069" s="4" t="str">
        <f>"1"</f>
        <v>1</v>
      </c>
      <c r="J1069" s="2" t="str">
        <f>"6124"</f>
        <v>6124</v>
      </c>
      <c r="K1069" s="3">
        <v>46121</v>
      </c>
      <c r="L1069" s="3">
        <v>46130</v>
      </c>
      <c r="M1069" s="1" t="s">
        <v>9812</v>
      </c>
      <c r="N1069" s="1" t="s">
        <v>2137</v>
      </c>
    </row>
    <row r="1070" spans="1:14" s="1" customFormat="1" x14ac:dyDescent="0.35">
      <c r="A1070" s="1" t="s">
        <v>5171</v>
      </c>
      <c r="B1070" s="1" t="s">
        <v>2091</v>
      </c>
      <c r="C1070" s="1" t="s">
        <v>2144</v>
      </c>
      <c r="D1070" s="1" t="s">
        <v>9811</v>
      </c>
      <c r="E1070" s="1" t="str">
        <f>"8405"</f>
        <v>8405</v>
      </c>
      <c r="F1070" s="1" t="str">
        <f>"011000976"</f>
        <v>011000976</v>
      </c>
      <c r="G1070" s="1" t="s">
        <v>615</v>
      </c>
      <c r="H1070" s="1" t="s">
        <v>16</v>
      </c>
      <c r="I1070" s="4" t="str">
        <f>"10"</f>
        <v>10</v>
      </c>
      <c r="J1070" s="2">
        <v>48.9</v>
      </c>
      <c r="K1070" s="3">
        <v>46118</v>
      </c>
      <c r="L1070" s="3">
        <v>46130</v>
      </c>
      <c r="M1070" s="1" t="s">
        <v>9810</v>
      </c>
      <c r="N1070" s="1" t="s">
        <v>9809</v>
      </c>
    </row>
    <row r="1071" spans="1:14" s="1" customFormat="1" x14ac:dyDescent="0.35">
      <c r="A1071" s="1" t="s">
        <v>5171</v>
      </c>
      <c r="B1071" s="1" t="s">
        <v>2091</v>
      </c>
      <c r="C1071" s="1" t="s">
        <v>2144</v>
      </c>
      <c r="D1071" s="1" t="s">
        <v>9808</v>
      </c>
      <c r="E1071" s="1" t="str">
        <f>"8465"</f>
        <v>8465</v>
      </c>
      <c r="F1071" s="1" t="str">
        <f>"016105633"</f>
        <v>016105633</v>
      </c>
      <c r="G1071" s="1" t="s">
        <v>2198</v>
      </c>
      <c r="H1071" s="1" t="s">
        <v>16</v>
      </c>
      <c r="I1071" s="4" t="str">
        <f>"7"</f>
        <v>7</v>
      </c>
      <c r="J1071" s="2">
        <v>350.73</v>
      </c>
      <c r="K1071" s="3">
        <v>46132</v>
      </c>
      <c r="L1071" s="3">
        <v>46133</v>
      </c>
      <c r="M1071" s="1" t="s">
        <v>5167</v>
      </c>
      <c r="N1071" s="1" t="s">
        <v>9807</v>
      </c>
    </row>
    <row r="1072" spans="1:14" s="1" customFormat="1" x14ac:dyDescent="0.35">
      <c r="A1072" s="1" t="s">
        <v>5171</v>
      </c>
      <c r="B1072" s="1" t="s">
        <v>2091</v>
      </c>
      <c r="C1072" s="1" t="s">
        <v>2141</v>
      </c>
      <c r="D1072" s="1" t="s">
        <v>9806</v>
      </c>
      <c r="E1072" s="1" t="str">
        <f>"1240"</f>
        <v>1240</v>
      </c>
      <c r="F1072" s="1" t="str">
        <f>"015766134"</f>
        <v>015766134</v>
      </c>
      <c r="G1072" s="1" t="s">
        <v>1103</v>
      </c>
      <c r="H1072" s="1" t="s">
        <v>16</v>
      </c>
      <c r="I1072" s="4" t="str">
        <f>"11"</f>
        <v>11</v>
      </c>
      <c r="J1072" s="2" t="str">
        <f>"589"</f>
        <v>589</v>
      </c>
      <c r="K1072" s="3">
        <v>46133</v>
      </c>
      <c r="L1072" s="3">
        <v>46134</v>
      </c>
      <c r="M1072" s="1" t="s">
        <v>5167</v>
      </c>
      <c r="N1072" s="1" t="s">
        <v>9805</v>
      </c>
    </row>
    <row r="1073" spans="1:14" s="1" customFormat="1" x14ac:dyDescent="0.35">
      <c r="A1073" s="1" t="s">
        <v>5171</v>
      </c>
      <c r="B1073" s="1" t="s">
        <v>2091</v>
      </c>
      <c r="C1073" s="1" t="s">
        <v>2115</v>
      </c>
      <c r="D1073" s="1" t="s">
        <v>9804</v>
      </c>
      <c r="E1073" s="1" t="str">
        <f>"5855"</f>
        <v>5855</v>
      </c>
      <c r="F1073" s="1" t="s">
        <v>4563</v>
      </c>
      <c r="G1073" s="1" t="s">
        <v>4564</v>
      </c>
      <c r="H1073" s="1" t="s">
        <v>16</v>
      </c>
      <c r="I1073" s="4" t="str">
        <f>"1"</f>
        <v>1</v>
      </c>
      <c r="J1073" s="2" t="str">
        <f>"29400"</f>
        <v>29400</v>
      </c>
      <c r="K1073" s="3">
        <v>46116</v>
      </c>
      <c r="L1073" s="3">
        <v>46136</v>
      </c>
      <c r="M1073" s="1" t="s">
        <v>9803</v>
      </c>
      <c r="N1073" s="1" t="s">
        <v>9802</v>
      </c>
    </row>
    <row r="1074" spans="1:14" s="1" customFormat="1" x14ac:dyDescent="0.35">
      <c r="A1074" s="1" t="s">
        <v>5171</v>
      </c>
      <c r="B1074" s="1" t="s">
        <v>2091</v>
      </c>
      <c r="C1074" s="1" t="s">
        <v>2144</v>
      </c>
      <c r="D1074" s="1" t="s">
        <v>9801</v>
      </c>
      <c r="E1074" s="1" t="str">
        <f>"5855"</f>
        <v>5855</v>
      </c>
      <c r="F1074" s="1" t="str">
        <f>"015851631"</f>
        <v>015851631</v>
      </c>
      <c r="G1074" s="1" t="s">
        <v>6515</v>
      </c>
      <c r="H1074" s="1" t="s">
        <v>16</v>
      </c>
      <c r="I1074" s="4" t="str">
        <f>"4"</f>
        <v>4</v>
      </c>
      <c r="J1074" s="2">
        <v>9912.81</v>
      </c>
      <c r="K1074" s="3">
        <v>46132</v>
      </c>
      <c r="L1074" s="3">
        <v>46137</v>
      </c>
      <c r="M1074" s="1" t="s">
        <v>9800</v>
      </c>
      <c r="N1074" s="1" t="s">
        <v>9799</v>
      </c>
    </row>
    <row r="1075" spans="1:14" s="1" customFormat="1" x14ac:dyDescent="0.35">
      <c r="A1075" s="1" t="s">
        <v>5171</v>
      </c>
      <c r="B1075" s="1" t="s">
        <v>2091</v>
      </c>
      <c r="C1075" s="1" t="s">
        <v>2144</v>
      </c>
      <c r="D1075" s="1" t="s">
        <v>9798</v>
      </c>
      <c r="E1075" s="1" t="str">
        <f>"8415"</f>
        <v>8415</v>
      </c>
      <c r="F1075" s="1" t="str">
        <f>"015841003"</f>
        <v>015841003</v>
      </c>
      <c r="G1075" s="1" t="s">
        <v>675</v>
      </c>
      <c r="H1075" s="1" t="s">
        <v>16</v>
      </c>
      <c r="I1075" s="4" t="str">
        <f>"1"</f>
        <v>1</v>
      </c>
      <c r="J1075" s="2">
        <v>134.36000000000001</v>
      </c>
      <c r="K1075" s="3">
        <v>46133</v>
      </c>
      <c r="L1075" s="3">
        <v>46139</v>
      </c>
      <c r="M1075" s="1" t="s">
        <v>9797</v>
      </c>
      <c r="N1075" s="1" t="s">
        <v>9794</v>
      </c>
    </row>
    <row r="1076" spans="1:14" s="1" customFormat="1" x14ac:dyDescent="0.35">
      <c r="A1076" s="1" t="s">
        <v>5171</v>
      </c>
      <c r="B1076" s="1" t="s">
        <v>2091</v>
      </c>
      <c r="C1076" s="1" t="s">
        <v>2144</v>
      </c>
      <c r="D1076" s="1" t="s">
        <v>9796</v>
      </c>
      <c r="E1076" s="1" t="str">
        <f>"8415"</f>
        <v>8415</v>
      </c>
      <c r="F1076" s="1" t="str">
        <f>"015841007"</f>
        <v>015841007</v>
      </c>
      <c r="G1076" s="1" t="s">
        <v>675</v>
      </c>
      <c r="H1076" s="1" t="s">
        <v>16</v>
      </c>
      <c r="I1076" s="4" t="str">
        <f>"1"</f>
        <v>1</v>
      </c>
      <c r="J1076" s="2">
        <v>134.36000000000001</v>
      </c>
      <c r="K1076" s="3">
        <v>46133</v>
      </c>
      <c r="L1076" s="3">
        <v>46139</v>
      </c>
      <c r="M1076" s="1" t="s">
        <v>9795</v>
      </c>
      <c r="N1076" s="1" t="s">
        <v>9794</v>
      </c>
    </row>
    <row r="1077" spans="1:14" s="1" customFormat="1" x14ac:dyDescent="0.35">
      <c r="A1077" s="1" t="s">
        <v>5171</v>
      </c>
      <c r="B1077" s="1" t="s">
        <v>2091</v>
      </c>
      <c r="C1077" s="1" t="s">
        <v>2135</v>
      </c>
      <c r="D1077" s="1" t="s">
        <v>9793</v>
      </c>
      <c r="E1077" s="1" t="str">
        <f>"5855"</f>
        <v>5855</v>
      </c>
      <c r="F1077" s="1" t="str">
        <f>"013637491"</f>
        <v>013637491</v>
      </c>
      <c r="G1077" s="1" t="s">
        <v>1770</v>
      </c>
      <c r="H1077" s="1" t="s">
        <v>16</v>
      </c>
      <c r="I1077" s="4" t="str">
        <f>"1"</f>
        <v>1</v>
      </c>
      <c r="J1077" s="2" t="str">
        <f>"6124"</f>
        <v>6124</v>
      </c>
      <c r="K1077" s="3">
        <v>46121</v>
      </c>
      <c r="L1077" s="3">
        <v>46153</v>
      </c>
      <c r="M1077" s="1" t="s">
        <v>9792</v>
      </c>
      <c r="N1077" s="1" t="s">
        <v>2137</v>
      </c>
    </row>
    <row r="1078" spans="1:14" s="1" customFormat="1" x14ac:dyDescent="0.35">
      <c r="A1078" s="1" t="s">
        <v>5171</v>
      </c>
      <c r="B1078" s="1" t="s">
        <v>2091</v>
      </c>
      <c r="C1078" s="1" t="s">
        <v>2135</v>
      </c>
      <c r="D1078" s="1" t="s">
        <v>9791</v>
      </c>
      <c r="E1078" s="1" t="str">
        <f>"5855"</f>
        <v>5855</v>
      </c>
      <c r="F1078" s="1" t="str">
        <f>"013637491"</f>
        <v>013637491</v>
      </c>
      <c r="G1078" s="1" t="s">
        <v>1770</v>
      </c>
      <c r="H1078" s="1" t="s">
        <v>16</v>
      </c>
      <c r="I1078" s="4" t="str">
        <f>"1"</f>
        <v>1</v>
      </c>
      <c r="J1078" s="2" t="str">
        <f>"6124"</f>
        <v>6124</v>
      </c>
      <c r="K1078" s="3">
        <v>46121</v>
      </c>
      <c r="L1078" s="3">
        <v>46153</v>
      </c>
      <c r="M1078" s="1" t="s">
        <v>9790</v>
      </c>
      <c r="N1078" s="1" t="s">
        <v>2137</v>
      </c>
    </row>
    <row r="1079" spans="1:14" s="1" customFormat="1" x14ac:dyDescent="0.35">
      <c r="A1079" s="1" t="s">
        <v>5171</v>
      </c>
      <c r="B1079" s="1" t="s">
        <v>2091</v>
      </c>
      <c r="C1079" s="1" t="s">
        <v>2135</v>
      </c>
      <c r="D1079" s="1" t="s">
        <v>9789</v>
      </c>
      <c r="E1079" s="1" t="str">
        <f>"5855"</f>
        <v>5855</v>
      </c>
      <c r="F1079" s="1" t="str">
        <f>"013637491"</f>
        <v>013637491</v>
      </c>
      <c r="G1079" s="1" t="s">
        <v>1770</v>
      </c>
      <c r="H1079" s="1" t="s">
        <v>16</v>
      </c>
      <c r="I1079" s="4" t="str">
        <f>"1"</f>
        <v>1</v>
      </c>
      <c r="J1079" s="2" t="str">
        <f>"6124"</f>
        <v>6124</v>
      </c>
      <c r="K1079" s="3">
        <v>46121</v>
      </c>
      <c r="L1079" s="3">
        <v>46153</v>
      </c>
      <c r="M1079" s="1" t="s">
        <v>9788</v>
      </c>
      <c r="N1079" s="1" t="s">
        <v>2137</v>
      </c>
    </row>
    <row r="1080" spans="1:14" s="1" customFormat="1" x14ac:dyDescent="0.35">
      <c r="A1080" s="1" t="s">
        <v>5171</v>
      </c>
      <c r="B1080" s="1" t="s">
        <v>2091</v>
      </c>
      <c r="C1080" s="1" t="s">
        <v>2115</v>
      </c>
      <c r="D1080" s="1" t="s">
        <v>9787</v>
      </c>
      <c r="E1080" s="1" t="str">
        <f>"5855"</f>
        <v>5855</v>
      </c>
      <c r="F1080" s="1" t="str">
        <f>"015357127"</f>
        <v>015357127</v>
      </c>
      <c r="G1080" s="1" t="s">
        <v>6703</v>
      </c>
      <c r="H1080" s="1" t="s">
        <v>16</v>
      </c>
      <c r="I1080" s="4" t="str">
        <f>"1"</f>
        <v>1</v>
      </c>
      <c r="J1080" s="2" t="str">
        <f>"9990"</f>
        <v>9990</v>
      </c>
      <c r="K1080" s="3">
        <v>46151</v>
      </c>
      <c r="L1080" s="3">
        <v>46154</v>
      </c>
      <c r="M1080" s="1" t="s">
        <v>5167</v>
      </c>
      <c r="N1080" s="1" t="s">
        <v>2124</v>
      </c>
    </row>
    <row r="1081" spans="1:14" s="1" customFormat="1" x14ac:dyDescent="0.35">
      <c r="A1081" s="1" t="s">
        <v>5171</v>
      </c>
      <c r="B1081" s="1" t="s">
        <v>2091</v>
      </c>
      <c r="C1081" s="1" t="s">
        <v>2115</v>
      </c>
      <c r="D1081" s="1" t="s">
        <v>9786</v>
      </c>
      <c r="E1081" s="1" t="str">
        <f>"5855"</f>
        <v>5855</v>
      </c>
      <c r="F1081" s="1" t="str">
        <f>"015357127"</f>
        <v>015357127</v>
      </c>
      <c r="G1081" s="1" t="s">
        <v>6703</v>
      </c>
      <c r="H1081" s="1" t="s">
        <v>16</v>
      </c>
      <c r="I1081" s="4" t="str">
        <f>"1"</f>
        <v>1</v>
      </c>
      <c r="J1081" s="2" t="str">
        <f>"9990"</f>
        <v>9990</v>
      </c>
      <c r="K1081" s="3">
        <v>46154</v>
      </c>
      <c r="L1081" s="3">
        <v>46155</v>
      </c>
      <c r="M1081" s="1" t="s">
        <v>5167</v>
      </c>
      <c r="N1081" s="1" t="s">
        <v>2124</v>
      </c>
    </row>
    <row r="1082" spans="1:14" s="1" customFormat="1" x14ac:dyDescent="0.35">
      <c r="A1082" s="1" t="s">
        <v>5171</v>
      </c>
      <c r="B1082" s="1" t="s">
        <v>2091</v>
      </c>
      <c r="C1082" s="1" t="s">
        <v>2111</v>
      </c>
      <c r="D1082" s="1" t="s">
        <v>9785</v>
      </c>
      <c r="E1082" s="1" t="str">
        <f>"6545"</f>
        <v>6545</v>
      </c>
      <c r="F1082" s="1" t="str">
        <f>"015324962"</f>
        <v>015324962</v>
      </c>
      <c r="G1082" s="1" t="s">
        <v>2053</v>
      </c>
      <c r="H1082" s="1" t="s">
        <v>215</v>
      </c>
      <c r="I1082" s="4" t="str">
        <f>"1"</f>
        <v>1</v>
      </c>
      <c r="J1082" s="2">
        <v>1868.26</v>
      </c>
      <c r="K1082" s="3">
        <v>46156</v>
      </c>
      <c r="L1082" s="3">
        <v>46158</v>
      </c>
      <c r="M1082" s="1" t="s">
        <v>5167</v>
      </c>
      <c r="N1082" s="1" t="s">
        <v>9784</v>
      </c>
    </row>
    <row r="1083" spans="1:14" s="1" customFormat="1" x14ac:dyDescent="0.35">
      <c r="A1083" s="1" t="s">
        <v>5171</v>
      </c>
      <c r="B1083" s="1" t="s">
        <v>2091</v>
      </c>
      <c r="C1083" s="1" t="s">
        <v>2115</v>
      </c>
      <c r="D1083" s="1" t="s">
        <v>9783</v>
      </c>
      <c r="E1083" s="1" t="str">
        <f>"5855"</f>
        <v>5855</v>
      </c>
      <c r="F1083" s="1" t="str">
        <f>"015315726"</f>
        <v>015315726</v>
      </c>
      <c r="G1083" s="1" t="s">
        <v>175</v>
      </c>
      <c r="H1083" s="1" t="s">
        <v>16</v>
      </c>
      <c r="I1083" s="4" t="str">
        <f>"2"</f>
        <v>2</v>
      </c>
      <c r="J1083" s="2" t="str">
        <f>"10089"</f>
        <v>10089</v>
      </c>
      <c r="K1083" s="3">
        <v>46155</v>
      </c>
      <c r="L1083" s="3">
        <v>46158</v>
      </c>
      <c r="M1083" s="1" t="s">
        <v>5167</v>
      </c>
      <c r="N1083" s="1" t="s">
        <v>9782</v>
      </c>
    </row>
    <row r="1084" spans="1:14" s="1" customFormat="1" x14ac:dyDescent="0.35">
      <c r="A1084" s="1" t="s">
        <v>5171</v>
      </c>
      <c r="B1084" s="1" t="s">
        <v>2091</v>
      </c>
      <c r="C1084" s="1" t="s">
        <v>2144</v>
      </c>
      <c r="D1084" s="1" t="s">
        <v>9781</v>
      </c>
      <c r="E1084" s="1" t="str">
        <f>"5965"</f>
        <v>5965</v>
      </c>
      <c r="F1084" s="1" t="str">
        <f>"015727829"</f>
        <v>015727829</v>
      </c>
      <c r="G1084" s="1" t="s">
        <v>1561</v>
      </c>
      <c r="H1084" s="1" t="s">
        <v>215</v>
      </c>
      <c r="I1084" s="4" t="str">
        <f>"26"</f>
        <v>26</v>
      </c>
      <c r="J1084" s="2">
        <v>1325.47</v>
      </c>
      <c r="K1084" s="3">
        <v>46158</v>
      </c>
      <c r="L1084" s="3">
        <v>46162</v>
      </c>
      <c r="M1084" s="1" t="s">
        <v>9780</v>
      </c>
      <c r="N1084" s="1" t="s">
        <v>9779</v>
      </c>
    </row>
    <row r="1085" spans="1:14" s="1" customFormat="1" x14ac:dyDescent="0.35">
      <c r="A1085" s="1" t="s">
        <v>5171</v>
      </c>
      <c r="B1085" s="1" t="s">
        <v>2091</v>
      </c>
      <c r="C1085" s="1" t="s">
        <v>2115</v>
      </c>
      <c r="D1085" s="1" t="s">
        <v>9778</v>
      </c>
      <c r="E1085" s="1" t="str">
        <f>"5855"</f>
        <v>5855</v>
      </c>
      <c r="F1085" s="1" t="str">
        <f>"015485687"</f>
        <v>015485687</v>
      </c>
      <c r="G1085" s="1" t="s">
        <v>1921</v>
      </c>
      <c r="H1085" s="1" t="s">
        <v>16</v>
      </c>
      <c r="I1085" s="4" t="str">
        <f>"1"</f>
        <v>1</v>
      </c>
      <c r="J1085" s="2" t="str">
        <f>"10402"</f>
        <v>10402</v>
      </c>
      <c r="K1085" s="3">
        <v>46155</v>
      </c>
      <c r="L1085" s="3">
        <v>46165</v>
      </c>
      <c r="M1085" s="1" t="s">
        <v>9777</v>
      </c>
      <c r="N1085" s="1" t="s">
        <v>2131</v>
      </c>
    </row>
    <row r="1086" spans="1:14" s="1" customFormat="1" x14ac:dyDescent="0.35">
      <c r="A1086" s="1" t="s">
        <v>5171</v>
      </c>
      <c r="B1086" s="1" t="s">
        <v>2091</v>
      </c>
      <c r="C1086" s="1" t="s">
        <v>2115</v>
      </c>
      <c r="D1086" s="1" t="s">
        <v>9776</v>
      </c>
      <c r="E1086" s="1" t="str">
        <f>"5855"</f>
        <v>5855</v>
      </c>
      <c r="F1086" s="1" t="str">
        <f>"015485687"</f>
        <v>015485687</v>
      </c>
      <c r="G1086" s="1" t="s">
        <v>1921</v>
      </c>
      <c r="H1086" s="1" t="s">
        <v>16</v>
      </c>
      <c r="I1086" s="4" t="str">
        <f>"1"</f>
        <v>1</v>
      </c>
      <c r="J1086" s="2" t="str">
        <f>"10402"</f>
        <v>10402</v>
      </c>
      <c r="K1086" s="3">
        <v>46155</v>
      </c>
      <c r="L1086" s="3">
        <v>46165</v>
      </c>
      <c r="M1086" s="1" t="s">
        <v>9775</v>
      </c>
      <c r="N1086" s="1" t="s">
        <v>2131</v>
      </c>
    </row>
    <row r="1087" spans="1:14" s="1" customFormat="1" x14ac:dyDescent="0.35">
      <c r="A1087" s="1" t="s">
        <v>5171</v>
      </c>
      <c r="B1087" s="1" t="s">
        <v>2091</v>
      </c>
      <c r="C1087" s="1" t="s">
        <v>2115</v>
      </c>
      <c r="D1087" s="1" t="s">
        <v>9774</v>
      </c>
      <c r="E1087" s="1" t="str">
        <f>"5855"</f>
        <v>5855</v>
      </c>
      <c r="F1087" s="1" t="str">
        <f>"015485687"</f>
        <v>015485687</v>
      </c>
      <c r="G1087" s="1" t="s">
        <v>1921</v>
      </c>
      <c r="H1087" s="1" t="s">
        <v>16</v>
      </c>
      <c r="I1087" s="4" t="str">
        <f>"1"</f>
        <v>1</v>
      </c>
      <c r="J1087" s="2" t="str">
        <f>"10402"</f>
        <v>10402</v>
      </c>
      <c r="K1087" s="3">
        <v>46155</v>
      </c>
      <c r="L1087" s="3">
        <v>46165</v>
      </c>
      <c r="M1087" s="1" t="s">
        <v>9773</v>
      </c>
      <c r="N1087" s="1" t="s">
        <v>2131</v>
      </c>
    </row>
    <row r="1088" spans="1:14" s="1" customFormat="1" x14ac:dyDescent="0.35">
      <c r="A1088" s="1" t="s">
        <v>5171</v>
      </c>
      <c r="B1088" s="1" t="s">
        <v>2091</v>
      </c>
      <c r="C1088" s="1" t="s">
        <v>2115</v>
      </c>
      <c r="D1088" s="1" t="s">
        <v>9772</v>
      </c>
      <c r="E1088" s="1" t="str">
        <f>"5855"</f>
        <v>5855</v>
      </c>
      <c r="F1088" s="1" t="str">
        <f>"015485687"</f>
        <v>015485687</v>
      </c>
      <c r="G1088" s="1" t="s">
        <v>1921</v>
      </c>
      <c r="H1088" s="1" t="s">
        <v>16</v>
      </c>
      <c r="I1088" s="4" t="str">
        <f>"1"</f>
        <v>1</v>
      </c>
      <c r="J1088" s="2" t="str">
        <f>"10402"</f>
        <v>10402</v>
      </c>
      <c r="K1088" s="3">
        <v>46155</v>
      </c>
      <c r="L1088" s="3">
        <v>46165</v>
      </c>
      <c r="M1088" s="1" t="s">
        <v>9771</v>
      </c>
      <c r="N1088" s="1" t="s">
        <v>2131</v>
      </c>
    </row>
    <row r="1089" spans="1:14" s="1" customFormat="1" x14ac:dyDescent="0.35">
      <c r="A1089" s="1" t="s">
        <v>5171</v>
      </c>
      <c r="B1089" s="1" t="s">
        <v>2091</v>
      </c>
      <c r="C1089" s="1" t="s">
        <v>2115</v>
      </c>
      <c r="D1089" s="1" t="s">
        <v>9770</v>
      </c>
      <c r="E1089" s="1" t="str">
        <f>"5855"</f>
        <v>5855</v>
      </c>
      <c r="F1089" s="1" t="str">
        <f>"015485687"</f>
        <v>015485687</v>
      </c>
      <c r="G1089" s="1" t="s">
        <v>1921</v>
      </c>
      <c r="H1089" s="1" t="s">
        <v>16</v>
      </c>
      <c r="I1089" s="4" t="str">
        <f>"1"</f>
        <v>1</v>
      </c>
      <c r="J1089" s="2" t="str">
        <f>"10402"</f>
        <v>10402</v>
      </c>
      <c r="K1089" s="3">
        <v>46155</v>
      </c>
      <c r="L1089" s="3">
        <v>46165</v>
      </c>
      <c r="M1089" s="1" t="s">
        <v>9769</v>
      </c>
      <c r="N1089" s="1" t="s">
        <v>2131</v>
      </c>
    </row>
    <row r="1090" spans="1:14" s="1" customFormat="1" x14ac:dyDescent="0.35">
      <c r="A1090" s="1" t="s">
        <v>5171</v>
      </c>
      <c r="B1090" s="1" t="s">
        <v>2091</v>
      </c>
      <c r="C1090" s="1" t="s">
        <v>2115</v>
      </c>
      <c r="D1090" s="1" t="s">
        <v>9768</v>
      </c>
      <c r="E1090" s="1" t="str">
        <f>"5855"</f>
        <v>5855</v>
      </c>
      <c r="F1090" s="1" t="str">
        <f>"015485687"</f>
        <v>015485687</v>
      </c>
      <c r="G1090" s="1" t="s">
        <v>1921</v>
      </c>
      <c r="H1090" s="1" t="s">
        <v>16</v>
      </c>
      <c r="I1090" s="4" t="str">
        <f>"1"</f>
        <v>1</v>
      </c>
      <c r="J1090" s="2" t="str">
        <f>"10402"</f>
        <v>10402</v>
      </c>
      <c r="K1090" s="3">
        <v>46155</v>
      </c>
      <c r="L1090" s="3">
        <v>46165</v>
      </c>
      <c r="M1090" s="1" t="s">
        <v>9767</v>
      </c>
      <c r="N1090" s="1" t="s">
        <v>2131</v>
      </c>
    </row>
    <row r="1091" spans="1:14" s="1" customFormat="1" x14ac:dyDescent="0.35">
      <c r="A1091" s="1" t="s">
        <v>5171</v>
      </c>
      <c r="B1091" s="1" t="s">
        <v>2091</v>
      </c>
      <c r="C1091" s="1" t="s">
        <v>2111</v>
      </c>
      <c r="D1091" s="1" t="s">
        <v>9766</v>
      </c>
      <c r="E1091" s="1" t="str">
        <f>"6515"</f>
        <v>6515</v>
      </c>
      <c r="F1091" s="1" t="str">
        <f>"016187475"</f>
        <v>016187475</v>
      </c>
      <c r="G1091" s="1" t="s">
        <v>2113</v>
      </c>
      <c r="H1091" s="1" t="s">
        <v>215</v>
      </c>
      <c r="I1091" s="4" t="str">
        <f>"1"</f>
        <v>1</v>
      </c>
      <c r="J1091" s="2">
        <v>418.79</v>
      </c>
      <c r="K1091" s="3">
        <v>46164</v>
      </c>
      <c r="L1091" s="3">
        <v>46172</v>
      </c>
      <c r="M1091" s="1" t="s">
        <v>9765</v>
      </c>
      <c r="N1091" s="1" t="s">
        <v>2114</v>
      </c>
    </row>
    <row r="1092" spans="1:14" s="1" customFormat="1" x14ac:dyDescent="0.35">
      <c r="A1092" s="1" t="s">
        <v>5171</v>
      </c>
      <c r="B1092" s="1" t="s">
        <v>2091</v>
      </c>
      <c r="C1092" s="1" t="s">
        <v>9739</v>
      </c>
      <c r="D1092" s="1" t="s">
        <v>9764</v>
      </c>
      <c r="E1092" s="1" t="str">
        <f>"5855"</f>
        <v>5855</v>
      </c>
      <c r="F1092" s="1" t="str">
        <f>"015697816"</f>
        <v>015697816</v>
      </c>
      <c r="G1092" s="1" t="s">
        <v>2121</v>
      </c>
      <c r="H1092" s="1" t="s">
        <v>16</v>
      </c>
      <c r="I1092" s="4" t="str">
        <f>"36"</f>
        <v>36</v>
      </c>
      <c r="J1092" s="2">
        <v>751.58</v>
      </c>
      <c r="K1092" s="3">
        <v>46160</v>
      </c>
      <c r="L1092" s="3">
        <v>46172</v>
      </c>
      <c r="M1092" s="1" t="s">
        <v>9763</v>
      </c>
      <c r="N1092" s="1" t="s">
        <v>9762</v>
      </c>
    </row>
    <row r="1093" spans="1:14" s="1" customFormat="1" x14ac:dyDescent="0.35">
      <c r="A1093" s="1" t="s">
        <v>5171</v>
      </c>
      <c r="B1093" s="1" t="s">
        <v>2091</v>
      </c>
      <c r="C1093" s="1" t="s">
        <v>2141</v>
      </c>
      <c r="D1093" s="1" t="s">
        <v>9761</v>
      </c>
      <c r="E1093" s="1" t="str">
        <f>"1240"</f>
        <v>1240</v>
      </c>
      <c r="F1093" s="1" t="str">
        <f>"014111265"</f>
        <v>014111265</v>
      </c>
      <c r="G1093" s="1" t="s">
        <v>1103</v>
      </c>
      <c r="H1093" s="1" t="s">
        <v>16</v>
      </c>
      <c r="I1093" s="4" t="str">
        <f>"1"</f>
        <v>1</v>
      </c>
      <c r="J1093" s="2" t="str">
        <f>"339"</f>
        <v>339</v>
      </c>
      <c r="K1093" s="3">
        <v>46162</v>
      </c>
      <c r="L1093" s="3">
        <v>46175</v>
      </c>
      <c r="M1093" s="1" t="s">
        <v>9760</v>
      </c>
      <c r="N1093" s="1" t="s">
        <v>9759</v>
      </c>
    </row>
    <row r="1094" spans="1:14" s="1" customFormat="1" x14ac:dyDescent="0.35">
      <c r="A1094" s="1" t="s">
        <v>5216</v>
      </c>
      <c r="B1094" s="1" t="s">
        <v>2091</v>
      </c>
      <c r="C1094" s="1" t="s">
        <v>9739</v>
      </c>
      <c r="D1094" s="1" t="s">
        <v>9758</v>
      </c>
      <c r="E1094" s="1" t="str">
        <f>"5855"</f>
        <v>5855</v>
      </c>
      <c r="F1094" s="1" t="str">
        <f>"013809950"</f>
        <v>013809950</v>
      </c>
      <c r="G1094" s="1" t="s">
        <v>2121</v>
      </c>
      <c r="H1094" s="1" t="s">
        <v>16</v>
      </c>
      <c r="I1094" s="4" t="str">
        <f>"9"</f>
        <v>9</v>
      </c>
      <c r="J1094" s="2">
        <v>14.79</v>
      </c>
      <c r="K1094" s="3">
        <v>46175</v>
      </c>
      <c r="L1094" s="3">
        <v>46176</v>
      </c>
      <c r="M1094" s="1" t="s">
        <v>9757</v>
      </c>
      <c r="N1094" s="1" t="s">
        <v>9756</v>
      </c>
    </row>
    <row r="1095" spans="1:14" s="1" customFormat="1" x14ac:dyDescent="0.35">
      <c r="A1095" s="1" t="s">
        <v>5171</v>
      </c>
      <c r="B1095" s="1" t="s">
        <v>2091</v>
      </c>
      <c r="C1095" s="1" t="s">
        <v>2115</v>
      </c>
      <c r="D1095" s="1" t="s">
        <v>9755</v>
      </c>
      <c r="E1095" s="1" t="str">
        <f>"5855"</f>
        <v>5855</v>
      </c>
      <c r="F1095" s="1" t="str">
        <f>"015485687"</f>
        <v>015485687</v>
      </c>
      <c r="G1095" s="1" t="s">
        <v>1921</v>
      </c>
      <c r="H1095" s="1" t="s">
        <v>16</v>
      </c>
      <c r="I1095" s="4" t="str">
        <f>"20"</f>
        <v>20</v>
      </c>
      <c r="J1095" s="2" t="str">
        <f>"10402"</f>
        <v>10402</v>
      </c>
      <c r="K1095" s="3">
        <v>46076</v>
      </c>
      <c r="L1095" s="3">
        <v>46176</v>
      </c>
      <c r="M1095" s="1" t="s">
        <v>9754</v>
      </c>
      <c r="N1095" s="1" t="s">
        <v>9753</v>
      </c>
    </row>
    <row r="1096" spans="1:14" s="1" customFormat="1" x14ac:dyDescent="0.35">
      <c r="A1096" s="1" t="s">
        <v>5171</v>
      </c>
      <c r="B1096" s="1" t="s">
        <v>2091</v>
      </c>
      <c r="C1096" s="1" t="s">
        <v>2144</v>
      </c>
      <c r="D1096" s="1" t="s">
        <v>9752</v>
      </c>
      <c r="E1096" s="1" t="str">
        <f>"8465"</f>
        <v>8465</v>
      </c>
      <c r="F1096" s="1" t="str">
        <f>"015176319"</f>
        <v>015176319</v>
      </c>
      <c r="G1096" s="1" t="s">
        <v>660</v>
      </c>
      <c r="H1096" s="1" t="s">
        <v>16</v>
      </c>
      <c r="I1096" s="4" t="str">
        <f>"1"</f>
        <v>1</v>
      </c>
      <c r="J1096" s="2">
        <v>328.14</v>
      </c>
      <c r="K1096" s="3">
        <v>46168</v>
      </c>
      <c r="L1096" s="3">
        <v>46179</v>
      </c>
      <c r="M1096" s="1" t="s">
        <v>9751</v>
      </c>
      <c r="N1096" s="1" t="s">
        <v>2199</v>
      </c>
    </row>
    <row r="1097" spans="1:14" s="1" customFormat="1" x14ac:dyDescent="0.35">
      <c r="A1097" s="1" t="s">
        <v>5171</v>
      </c>
      <c r="B1097" s="1" t="s">
        <v>2091</v>
      </c>
      <c r="C1097" s="1" t="s">
        <v>2141</v>
      </c>
      <c r="D1097" s="1" t="s">
        <v>9750</v>
      </c>
      <c r="E1097" s="1" t="str">
        <f>"2360"</f>
        <v>2360</v>
      </c>
      <c r="F1097" s="1" t="str">
        <f>"015900772"</f>
        <v>015900772</v>
      </c>
      <c r="G1097" s="1" t="s">
        <v>1695</v>
      </c>
      <c r="H1097" s="1" t="s">
        <v>16</v>
      </c>
      <c r="I1097" s="4" t="str">
        <f>"3"</f>
        <v>3</v>
      </c>
      <c r="J1097" s="2" t="str">
        <f>"232404"</f>
        <v>232404</v>
      </c>
      <c r="K1097" s="3">
        <v>46129</v>
      </c>
      <c r="L1097" s="3">
        <v>46181</v>
      </c>
      <c r="M1097" s="1" t="s">
        <v>9749</v>
      </c>
      <c r="N1097" s="1" t="s">
        <v>9748</v>
      </c>
    </row>
    <row r="1098" spans="1:14" s="1" customFormat="1" x14ac:dyDescent="0.35">
      <c r="A1098" s="1" t="s">
        <v>5171</v>
      </c>
      <c r="B1098" s="1" t="s">
        <v>2091</v>
      </c>
      <c r="C1098" s="1" t="s">
        <v>2111</v>
      </c>
      <c r="D1098" s="1" t="s">
        <v>9747</v>
      </c>
      <c r="E1098" s="1" t="str">
        <f>"6545"</f>
        <v>6545</v>
      </c>
      <c r="F1098" s="1" t="s">
        <v>5774</v>
      </c>
      <c r="G1098" s="1" t="s">
        <v>5773</v>
      </c>
      <c r="H1098" s="1" t="s">
        <v>16</v>
      </c>
      <c r="I1098" s="4" t="str">
        <f>"50"</f>
        <v>50</v>
      </c>
      <c r="J1098" s="2" t="str">
        <f>"100"</f>
        <v>100</v>
      </c>
      <c r="K1098" s="3">
        <v>46188</v>
      </c>
      <c r="L1098" s="3">
        <v>46191</v>
      </c>
      <c r="M1098" s="1" t="s">
        <v>5167</v>
      </c>
      <c r="N1098" s="1" t="s">
        <v>9746</v>
      </c>
    </row>
    <row r="1099" spans="1:14" s="1" customFormat="1" x14ac:dyDescent="0.35">
      <c r="A1099" s="1" t="s">
        <v>5171</v>
      </c>
      <c r="B1099" s="1" t="s">
        <v>2091</v>
      </c>
      <c r="C1099" s="1" t="s">
        <v>2144</v>
      </c>
      <c r="D1099" s="1" t="s">
        <v>9745</v>
      </c>
      <c r="E1099" s="1" t="str">
        <f>"5825"</f>
        <v>5825</v>
      </c>
      <c r="F1099" s="1" t="str">
        <f>"016318025"</f>
        <v>016318025</v>
      </c>
      <c r="G1099" s="1" t="s">
        <v>9744</v>
      </c>
      <c r="H1099" s="1" t="s">
        <v>16</v>
      </c>
      <c r="I1099" s="4" t="str">
        <f>"24"</f>
        <v>24</v>
      </c>
      <c r="J1099" s="2">
        <v>149.49</v>
      </c>
      <c r="K1099" s="3">
        <v>46196</v>
      </c>
      <c r="L1099" s="3">
        <v>46198</v>
      </c>
      <c r="M1099" s="1" t="s">
        <v>9743</v>
      </c>
      <c r="N1099" s="1" t="s">
        <v>9742</v>
      </c>
    </row>
    <row r="1100" spans="1:14" s="1" customFormat="1" x14ac:dyDescent="0.35">
      <c r="A1100" s="1" t="s">
        <v>5171</v>
      </c>
      <c r="B1100" s="1" t="s">
        <v>2091</v>
      </c>
      <c r="C1100" s="1" t="s">
        <v>9739</v>
      </c>
      <c r="D1100" s="1" t="s">
        <v>9741</v>
      </c>
      <c r="E1100" s="1" t="str">
        <f>"5855"</f>
        <v>5855</v>
      </c>
      <c r="F1100" s="1" t="str">
        <f>"015345931"</f>
        <v>015345931</v>
      </c>
      <c r="G1100" s="1" t="s">
        <v>1379</v>
      </c>
      <c r="H1100" s="1" t="s">
        <v>16</v>
      </c>
      <c r="I1100" s="4" t="str">
        <f>"50"</f>
        <v>50</v>
      </c>
      <c r="J1100" s="2" t="str">
        <f>"970"</f>
        <v>970</v>
      </c>
      <c r="K1100" s="3">
        <v>46153</v>
      </c>
      <c r="L1100" s="3">
        <v>46202</v>
      </c>
      <c r="M1100" s="1" t="s">
        <v>9740</v>
      </c>
      <c r="N1100" s="1" t="s">
        <v>9736</v>
      </c>
    </row>
    <row r="1101" spans="1:14" s="1" customFormat="1" x14ac:dyDescent="0.35">
      <c r="A1101" s="1" t="s">
        <v>5171</v>
      </c>
      <c r="B1101" s="1" t="s">
        <v>2091</v>
      </c>
      <c r="C1101" s="1" t="s">
        <v>9739</v>
      </c>
      <c r="D1101" s="1" t="s">
        <v>9738</v>
      </c>
      <c r="E1101" s="1" t="str">
        <f>"5855"</f>
        <v>5855</v>
      </c>
      <c r="F1101" s="1" t="str">
        <f>"015345931"</f>
        <v>015345931</v>
      </c>
      <c r="G1101" s="1" t="s">
        <v>1379</v>
      </c>
      <c r="H1101" s="1" t="s">
        <v>16</v>
      </c>
      <c r="I1101" s="4" t="str">
        <f>"50"</f>
        <v>50</v>
      </c>
      <c r="J1101" s="2" t="str">
        <f>"970"</f>
        <v>970</v>
      </c>
      <c r="K1101" s="3">
        <v>46153</v>
      </c>
      <c r="L1101" s="3">
        <v>46202</v>
      </c>
      <c r="M1101" s="1" t="s">
        <v>9737</v>
      </c>
      <c r="N1101" s="1" t="s">
        <v>9736</v>
      </c>
    </row>
    <row r="1102" spans="1:14" s="1" customFormat="1" x14ac:dyDescent="0.35">
      <c r="A1102" s="1" t="s">
        <v>5171</v>
      </c>
      <c r="B1102" s="1" t="s">
        <v>2208</v>
      </c>
      <c r="C1102" s="1" t="s">
        <v>9735</v>
      </c>
      <c r="D1102" s="1" t="s">
        <v>9734</v>
      </c>
      <c r="E1102" s="1" t="str">
        <f>"1240"</f>
        <v>1240</v>
      </c>
      <c r="F1102" s="1" t="s">
        <v>1800</v>
      </c>
      <c r="G1102" s="1" t="s">
        <v>1801</v>
      </c>
      <c r="H1102" s="1" t="s">
        <v>16</v>
      </c>
      <c r="I1102" s="4" t="str">
        <f>"2"</f>
        <v>2</v>
      </c>
      <c r="J1102" s="2" t="str">
        <f>"1000"</f>
        <v>1000</v>
      </c>
      <c r="K1102" s="3">
        <v>46108</v>
      </c>
      <c r="L1102" s="3">
        <v>46113</v>
      </c>
      <c r="M1102" s="1" t="s">
        <v>9733</v>
      </c>
      <c r="N1102" s="1" t="s">
        <v>9732</v>
      </c>
    </row>
    <row r="1103" spans="1:14" s="1" customFormat="1" x14ac:dyDescent="0.35">
      <c r="A1103" s="1" t="s">
        <v>5171</v>
      </c>
      <c r="B1103" s="1" t="s">
        <v>2208</v>
      </c>
      <c r="C1103" s="1" t="s">
        <v>2257</v>
      </c>
      <c r="D1103" s="1" t="s">
        <v>9731</v>
      </c>
      <c r="E1103" s="1" t="str">
        <f>"2320"</f>
        <v>2320</v>
      </c>
      <c r="F1103" s="1" t="str">
        <f>"015016635"</f>
        <v>015016635</v>
      </c>
      <c r="G1103" s="1" t="s">
        <v>2303</v>
      </c>
      <c r="H1103" s="1" t="s">
        <v>16</v>
      </c>
      <c r="I1103" s="4" t="str">
        <f>"1"</f>
        <v>1</v>
      </c>
      <c r="J1103" s="2" t="str">
        <f>"45602"</f>
        <v>45602</v>
      </c>
      <c r="K1103" s="3">
        <v>46111</v>
      </c>
      <c r="L1103" s="3">
        <v>46114</v>
      </c>
      <c r="M1103" s="1" t="s">
        <v>9730</v>
      </c>
      <c r="N1103" s="1" t="s">
        <v>9729</v>
      </c>
    </row>
    <row r="1104" spans="1:14" s="1" customFormat="1" x14ac:dyDescent="0.35">
      <c r="A1104" s="1" t="s">
        <v>5230</v>
      </c>
      <c r="B1104" s="1" t="s">
        <v>2208</v>
      </c>
      <c r="C1104" s="1" t="s">
        <v>2286</v>
      </c>
      <c r="D1104" s="1" t="s">
        <v>9728</v>
      </c>
      <c r="E1104" s="1" t="str">
        <f>"2540"</f>
        <v>2540</v>
      </c>
      <c r="F1104" s="1" t="str">
        <f>"014797911"</f>
        <v>014797911</v>
      </c>
      <c r="G1104" s="1" t="s">
        <v>2324</v>
      </c>
      <c r="H1104" s="1" t="s">
        <v>16</v>
      </c>
      <c r="I1104" s="4" t="str">
        <f>"1"</f>
        <v>1</v>
      </c>
      <c r="J1104" s="2">
        <v>1250.55</v>
      </c>
      <c r="K1104" s="3">
        <v>46116</v>
      </c>
      <c r="L1104" s="3">
        <v>46116</v>
      </c>
      <c r="N1104" s="1" t="s">
        <v>2325</v>
      </c>
    </row>
    <row r="1105" spans="1:14" s="1" customFormat="1" x14ac:dyDescent="0.35">
      <c r="A1105" s="1" t="s">
        <v>5171</v>
      </c>
      <c r="B1105" s="1" t="s">
        <v>2208</v>
      </c>
      <c r="C1105" s="1" t="s">
        <v>2209</v>
      </c>
      <c r="D1105" s="1" t="s">
        <v>9727</v>
      </c>
      <c r="E1105" s="1" t="str">
        <f>"1240"</f>
        <v>1240</v>
      </c>
      <c r="F1105" s="1" t="str">
        <f>"016813209"</f>
        <v>016813209</v>
      </c>
      <c r="G1105" s="1" t="s">
        <v>2356</v>
      </c>
      <c r="H1105" s="1" t="s">
        <v>16</v>
      </c>
      <c r="I1105" s="4" t="str">
        <f>"9"</f>
        <v>9</v>
      </c>
      <c r="J1105" s="2" t="str">
        <f>"3269"</f>
        <v>3269</v>
      </c>
      <c r="K1105" s="3">
        <v>46111</v>
      </c>
      <c r="L1105" s="3">
        <v>46116</v>
      </c>
      <c r="M1105" s="1" t="s">
        <v>5167</v>
      </c>
      <c r="N1105" s="1" t="s">
        <v>9600</v>
      </c>
    </row>
    <row r="1106" spans="1:14" s="1" customFormat="1" x14ac:dyDescent="0.35">
      <c r="A1106" s="1" t="s">
        <v>5171</v>
      </c>
      <c r="B1106" s="1" t="s">
        <v>2208</v>
      </c>
      <c r="C1106" s="1" t="s">
        <v>9519</v>
      </c>
      <c r="D1106" s="1" t="s">
        <v>9726</v>
      </c>
      <c r="E1106" s="1" t="str">
        <f>"5855"</f>
        <v>5855</v>
      </c>
      <c r="F1106" s="1" t="str">
        <f>"015790062"</f>
        <v>015790062</v>
      </c>
      <c r="G1106" s="1" t="s">
        <v>1379</v>
      </c>
      <c r="H1106" s="1" t="s">
        <v>16</v>
      </c>
      <c r="I1106" s="4" t="str">
        <f>"14"</f>
        <v>14</v>
      </c>
      <c r="J1106" s="2" t="str">
        <f>"900"</f>
        <v>900</v>
      </c>
      <c r="K1106" s="3">
        <v>46105</v>
      </c>
      <c r="L1106" s="3">
        <v>46116</v>
      </c>
      <c r="M1106" s="1" t="s">
        <v>9725</v>
      </c>
      <c r="N1106" s="1" t="s">
        <v>9724</v>
      </c>
    </row>
    <row r="1107" spans="1:14" s="1" customFormat="1" x14ac:dyDescent="0.35">
      <c r="A1107" s="1" t="s">
        <v>5171</v>
      </c>
      <c r="B1107" s="1" t="s">
        <v>2208</v>
      </c>
      <c r="C1107" s="1" t="s">
        <v>2214</v>
      </c>
      <c r="D1107" s="1" t="s">
        <v>9723</v>
      </c>
      <c r="E1107" s="1" t="str">
        <f>"3830"</f>
        <v>3830</v>
      </c>
      <c r="F1107" s="1" t="s">
        <v>75</v>
      </c>
      <c r="G1107" s="1" t="s">
        <v>76</v>
      </c>
      <c r="H1107" s="1" t="s">
        <v>16</v>
      </c>
      <c r="I1107" s="4" t="str">
        <f>"1"</f>
        <v>1</v>
      </c>
      <c r="J1107" s="2" t="str">
        <f>"8500"</f>
        <v>8500</v>
      </c>
      <c r="K1107" s="3">
        <v>46114</v>
      </c>
      <c r="L1107" s="3">
        <v>46116</v>
      </c>
      <c r="M1107" s="1" t="s">
        <v>9722</v>
      </c>
      <c r="N1107" s="1" t="s">
        <v>9721</v>
      </c>
    </row>
    <row r="1108" spans="1:14" s="1" customFormat="1" x14ac:dyDescent="0.35">
      <c r="A1108" s="1" t="s">
        <v>5171</v>
      </c>
      <c r="B1108" s="1" t="s">
        <v>2208</v>
      </c>
      <c r="C1108" s="1" t="s">
        <v>2214</v>
      </c>
      <c r="D1108" s="1" t="s">
        <v>9720</v>
      </c>
      <c r="E1108" s="1" t="str">
        <f>"5855"</f>
        <v>5855</v>
      </c>
      <c r="F1108" s="1" t="s">
        <v>7848</v>
      </c>
      <c r="G1108" s="1" t="s">
        <v>7847</v>
      </c>
      <c r="H1108" s="1" t="s">
        <v>16</v>
      </c>
      <c r="I1108" s="4" t="str">
        <f>"14"</f>
        <v>14</v>
      </c>
      <c r="J1108" s="2">
        <v>6502.57</v>
      </c>
      <c r="K1108" s="3">
        <v>46114</v>
      </c>
      <c r="L1108" s="3">
        <v>46116</v>
      </c>
      <c r="M1108" s="1" t="s">
        <v>9719</v>
      </c>
      <c r="N1108" s="1" t="s">
        <v>9718</v>
      </c>
    </row>
    <row r="1109" spans="1:14" s="1" customFormat="1" x14ac:dyDescent="0.35">
      <c r="A1109" s="1" t="s">
        <v>5171</v>
      </c>
      <c r="B1109" s="1" t="s">
        <v>2208</v>
      </c>
      <c r="C1109" s="1" t="s">
        <v>2214</v>
      </c>
      <c r="D1109" s="1" t="s">
        <v>9717</v>
      </c>
      <c r="E1109" s="1" t="str">
        <f>"1240"</f>
        <v>1240</v>
      </c>
      <c r="F1109" s="1" t="s">
        <v>1800</v>
      </c>
      <c r="G1109" s="1" t="s">
        <v>1801</v>
      </c>
      <c r="H1109" s="1" t="s">
        <v>16</v>
      </c>
      <c r="I1109" s="4" t="str">
        <f>"1"</f>
        <v>1</v>
      </c>
      <c r="J1109" s="2" t="str">
        <f>"1500"</f>
        <v>1500</v>
      </c>
      <c r="K1109" s="3">
        <v>46114</v>
      </c>
      <c r="L1109" s="3">
        <v>46116</v>
      </c>
      <c r="M1109" s="1" t="s">
        <v>9716</v>
      </c>
      <c r="N1109" s="1" t="s">
        <v>9715</v>
      </c>
    </row>
    <row r="1110" spans="1:14" s="1" customFormat="1" x14ac:dyDescent="0.35">
      <c r="A1110" s="1" t="s">
        <v>5171</v>
      </c>
      <c r="B1110" s="1" t="s">
        <v>2208</v>
      </c>
      <c r="C1110" s="1" t="s">
        <v>2209</v>
      </c>
      <c r="D1110" s="1" t="s">
        <v>9714</v>
      </c>
      <c r="E1110" s="1" t="str">
        <f>"1240"</f>
        <v>1240</v>
      </c>
      <c r="F1110" s="1" t="s">
        <v>1800</v>
      </c>
      <c r="G1110" s="1" t="s">
        <v>1801</v>
      </c>
      <c r="H1110" s="1" t="s">
        <v>16</v>
      </c>
      <c r="I1110" s="4" t="str">
        <f>"2"</f>
        <v>2</v>
      </c>
      <c r="J1110" s="2" t="str">
        <f>"2000"</f>
        <v>2000</v>
      </c>
      <c r="K1110" s="3">
        <v>46105</v>
      </c>
      <c r="L1110" s="3">
        <v>46117</v>
      </c>
      <c r="M1110" s="1" t="s">
        <v>5167</v>
      </c>
      <c r="N1110" s="1" t="s">
        <v>2213</v>
      </c>
    </row>
    <row r="1111" spans="1:14" s="1" customFormat="1" x14ac:dyDescent="0.35">
      <c r="A1111" s="1" t="s">
        <v>5171</v>
      </c>
      <c r="B1111" s="1" t="s">
        <v>2208</v>
      </c>
      <c r="C1111" s="1" t="s">
        <v>2286</v>
      </c>
      <c r="D1111" s="1" t="s">
        <v>9713</v>
      </c>
      <c r="E1111" s="1" t="str">
        <f>"3805"</f>
        <v>3805</v>
      </c>
      <c r="F1111" s="1" t="str">
        <f>"010632012"</f>
        <v>010632012</v>
      </c>
      <c r="G1111" s="1" t="s">
        <v>2327</v>
      </c>
      <c r="H1111" s="1" t="s">
        <v>16</v>
      </c>
      <c r="I1111" s="4" t="str">
        <f>"1"</f>
        <v>1</v>
      </c>
      <c r="J1111" s="2" t="str">
        <f>"157800"</f>
        <v>157800</v>
      </c>
      <c r="K1111" s="3">
        <v>46117</v>
      </c>
      <c r="L1111" s="3">
        <v>46119</v>
      </c>
      <c r="M1111" s="1" t="s">
        <v>9712</v>
      </c>
      <c r="N1111" s="1" t="s">
        <v>9711</v>
      </c>
    </row>
    <row r="1112" spans="1:14" s="1" customFormat="1" x14ac:dyDescent="0.35">
      <c r="A1112" s="1" t="s">
        <v>5171</v>
      </c>
      <c r="B1112" s="1" t="s">
        <v>2208</v>
      </c>
      <c r="C1112" s="1" t="s">
        <v>2209</v>
      </c>
      <c r="D1112" s="1" t="s">
        <v>9710</v>
      </c>
      <c r="E1112" s="1" t="str">
        <f>"2310"</f>
        <v>2310</v>
      </c>
      <c r="F1112" s="1" t="str">
        <f>"011350996"</f>
        <v>011350996</v>
      </c>
      <c r="G1112" s="1" t="s">
        <v>1489</v>
      </c>
      <c r="H1112" s="1" t="s">
        <v>16</v>
      </c>
      <c r="I1112" s="4" t="str">
        <f>"1"</f>
        <v>1</v>
      </c>
      <c r="J1112" s="2" t="str">
        <f>"80000"</f>
        <v>80000</v>
      </c>
      <c r="K1112" s="3">
        <v>46118</v>
      </c>
      <c r="L1112" s="3">
        <v>46121</v>
      </c>
      <c r="M1112" s="1" t="s">
        <v>5167</v>
      </c>
      <c r="N1112" s="1" t="s">
        <v>9673</v>
      </c>
    </row>
    <row r="1113" spans="1:14" s="1" customFormat="1" x14ac:dyDescent="0.35">
      <c r="A1113" s="1" t="s">
        <v>5171</v>
      </c>
      <c r="B1113" s="1" t="s">
        <v>2208</v>
      </c>
      <c r="C1113" s="1" t="s">
        <v>2214</v>
      </c>
      <c r="D1113" s="1" t="s">
        <v>9709</v>
      </c>
      <c r="E1113" s="1" t="str">
        <f>"2310"</f>
        <v>2310</v>
      </c>
      <c r="F1113" s="1" t="str">
        <f>"011350996"</f>
        <v>011350996</v>
      </c>
      <c r="G1113" s="1" t="s">
        <v>1489</v>
      </c>
      <c r="H1113" s="1" t="s">
        <v>16</v>
      </c>
      <c r="I1113" s="4" t="str">
        <f>"1"</f>
        <v>1</v>
      </c>
      <c r="J1113" s="2" t="str">
        <f>"80000"</f>
        <v>80000</v>
      </c>
      <c r="K1113" s="3">
        <v>46116</v>
      </c>
      <c r="L1113" s="3">
        <v>46121</v>
      </c>
      <c r="M1113" s="1" t="s">
        <v>9708</v>
      </c>
      <c r="N1113" s="1" t="s">
        <v>9670</v>
      </c>
    </row>
    <row r="1114" spans="1:14" s="1" customFormat="1" x14ac:dyDescent="0.35">
      <c r="A1114" s="1" t="s">
        <v>5230</v>
      </c>
      <c r="B1114" s="1" t="s">
        <v>2208</v>
      </c>
      <c r="C1114" s="1" t="s">
        <v>2214</v>
      </c>
      <c r="D1114" s="1" t="s">
        <v>9707</v>
      </c>
      <c r="E1114" s="1" t="str">
        <f>"3830"</f>
        <v>3830</v>
      </c>
      <c r="F1114" s="1" t="s">
        <v>75</v>
      </c>
      <c r="G1114" s="1" t="s">
        <v>76</v>
      </c>
      <c r="H1114" s="1" t="s">
        <v>16</v>
      </c>
      <c r="I1114" s="4" t="str">
        <f>"1"</f>
        <v>1</v>
      </c>
      <c r="J1114" s="2" t="str">
        <f>"3000"</f>
        <v>3000</v>
      </c>
      <c r="K1114" s="3">
        <v>46122</v>
      </c>
      <c r="L1114" s="3">
        <v>46122</v>
      </c>
      <c r="M1114" s="1" t="s">
        <v>5469</v>
      </c>
      <c r="N1114" s="1" t="s">
        <v>2222</v>
      </c>
    </row>
    <row r="1115" spans="1:14" s="1" customFormat="1" x14ac:dyDescent="0.35">
      <c r="A1115" s="1" t="s">
        <v>5171</v>
      </c>
      <c r="B1115" s="1" t="s">
        <v>2208</v>
      </c>
      <c r="C1115" s="1" t="s">
        <v>2214</v>
      </c>
      <c r="D1115" s="1" t="s">
        <v>9706</v>
      </c>
      <c r="E1115" s="1" t="str">
        <f>"2320"</f>
        <v>2320</v>
      </c>
      <c r="F1115" s="1" t="str">
        <f>"010907896"</f>
        <v>010907896</v>
      </c>
      <c r="G1115" s="1" t="s">
        <v>271</v>
      </c>
      <c r="H1115" s="1" t="s">
        <v>16</v>
      </c>
      <c r="I1115" s="4" t="str">
        <f>"1"</f>
        <v>1</v>
      </c>
      <c r="J1115" s="2" t="str">
        <f>"24211"</f>
        <v>24211</v>
      </c>
      <c r="K1115" s="3">
        <v>46109</v>
      </c>
      <c r="L1115" s="3">
        <v>46123</v>
      </c>
      <c r="M1115" s="1" t="s">
        <v>9705</v>
      </c>
      <c r="N1115" s="1" t="s">
        <v>9704</v>
      </c>
    </row>
    <row r="1116" spans="1:14" s="1" customFormat="1" x14ac:dyDescent="0.35">
      <c r="A1116" s="1" t="s">
        <v>5171</v>
      </c>
      <c r="B1116" s="1" t="s">
        <v>2208</v>
      </c>
      <c r="C1116" s="1" t="s">
        <v>9421</v>
      </c>
      <c r="D1116" s="1" t="s">
        <v>9703</v>
      </c>
      <c r="E1116" s="1" t="str">
        <f>"8465"</f>
        <v>8465</v>
      </c>
      <c r="F1116" s="1" t="str">
        <f>"016036613"</f>
        <v>016036613</v>
      </c>
      <c r="G1116" s="1" t="s">
        <v>1236</v>
      </c>
      <c r="H1116" s="1" t="s">
        <v>16</v>
      </c>
      <c r="I1116" s="4" t="str">
        <f>"4"</f>
        <v>4</v>
      </c>
      <c r="J1116" s="2">
        <v>395.65</v>
      </c>
      <c r="K1116" s="3">
        <v>46118</v>
      </c>
      <c r="L1116" s="3">
        <v>46123</v>
      </c>
      <c r="M1116" s="1" t="s">
        <v>9702</v>
      </c>
      <c r="N1116" s="1" t="s">
        <v>9701</v>
      </c>
    </row>
    <row r="1117" spans="1:14" s="1" customFormat="1" x14ac:dyDescent="0.35">
      <c r="A1117" s="1" t="s">
        <v>5171</v>
      </c>
      <c r="B1117" s="1" t="s">
        <v>2208</v>
      </c>
      <c r="C1117" s="1" t="s">
        <v>2257</v>
      </c>
      <c r="D1117" s="1" t="s">
        <v>9700</v>
      </c>
      <c r="E1117" s="1" t="str">
        <f>"2320"</f>
        <v>2320</v>
      </c>
      <c r="F1117" s="1" t="str">
        <f>"010907896"</f>
        <v>010907896</v>
      </c>
      <c r="G1117" s="1" t="s">
        <v>271</v>
      </c>
      <c r="H1117" s="1" t="s">
        <v>16</v>
      </c>
      <c r="I1117" s="4" t="str">
        <f>"1"</f>
        <v>1</v>
      </c>
      <c r="J1117" s="2" t="str">
        <f>"24211"</f>
        <v>24211</v>
      </c>
      <c r="K1117" s="3">
        <v>46111</v>
      </c>
      <c r="L1117" s="3">
        <v>46123</v>
      </c>
      <c r="M1117" s="1" t="s">
        <v>9699</v>
      </c>
      <c r="N1117" s="1" t="s">
        <v>9698</v>
      </c>
    </row>
    <row r="1118" spans="1:14" s="1" customFormat="1" x14ac:dyDescent="0.35">
      <c r="A1118" s="1" t="s">
        <v>5171</v>
      </c>
      <c r="B1118" s="1" t="s">
        <v>2208</v>
      </c>
      <c r="C1118" s="1" t="s">
        <v>2286</v>
      </c>
      <c r="D1118" s="1" t="s">
        <v>9697</v>
      </c>
      <c r="E1118" s="1" t="str">
        <f>"2320"</f>
        <v>2320</v>
      </c>
      <c r="F1118" s="1" t="str">
        <f>"010907896"</f>
        <v>010907896</v>
      </c>
      <c r="G1118" s="1" t="s">
        <v>271</v>
      </c>
      <c r="H1118" s="1" t="s">
        <v>16</v>
      </c>
      <c r="I1118" s="4" t="str">
        <f>"1"</f>
        <v>1</v>
      </c>
      <c r="J1118" s="2" t="str">
        <f>"24211"</f>
        <v>24211</v>
      </c>
      <c r="K1118" s="3">
        <v>46110</v>
      </c>
      <c r="L1118" s="3">
        <v>46123</v>
      </c>
      <c r="M1118" s="1" t="s">
        <v>9696</v>
      </c>
      <c r="N1118" s="1" t="s">
        <v>9695</v>
      </c>
    </row>
    <row r="1119" spans="1:14" s="1" customFormat="1" x14ac:dyDescent="0.35">
      <c r="A1119" s="1" t="s">
        <v>5171</v>
      </c>
      <c r="B1119" s="1" t="s">
        <v>2208</v>
      </c>
      <c r="C1119" s="1" t="s">
        <v>2286</v>
      </c>
      <c r="D1119" s="1" t="s">
        <v>9694</v>
      </c>
      <c r="E1119" s="1" t="str">
        <f>"2420"</f>
        <v>2420</v>
      </c>
      <c r="F1119" s="1" t="str">
        <f>"010630254"</f>
        <v>010630254</v>
      </c>
      <c r="G1119" s="1" t="s">
        <v>98</v>
      </c>
      <c r="H1119" s="1" t="s">
        <v>16</v>
      </c>
      <c r="I1119" s="4" t="str">
        <f>"1"</f>
        <v>1</v>
      </c>
      <c r="J1119" s="2" t="str">
        <f>"140000"</f>
        <v>140000</v>
      </c>
      <c r="K1119" s="3">
        <v>46112</v>
      </c>
      <c r="L1119" s="3">
        <v>46123</v>
      </c>
      <c r="M1119" s="1" t="s">
        <v>9693</v>
      </c>
      <c r="N1119" s="1" t="s">
        <v>9690</v>
      </c>
    </row>
    <row r="1120" spans="1:14" s="1" customFormat="1" x14ac:dyDescent="0.35">
      <c r="A1120" s="1" t="s">
        <v>5171</v>
      </c>
      <c r="B1120" s="1" t="s">
        <v>2208</v>
      </c>
      <c r="C1120" s="1" t="s">
        <v>2286</v>
      </c>
      <c r="D1120" s="1" t="s">
        <v>9692</v>
      </c>
      <c r="E1120" s="1" t="str">
        <f>"2420"</f>
        <v>2420</v>
      </c>
      <c r="F1120" s="1" t="str">
        <f>"010630254"</f>
        <v>010630254</v>
      </c>
      <c r="G1120" s="1" t="s">
        <v>98</v>
      </c>
      <c r="H1120" s="1" t="s">
        <v>16</v>
      </c>
      <c r="I1120" s="4" t="str">
        <f>"1"</f>
        <v>1</v>
      </c>
      <c r="J1120" s="2" t="str">
        <f>"140000"</f>
        <v>140000</v>
      </c>
      <c r="K1120" s="3">
        <v>46112</v>
      </c>
      <c r="L1120" s="3">
        <v>46123</v>
      </c>
      <c r="M1120" s="1" t="s">
        <v>9691</v>
      </c>
      <c r="N1120" s="1" t="s">
        <v>9690</v>
      </c>
    </row>
    <row r="1121" spans="1:14" s="1" customFormat="1" x14ac:dyDescent="0.35">
      <c r="A1121" s="1" t="s">
        <v>5171</v>
      </c>
      <c r="B1121" s="1" t="s">
        <v>2208</v>
      </c>
      <c r="C1121" s="1" t="s">
        <v>9519</v>
      </c>
      <c r="D1121" s="1" t="s">
        <v>9689</v>
      </c>
      <c r="E1121" s="1" t="str">
        <f>"5855"</f>
        <v>5855</v>
      </c>
      <c r="F1121" s="1" t="str">
        <f>"015485687"</f>
        <v>015485687</v>
      </c>
      <c r="G1121" s="1" t="s">
        <v>1921</v>
      </c>
      <c r="H1121" s="1" t="s">
        <v>16</v>
      </c>
      <c r="I1121" s="4" t="str">
        <f>"11"</f>
        <v>11</v>
      </c>
      <c r="J1121" s="2" t="str">
        <f>"10402"</f>
        <v>10402</v>
      </c>
      <c r="K1121" s="3">
        <v>46123</v>
      </c>
      <c r="L1121" s="3">
        <v>46127</v>
      </c>
      <c r="M1121" s="1" t="s">
        <v>9688</v>
      </c>
      <c r="N1121" s="1" t="s">
        <v>9687</v>
      </c>
    </row>
    <row r="1122" spans="1:14" s="1" customFormat="1" x14ac:dyDescent="0.35">
      <c r="A1122" s="1" t="s">
        <v>5171</v>
      </c>
      <c r="B1122" s="1" t="s">
        <v>2208</v>
      </c>
      <c r="C1122" s="1" t="s">
        <v>9519</v>
      </c>
      <c r="D1122" s="1" t="s">
        <v>9686</v>
      </c>
      <c r="E1122" s="1" t="str">
        <f>"5855"</f>
        <v>5855</v>
      </c>
      <c r="F1122" s="1" t="s">
        <v>5542</v>
      </c>
      <c r="G1122" s="1" t="s">
        <v>5541</v>
      </c>
      <c r="H1122" s="1" t="s">
        <v>16</v>
      </c>
      <c r="I1122" s="4" t="str">
        <f>"1"</f>
        <v>1</v>
      </c>
      <c r="J1122" s="2" t="str">
        <f>"13000"</f>
        <v>13000</v>
      </c>
      <c r="K1122" s="3">
        <v>46123</v>
      </c>
      <c r="L1122" s="3">
        <v>46128</v>
      </c>
      <c r="M1122" s="1" t="s">
        <v>9685</v>
      </c>
      <c r="N1122" s="1" t="s">
        <v>9684</v>
      </c>
    </row>
    <row r="1123" spans="1:14" s="1" customFormat="1" x14ac:dyDescent="0.35">
      <c r="A1123" s="1" t="s">
        <v>5171</v>
      </c>
      <c r="B1123" s="1" t="s">
        <v>2208</v>
      </c>
      <c r="C1123" s="1" t="s">
        <v>9519</v>
      </c>
      <c r="D1123" s="1" t="s">
        <v>9683</v>
      </c>
      <c r="E1123" s="1" t="str">
        <f>"4240"</f>
        <v>4240</v>
      </c>
      <c r="F1123" s="1" t="str">
        <f>"015475933"</f>
        <v>015475933</v>
      </c>
      <c r="G1123" s="1" t="s">
        <v>6267</v>
      </c>
      <c r="H1123" s="1" t="s">
        <v>16</v>
      </c>
      <c r="I1123" s="4" t="str">
        <f>"11"</f>
        <v>11</v>
      </c>
      <c r="J1123" s="2">
        <v>59.03</v>
      </c>
      <c r="K1123" s="3">
        <v>46123</v>
      </c>
      <c r="L1123" s="3">
        <v>46128</v>
      </c>
      <c r="M1123" s="1" t="s">
        <v>9682</v>
      </c>
      <c r="N1123" s="1" t="s">
        <v>9681</v>
      </c>
    </row>
    <row r="1124" spans="1:14" s="1" customFormat="1" x14ac:dyDescent="0.35">
      <c r="A1124" s="1" t="s">
        <v>5171</v>
      </c>
      <c r="B1124" s="1" t="s">
        <v>2208</v>
      </c>
      <c r="C1124" s="1" t="s">
        <v>9519</v>
      </c>
      <c r="D1124" s="1" t="s">
        <v>9680</v>
      </c>
      <c r="E1124" s="1" t="str">
        <f>"8115"</f>
        <v>8115</v>
      </c>
      <c r="F1124" s="1" t="s">
        <v>483</v>
      </c>
      <c r="G1124" s="1" t="s">
        <v>484</v>
      </c>
      <c r="H1124" s="1" t="s">
        <v>16</v>
      </c>
      <c r="I1124" s="4" t="str">
        <f>"4"</f>
        <v>4</v>
      </c>
      <c r="J1124" s="2" t="str">
        <f>"1000"</f>
        <v>1000</v>
      </c>
      <c r="K1124" s="3">
        <v>46123</v>
      </c>
      <c r="L1124" s="3">
        <v>46128</v>
      </c>
      <c r="M1124" s="1" t="s">
        <v>9679</v>
      </c>
      <c r="N1124" s="1" t="s">
        <v>9678</v>
      </c>
    </row>
    <row r="1125" spans="1:14" s="1" customFormat="1" x14ac:dyDescent="0.35">
      <c r="A1125" s="1" t="s">
        <v>5171</v>
      </c>
      <c r="B1125" s="1" t="s">
        <v>2208</v>
      </c>
      <c r="C1125" s="1" t="s">
        <v>9519</v>
      </c>
      <c r="D1125" s="1" t="s">
        <v>9677</v>
      </c>
      <c r="E1125" s="1" t="str">
        <f>"5855"</f>
        <v>5855</v>
      </c>
      <c r="F1125" s="1" t="str">
        <f>"015330555"</f>
        <v>015330555</v>
      </c>
      <c r="G1125" s="1" t="s">
        <v>462</v>
      </c>
      <c r="H1125" s="1" t="s">
        <v>16</v>
      </c>
      <c r="I1125" s="4" t="str">
        <f>"10"</f>
        <v>10</v>
      </c>
      <c r="J1125" s="2" t="str">
        <f>"1800"</f>
        <v>1800</v>
      </c>
      <c r="K1125" s="3">
        <v>46123</v>
      </c>
      <c r="L1125" s="3">
        <v>46129</v>
      </c>
      <c r="M1125" s="1" t="s">
        <v>9676</v>
      </c>
      <c r="N1125" s="1" t="s">
        <v>9675</v>
      </c>
    </row>
    <row r="1126" spans="1:14" s="1" customFormat="1" x14ac:dyDescent="0.35">
      <c r="A1126" s="1" t="s">
        <v>5171</v>
      </c>
      <c r="B1126" s="1" t="s">
        <v>2208</v>
      </c>
      <c r="C1126" s="1" t="s">
        <v>2209</v>
      </c>
      <c r="D1126" s="1" t="s">
        <v>9674</v>
      </c>
      <c r="E1126" s="1" t="str">
        <f>"2310"</f>
        <v>2310</v>
      </c>
      <c r="F1126" s="1" t="str">
        <f>"011350996"</f>
        <v>011350996</v>
      </c>
      <c r="G1126" s="1" t="s">
        <v>1489</v>
      </c>
      <c r="H1126" s="1" t="s">
        <v>16</v>
      </c>
      <c r="I1126" s="4" t="str">
        <f>"1"</f>
        <v>1</v>
      </c>
      <c r="J1126" s="2" t="str">
        <f>"80000"</f>
        <v>80000</v>
      </c>
      <c r="K1126" s="3">
        <v>46118</v>
      </c>
      <c r="L1126" s="3">
        <v>46130</v>
      </c>
      <c r="M1126" s="1" t="s">
        <v>5167</v>
      </c>
      <c r="N1126" s="1" t="s">
        <v>9673</v>
      </c>
    </row>
    <row r="1127" spans="1:14" s="1" customFormat="1" x14ac:dyDescent="0.35">
      <c r="A1127" s="1" t="s">
        <v>5171</v>
      </c>
      <c r="B1127" s="1" t="s">
        <v>2208</v>
      </c>
      <c r="C1127" s="1" t="s">
        <v>2214</v>
      </c>
      <c r="D1127" s="1" t="s">
        <v>9672</v>
      </c>
      <c r="E1127" s="1" t="str">
        <f>"2310"</f>
        <v>2310</v>
      </c>
      <c r="F1127" s="1" t="str">
        <f>"011350996"</f>
        <v>011350996</v>
      </c>
      <c r="G1127" s="1" t="s">
        <v>1489</v>
      </c>
      <c r="H1127" s="1" t="s">
        <v>16</v>
      </c>
      <c r="I1127" s="4" t="str">
        <f>"1"</f>
        <v>1</v>
      </c>
      <c r="J1127" s="2" t="str">
        <f>"80000"</f>
        <v>80000</v>
      </c>
      <c r="K1127" s="3">
        <v>46116</v>
      </c>
      <c r="L1127" s="3">
        <v>46130</v>
      </c>
      <c r="M1127" s="1" t="s">
        <v>9671</v>
      </c>
      <c r="N1127" s="1" t="s">
        <v>9670</v>
      </c>
    </row>
    <row r="1128" spans="1:14" s="1" customFormat="1" x14ac:dyDescent="0.35">
      <c r="A1128" s="1" t="s">
        <v>5171</v>
      </c>
      <c r="B1128" s="1" t="s">
        <v>2208</v>
      </c>
      <c r="C1128" s="1" t="s">
        <v>2214</v>
      </c>
      <c r="D1128" s="1" t="s">
        <v>9669</v>
      </c>
      <c r="E1128" s="1" t="str">
        <f>"2320"</f>
        <v>2320</v>
      </c>
      <c r="F1128" s="1" t="str">
        <f>"010907782"</f>
        <v>010907782</v>
      </c>
      <c r="G1128" s="1" t="s">
        <v>4227</v>
      </c>
      <c r="H1128" s="1" t="s">
        <v>16</v>
      </c>
      <c r="I1128" s="4" t="str">
        <f>"1"</f>
        <v>1</v>
      </c>
      <c r="J1128" s="2" t="str">
        <f>"30485"</f>
        <v>30485</v>
      </c>
      <c r="K1128" s="3">
        <v>46116</v>
      </c>
      <c r="L1128" s="3">
        <v>46130</v>
      </c>
      <c r="M1128" s="1" t="s">
        <v>9668</v>
      </c>
      <c r="N1128" s="1" t="s">
        <v>9505</v>
      </c>
    </row>
    <row r="1129" spans="1:14" s="1" customFormat="1" x14ac:dyDescent="0.35">
      <c r="A1129" s="1" t="s">
        <v>5171</v>
      </c>
      <c r="B1129" s="1" t="s">
        <v>2208</v>
      </c>
      <c r="C1129" s="1" t="s">
        <v>2286</v>
      </c>
      <c r="D1129" s="1" t="s">
        <v>9667</v>
      </c>
      <c r="E1129" s="1" t="str">
        <f>"2330"</f>
        <v>2330</v>
      </c>
      <c r="F1129" s="1" t="s">
        <v>70</v>
      </c>
      <c r="G1129" s="1" t="s">
        <v>71</v>
      </c>
      <c r="H1129" s="1" t="s">
        <v>16</v>
      </c>
      <c r="I1129" s="4" t="str">
        <f>"1"</f>
        <v>1</v>
      </c>
      <c r="J1129" s="2" t="str">
        <f>"4500"</f>
        <v>4500</v>
      </c>
      <c r="K1129" s="3">
        <v>46116</v>
      </c>
      <c r="L1129" s="3">
        <v>46130</v>
      </c>
      <c r="M1129" s="1" t="s">
        <v>9666</v>
      </c>
      <c r="N1129" s="1" t="s">
        <v>9665</v>
      </c>
    </row>
    <row r="1130" spans="1:14" s="1" customFormat="1" x14ac:dyDescent="0.35">
      <c r="A1130" s="1" t="s">
        <v>5171</v>
      </c>
      <c r="B1130" s="1" t="s">
        <v>2208</v>
      </c>
      <c r="C1130" s="1" t="s">
        <v>2286</v>
      </c>
      <c r="D1130" s="1" t="s">
        <v>9664</v>
      </c>
      <c r="E1130" s="1" t="str">
        <f>"5180"</f>
        <v>5180</v>
      </c>
      <c r="F1130" s="1" t="str">
        <f>"005961474"</f>
        <v>005961474</v>
      </c>
      <c r="G1130" s="1" t="s">
        <v>1174</v>
      </c>
      <c r="H1130" s="1" t="s">
        <v>215</v>
      </c>
      <c r="I1130" s="4" t="str">
        <f>"1"</f>
        <v>1</v>
      </c>
      <c r="J1130" s="2" t="str">
        <f>"5688"</f>
        <v>5688</v>
      </c>
      <c r="K1130" s="3">
        <v>46116</v>
      </c>
      <c r="L1130" s="3">
        <v>46130</v>
      </c>
      <c r="M1130" s="1" t="s">
        <v>9663</v>
      </c>
      <c r="N1130" s="1" t="s">
        <v>2332</v>
      </c>
    </row>
    <row r="1131" spans="1:14" s="1" customFormat="1" x14ac:dyDescent="0.35">
      <c r="A1131" s="1" t="s">
        <v>5171</v>
      </c>
      <c r="B1131" s="1" t="s">
        <v>2208</v>
      </c>
      <c r="C1131" s="1" t="s">
        <v>2286</v>
      </c>
      <c r="D1131" s="1" t="s">
        <v>9662</v>
      </c>
      <c r="E1131" s="1" t="str">
        <f>"2320"</f>
        <v>2320</v>
      </c>
      <c r="F1131" s="1" t="s">
        <v>975</v>
      </c>
      <c r="G1131" s="1" t="s">
        <v>976</v>
      </c>
      <c r="H1131" s="1" t="s">
        <v>16</v>
      </c>
      <c r="I1131" s="4" t="str">
        <f>"1"</f>
        <v>1</v>
      </c>
      <c r="J1131" s="2" t="str">
        <f>"58000"</f>
        <v>58000</v>
      </c>
      <c r="K1131" s="3">
        <v>46117</v>
      </c>
      <c r="L1131" s="3">
        <v>46130</v>
      </c>
      <c r="M1131" s="1" t="s">
        <v>9661</v>
      </c>
      <c r="N1131" s="1" t="s">
        <v>9660</v>
      </c>
    </row>
    <row r="1132" spans="1:14" s="1" customFormat="1" x14ac:dyDescent="0.35">
      <c r="A1132" s="1" t="s">
        <v>5171</v>
      </c>
      <c r="B1132" s="1" t="s">
        <v>2208</v>
      </c>
      <c r="C1132" s="1" t="s">
        <v>2286</v>
      </c>
      <c r="D1132" s="1" t="s">
        <v>9659</v>
      </c>
      <c r="E1132" s="1" t="str">
        <f>"2420"</f>
        <v>2420</v>
      </c>
      <c r="F1132" s="1" t="s">
        <v>501</v>
      </c>
      <c r="G1132" s="1" t="s">
        <v>502</v>
      </c>
      <c r="H1132" s="1" t="s">
        <v>16</v>
      </c>
      <c r="I1132" s="4" t="str">
        <f>"1"</f>
        <v>1</v>
      </c>
      <c r="J1132" s="2" t="str">
        <f>"20000"</f>
        <v>20000</v>
      </c>
      <c r="K1132" s="3">
        <v>46117</v>
      </c>
      <c r="L1132" s="3">
        <v>46130</v>
      </c>
      <c r="M1132" s="1" t="s">
        <v>9658</v>
      </c>
      <c r="N1132" s="1" t="s">
        <v>9657</v>
      </c>
    </row>
    <row r="1133" spans="1:14" s="1" customFormat="1" x14ac:dyDescent="0.35">
      <c r="A1133" s="1" t="s">
        <v>5171</v>
      </c>
      <c r="B1133" s="1" t="s">
        <v>2208</v>
      </c>
      <c r="C1133" s="1" t="s">
        <v>2214</v>
      </c>
      <c r="D1133" s="1" t="s">
        <v>9656</v>
      </c>
      <c r="E1133" s="1" t="str">
        <f>"2310"</f>
        <v>2310</v>
      </c>
      <c r="F1133" s="1" t="s">
        <v>178</v>
      </c>
      <c r="G1133" s="1" t="s">
        <v>179</v>
      </c>
      <c r="H1133" s="1" t="s">
        <v>16</v>
      </c>
      <c r="I1133" s="4" t="str">
        <f>"1"</f>
        <v>1</v>
      </c>
      <c r="J1133" s="2" t="str">
        <f>"12554"</f>
        <v>12554</v>
      </c>
      <c r="K1133" s="3">
        <v>46130</v>
      </c>
      <c r="L1133" s="3">
        <v>46134</v>
      </c>
      <c r="M1133" s="1" t="s">
        <v>9655</v>
      </c>
      <c r="N1133" s="1" t="s">
        <v>9654</v>
      </c>
    </row>
    <row r="1134" spans="1:14" s="1" customFormat="1" x14ac:dyDescent="0.35">
      <c r="A1134" s="1" t="s">
        <v>5171</v>
      </c>
      <c r="B1134" s="1" t="s">
        <v>2208</v>
      </c>
      <c r="C1134" s="1" t="s">
        <v>2214</v>
      </c>
      <c r="D1134" s="1" t="s">
        <v>9653</v>
      </c>
      <c r="E1134" s="1" t="str">
        <f>"6650"</f>
        <v>6650</v>
      </c>
      <c r="F1134" s="1" t="s">
        <v>2750</v>
      </c>
      <c r="G1134" s="1" t="s">
        <v>2751</v>
      </c>
      <c r="H1134" s="1" t="s">
        <v>16</v>
      </c>
      <c r="I1134" s="4" t="str">
        <f>"2"</f>
        <v>2</v>
      </c>
      <c r="J1134" s="2" t="str">
        <f>"203"</f>
        <v>203</v>
      </c>
      <c r="K1134" s="3">
        <v>46134</v>
      </c>
      <c r="L1134" s="3">
        <v>46135</v>
      </c>
      <c r="M1134" s="1" t="s">
        <v>5167</v>
      </c>
      <c r="N1134" s="1" t="s">
        <v>9651</v>
      </c>
    </row>
    <row r="1135" spans="1:14" s="1" customFormat="1" x14ac:dyDescent="0.35">
      <c r="A1135" s="1" t="s">
        <v>5171</v>
      </c>
      <c r="B1135" s="1" t="s">
        <v>2208</v>
      </c>
      <c r="C1135" s="1" t="s">
        <v>2214</v>
      </c>
      <c r="D1135" s="1" t="s">
        <v>9652</v>
      </c>
      <c r="E1135" s="1" t="str">
        <f>"6650"</f>
        <v>6650</v>
      </c>
      <c r="F1135" s="1" t="s">
        <v>2750</v>
      </c>
      <c r="G1135" s="1" t="s">
        <v>2751</v>
      </c>
      <c r="H1135" s="1" t="s">
        <v>16</v>
      </c>
      <c r="I1135" s="4" t="str">
        <f>"2"</f>
        <v>2</v>
      </c>
      <c r="J1135" s="2" t="str">
        <f>"258"</f>
        <v>258</v>
      </c>
      <c r="K1135" s="3">
        <v>46134</v>
      </c>
      <c r="L1135" s="3">
        <v>46135</v>
      </c>
      <c r="M1135" s="1" t="s">
        <v>5167</v>
      </c>
      <c r="N1135" s="1" t="s">
        <v>9651</v>
      </c>
    </row>
    <row r="1136" spans="1:14" s="1" customFormat="1" x14ac:dyDescent="0.35">
      <c r="A1136" s="1" t="s">
        <v>5171</v>
      </c>
      <c r="B1136" s="1" t="s">
        <v>2208</v>
      </c>
      <c r="C1136" s="1" t="s">
        <v>2286</v>
      </c>
      <c r="D1136" s="1" t="s">
        <v>9650</v>
      </c>
      <c r="E1136" s="1" t="str">
        <f>"3805"</f>
        <v>3805</v>
      </c>
      <c r="F1136" s="1" t="s">
        <v>384</v>
      </c>
      <c r="G1136" s="1" t="s">
        <v>385</v>
      </c>
      <c r="H1136" s="1" t="s">
        <v>16</v>
      </c>
      <c r="I1136" s="4" t="str">
        <f>"1"</f>
        <v>1</v>
      </c>
      <c r="J1136" s="2" t="str">
        <f>"96000"</f>
        <v>96000</v>
      </c>
      <c r="K1136" s="3">
        <v>46130</v>
      </c>
      <c r="L1136" s="3">
        <v>46135</v>
      </c>
      <c r="M1136" s="1" t="s">
        <v>9649</v>
      </c>
      <c r="N1136" s="1" t="s">
        <v>9648</v>
      </c>
    </row>
    <row r="1137" spans="1:14" s="1" customFormat="1" x14ac:dyDescent="0.35">
      <c r="A1137" s="1" t="s">
        <v>5171</v>
      </c>
      <c r="B1137" s="1" t="s">
        <v>2208</v>
      </c>
      <c r="C1137" s="1" t="s">
        <v>2339</v>
      </c>
      <c r="D1137" s="1" t="s">
        <v>9647</v>
      </c>
      <c r="E1137" s="1" t="str">
        <f>"5855"</f>
        <v>5855</v>
      </c>
      <c r="F1137" s="1" t="str">
        <f>"015777174"</f>
        <v>015777174</v>
      </c>
      <c r="G1137" s="1" t="s">
        <v>1366</v>
      </c>
      <c r="H1137" s="1" t="s">
        <v>16</v>
      </c>
      <c r="I1137" s="4" t="str">
        <f>"8"</f>
        <v>8</v>
      </c>
      <c r="J1137" s="2" t="str">
        <f>"1791"</f>
        <v>1791</v>
      </c>
      <c r="K1137" s="3">
        <v>46131</v>
      </c>
      <c r="L1137" s="3">
        <v>46135</v>
      </c>
      <c r="M1137" s="1" t="s">
        <v>9646</v>
      </c>
      <c r="N1137" s="1" t="s">
        <v>9645</v>
      </c>
    </row>
    <row r="1138" spans="1:14" s="1" customFormat="1" x14ac:dyDescent="0.35">
      <c r="A1138" s="1" t="s">
        <v>5171</v>
      </c>
      <c r="B1138" s="1" t="s">
        <v>2208</v>
      </c>
      <c r="C1138" s="1" t="s">
        <v>2209</v>
      </c>
      <c r="D1138" s="1" t="s">
        <v>9644</v>
      </c>
      <c r="E1138" s="1" t="str">
        <f>"1240"</f>
        <v>1240</v>
      </c>
      <c r="F1138" s="1" t="s">
        <v>1800</v>
      </c>
      <c r="G1138" s="1" t="s">
        <v>1801</v>
      </c>
      <c r="H1138" s="1" t="s">
        <v>16</v>
      </c>
      <c r="I1138" s="4" t="str">
        <f>"12"</f>
        <v>12</v>
      </c>
      <c r="J1138" s="2" t="str">
        <f>"500"</f>
        <v>500</v>
      </c>
      <c r="K1138" s="3">
        <v>46133</v>
      </c>
      <c r="L1138" s="3">
        <v>46136</v>
      </c>
      <c r="M1138" s="1" t="s">
        <v>5167</v>
      </c>
      <c r="N1138" s="1" t="s">
        <v>9600</v>
      </c>
    </row>
    <row r="1139" spans="1:14" s="1" customFormat="1" x14ac:dyDescent="0.35">
      <c r="A1139" s="1" t="s">
        <v>5171</v>
      </c>
      <c r="B1139" s="1" t="s">
        <v>2208</v>
      </c>
      <c r="C1139" s="1" t="s">
        <v>2209</v>
      </c>
      <c r="D1139" s="1" t="s">
        <v>9643</v>
      </c>
      <c r="E1139" s="1" t="str">
        <f>"1385"</f>
        <v>1385</v>
      </c>
      <c r="F1139" s="1" t="str">
        <f>"016274491"</f>
        <v>016274491</v>
      </c>
      <c r="G1139" s="1" t="s">
        <v>2146</v>
      </c>
      <c r="H1139" s="1" t="s">
        <v>16</v>
      </c>
      <c r="I1139" s="4" t="str">
        <f>"2"</f>
        <v>2</v>
      </c>
      <c r="J1139" s="2">
        <v>11556.33</v>
      </c>
      <c r="K1139" s="3">
        <v>46133</v>
      </c>
      <c r="L1139" s="3">
        <v>46137</v>
      </c>
      <c r="M1139" s="1" t="s">
        <v>5167</v>
      </c>
      <c r="N1139" s="1" t="s">
        <v>2211</v>
      </c>
    </row>
    <row r="1140" spans="1:14" s="1" customFormat="1" x14ac:dyDescent="0.35">
      <c r="A1140" s="1" t="s">
        <v>5171</v>
      </c>
      <c r="B1140" s="1" t="s">
        <v>2208</v>
      </c>
      <c r="C1140" s="1" t="s">
        <v>2286</v>
      </c>
      <c r="D1140" s="1" t="s">
        <v>9642</v>
      </c>
      <c r="E1140" s="1" t="str">
        <f>"2340"</f>
        <v>2340</v>
      </c>
      <c r="F1140" s="1" t="s">
        <v>1446</v>
      </c>
      <c r="G1140" s="1" t="s">
        <v>1447</v>
      </c>
      <c r="H1140" s="1" t="s">
        <v>16</v>
      </c>
      <c r="I1140" s="4" t="str">
        <f>"1"</f>
        <v>1</v>
      </c>
      <c r="J1140" s="2" t="str">
        <f>"1000"</f>
        <v>1000</v>
      </c>
      <c r="K1140" s="3">
        <v>46125</v>
      </c>
      <c r="L1140" s="3">
        <v>46137</v>
      </c>
      <c r="M1140" s="1" t="s">
        <v>9641</v>
      </c>
      <c r="N1140" s="1" t="s">
        <v>9640</v>
      </c>
    </row>
    <row r="1141" spans="1:14" s="1" customFormat="1" x14ac:dyDescent="0.35">
      <c r="A1141" s="1" t="s">
        <v>5171</v>
      </c>
      <c r="B1141" s="1" t="s">
        <v>2208</v>
      </c>
      <c r="C1141" s="1" t="s">
        <v>2286</v>
      </c>
      <c r="D1141" s="1" t="s">
        <v>9639</v>
      </c>
      <c r="E1141" s="1" t="str">
        <f>"1940"</f>
        <v>1940</v>
      </c>
      <c r="F1141" s="1" t="s">
        <v>1503</v>
      </c>
      <c r="G1141" s="1" t="s">
        <v>1504</v>
      </c>
      <c r="H1141" s="1" t="s">
        <v>16</v>
      </c>
      <c r="I1141" s="4" t="str">
        <f>"1"</f>
        <v>1</v>
      </c>
      <c r="J1141" s="2" t="str">
        <f>"2500"</f>
        <v>2500</v>
      </c>
      <c r="K1141" s="3">
        <v>46131</v>
      </c>
      <c r="L1141" s="3">
        <v>46137</v>
      </c>
      <c r="M1141" s="1" t="s">
        <v>9638</v>
      </c>
      <c r="N1141" s="1" t="s">
        <v>9635</v>
      </c>
    </row>
    <row r="1142" spans="1:14" s="1" customFormat="1" x14ac:dyDescent="0.35">
      <c r="A1142" s="1" t="s">
        <v>5171</v>
      </c>
      <c r="B1142" s="1" t="s">
        <v>2208</v>
      </c>
      <c r="C1142" s="1" t="s">
        <v>2286</v>
      </c>
      <c r="D1142" s="1" t="s">
        <v>9637</v>
      </c>
      <c r="E1142" s="1" t="str">
        <f>"1940"</f>
        <v>1940</v>
      </c>
      <c r="F1142" s="1" t="s">
        <v>1503</v>
      </c>
      <c r="G1142" s="1" t="s">
        <v>1504</v>
      </c>
      <c r="H1142" s="1" t="s">
        <v>16</v>
      </c>
      <c r="I1142" s="4" t="str">
        <f>"1"</f>
        <v>1</v>
      </c>
      <c r="J1142" s="2" t="str">
        <f>"2500"</f>
        <v>2500</v>
      </c>
      <c r="K1142" s="3">
        <v>46131</v>
      </c>
      <c r="L1142" s="3">
        <v>46137</v>
      </c>
      <c r="M1142" s="1" t="s">
        <v>9636</v>
      </c>
      <c r="N1142" s="1" t="s">
        <v>9635</v>
      </c>
    </row>
    <row r="1143" spans="1:14" s="1" customFormat="1" x14ac:dyDescent="0.35">
      <c r="A1143" s="1" t="s">
        <v>5171</v>
      </c>
      <c r="B1143" s="1" t="s">
        <v>2208</v>
      </c>
      <c r="C1143" s="1" t="s">
        <v>2286</v>
      </c>
      <c r="D1143" s="1" t="s">
        <v>9634</v>
      </c>
      <c r="E1143" s="1" t="str">
        <f>"3805"</f>
        <v>3805</v>
      </c>
      <c r="F1143" s="1" t="s">
        <v>384</v>
      </c>
      <c r="G1143" s="1" t="s">
        <v>385</v>
      </c>
      <c r="H1143" s="1" t="s">
        <v>16</v>
      </c>
      <c r="I1143" s="4" t="str">
        <f>"1"</f>
        <v>1</v>
      </c>
      <c r="J1143" s="2" t="str">
        <f>"55564"</f>
        <v>55564</v>
      </c>
      <c r="K1143" s="3">
        <v>46137</v>
      </c>
      <c r="L1143" s="3">
        <v>46137</v>
      </c>
      <c r="N1143" s="1" t="s">
        <v>9633</v>
      </c>
    </row>
    <row r="1144" spans="1:14" s="1" customFormat="1" x14ac:dyDescent="0.35">
      <c r="A1144" s="1" t="s">
        <v>5216</v>
      </c>
      <c r="B1144" s="1" t="s">
        <v>2208</v>
      </c>
      <c r="C1144" s="1" t="s">
        <v>2214</v>
      </c>
      <c r="D1144" s="1" t="s">
        <v>9632</v>
      </c>
      <c r="E1144" s="1" t="str">
        <f>"2340"</f>
        <v>2340</v>
      </c>
      <c r="F1144" s="1" t="s">
        <v>84</v>
      </c>
      <c r="G1144" s="1" t="s">
        <v>85</v>
      </c>
      <c r="H1144" s="1" t="s">
        <v>16</v>
      </c>
      <c r="I1144" s="4" t="str">
        <f>"1"</f>
        <v>1</v>
      </c>
      <c r="J1144" s="2">
        <v>31905.14</v>
      </c>
      <c r="K1144" s="3">
        <v>46137</v>
      </c>
      <c r="L1144" s="3">
        <v>46139</v>
      </c>
      <c r="M1144" s="1" t="s">
        <v>5608</v>
      </c>
      <c r="N1144" s="1" t="s">
        <v>9594</v>
      </c>
    </row>
    <row r="1145" spans="1:14" s="1" customFormat="1" x14ac:dyDescent="0.35">
      <c r="A1145" s="1" t="s">
        <v>5171</v>
      </c>
      <c r="B1145" s="1" t="s">
        <v>2208</v>
      </c>
      <c r="C1145" s="1" t="s">
        <v>2286</v>
      </c>
      <c r="D1145" s="1" t="s">
        <v>9631</v>
      </c>
      <c r="E1145" s="1" t="str">
        <f>"2330"</f>
        <v>2330</v>
      </c>
      <c r="F1145" s="1" t="str">
        <f>"005422039"</f>
        <v>005422039</v>
      </c>
      <c r="G1145" s="1" t="s">
        <v>9630</v>
      </c>
      <c r="H1145" s="1" t="s">
        <v>16</v>
      </c>
      <c r="I1145" s="4" t="str">
        <f>"1"</f>
        <v>1</v>
      </c>
      <c r="J1145" s="2" t="str">
        <f>"2114"</f>
        <v>2114</v>
      </c>
      <c r="K1145" s="3">
        <v>46137</v>
      </c>
      <c r="L1145" s="3">
        <v>46139</v>
      </c>
      <c r="N1145" s="1" t="s">
        <v>9629</v>
      </c>
    </row>
    <row r="1146" spans="1:14" s="1" customFormat="1" x14ac:dyDescent="0.35">
      <c r="A1146" s="1" t="s">
        <v>5171</v>
      </c>
      <c r="B1146" s="1" t="s">
        <v>2208</v>
      </c>
      <c r="C1146" s="1" t="s">
        <v>9519</v>
      </c>
      <c r="D1146" s="1" t="s">
        <v>9628</v>
      </c>
      <c r="E1146" s="1" t="str">
        <f>"5180"</f>
        <v>5180</v>
      </c>
      <c r="F1146" s="1" t="str">
        <f>"015636719"</f>
        <v>015636719</v>
      </c>
      <c r="G1146" s="1" t="s">
        <v>4502</v>
      </c>
      <c r="H1146" s="1" t="s">
        <v>215</v>
      </c>
      <c r="I1146" s="4" t="str">
        <f>"6"</f>
        <v>6</v>
      </c>
      <c r="J1146" s="2" t="str">
        <f>"60295"</f>
        <v>60295</v>
      </c>
      <c r="K1146" s="3">
        <v>46139</v>
      </c>
      <c r="L1146" s="3">
        <v>46140</v>
      </c>
      <c r="M1146" s="1" t="s">
        <v>9627</v>
      </c>
      <c r="N1146" s="1" t="s">
        <v>9626</v>
      </c>
    </row>
    <row r="1147" spans="1:14" s="1" customFormat="1" x14ac:dyDescent="0.35">
      <c r="A1147" s="1" t="s">
        <v>5171</v>
      </c>
      <c r="B1147" s="1" t="s">
        <v>2208</v>
      </c>
      <c r="C1147" s="1" t="s">
        <v>9519</v>
      </c>
      <c r="D1147" s="1" t="s">
        <v>9625</v>
      </c>
      <c r="E1147" s="1" t="str">
        <f>"5820"</f>
        <v>5820</v>
      </c>
      <c r="F1147" s="1" t="str">
        <f>"016823210"</f>
        <v>016823210</v>
      </c>
      <c r="G1147" s="1" t="s">
        <v>9624</v>
      </c>
      <c r="H1147" s="1" t="s">
        <v>16</v>
      </c>
      <c r="I1147" s="4" t="str">
        <f>"15"</f>
        <v>15</v>
      </c>
      <c r="J1147" s="2" t="str">
        <f>"2314"</f>
        <v>2314</v>
      </c>
      <c r="K1147" s="3">
        <v>46139</v>
      </c>
      <c r="L1147" s="3">
        <v>46140</v>
      </c>
      <c r="M1147" s="1" t="s">
        <v>5167</v>
      </c>
      <c r="N1147" s="1" t="s">
        <v>9623</v>
      </c>
    </row>
    <row r="1148" spans="1:14" s="1" customFormat="1" x14ac:dyDescent="0.35">
      <c r="A1148" s="1" t="s">
        <v>5171</v>
      </c>
      <c r="B1148" s="1" t="s">
        <v>2208</v>
      </c>
      <c r="C1148" s="1" t="s">
        <v>2214</v>
      </c>
      <c r="D1148" s="1" t="s">
        <v>9622</v>
      </c>
      <c r="E1148" s="1" t="str">
        <f>"2320"</f>
        <v>2320</v>
      </c>
      <c r="F1148" s="1" t="str">
        <f>"015959568"</f>
        <v>015959568</v>
      </c>
      <c r="G1148" s="1" t="s">
        <v>5404</v>
      </c>
      <c r="H1148" s="1" t="s">
        <v>16</v>
      </c>
      <c r="I1148" s="4" t="str">
        <f>"1"</f>
        <v>1</v>
      </c>
      <c r="J1148" s="2" t="str">
        <f>"31613"</f>
        <v>31613</v>
      </c>
      <c r="K1148" s="3">
        <v>46130</v>
      </c>
      <c r="L1148" s="3">
        <v>46140</v>
      </c>
      <c r="M1148" s="1" t="s">
        <v>9621</v>
      </c>
      <c r="N1148" s="1" t="s">
        <v>9620</v>
      </c>
    </row>
    <row r="1149" spans="1:14" s="1" customFormat="1" x14ac:dyDescent="0.35">
      <c r="A1149" s="1" t="s">
        <v>5171</v>
      </c>
      <c r="B1149" s="1" t="s">
        <v>2208</v>
      </c>
      <c r="C1149" s="1" t="s">
        <v>2286</v>
      </c>
      <c r="D1149" s="1" t="s">
        <v>9619</v>
      </c>
      <c r="E1149" s="1" t="str">
        <f>"2320"</f>
        <v>2320</v>
      </c>
      <c r="F1149" s="1" t="str">
        <f>"015959568"</f>
        <v>015959568</v>
      </c>
      <c r="G1149" s="1" t="s">
        <v>5404</v>
      </c>
      <c r="H1149" s="1" t="s">
        <v>16</v>
      </c>
      <c r="I1149" s="4" t="str">
        <f>"1"</f>
        <v>1</v>
      </c>
      <c r="J1149" s="2" t="str">
        <f>"31613"</f>
        <v>31613</v>
      </c>
      <c r="K1149" s="3">
        <v>46130</v>
      </c>
      <c r="L1149" s="3">
        <v>46140</v>
      </c>
      <c r="M1149" s="1" t="s">
        <v>9618</v>
      </c>
      <c r="N1149" s="1" t="s">
        <v>9617</v>
      </c>
    </row>
    <row r="1150" spans="1:14" s="1" customFormat="1" x14ac:dyDescent="0.35">
      <c r="A1150" s="1" t="s">
        <v>5171</v>
      </c>
      <c r="B1150" s="1" t="s">
        <v>2208</v>
      </c>
      <c r="C1150" s="1" t="s">
        <v>2286</v>
      </c>
      <c r="D1150" s="1" t="s">
        <v>9616</v>
      </c>
      <c r="E1150" s="1" t="str">
        <f>"2320"</f>
        <v>2320</v>
      </c>
      <c r="F1150" s="1" t="s">
        <v>971</v>
      </c>
      <c r="G1150" s="1" t="s">
        <v>972</v>
      </c>
      <c r="H1150" s="1" t="s">
        <v>16</v>
      </c>
      <c r="I1150" s="4" t="str">
        <f>"1"</f>
        <v>1</v>
      </c>
      <c r="J1150" s="2" t="str">
        <f>"30000"</f>
        <v>30000</v>
      </c>
      <c r="K1150" s="3">
        <v>46137</v>
      </c>
      <c r="L1150" s="3">
        <v>46140</v>
      </c>
      <c r="M1150" s="1" t="s">
        <v>5167</v>
      </c>
      <c r="N1150" s="1" t="s">
        <v>2290</v>
      </c>
    </row>
    <row r="1151" spans="1:14" s="1" customFormat="1" x14ac:dyDescent="0.35">
      <c r="A1151" s="1" t="s">
        <v>5216</v>
      </c>
      <c r="B1151" s="1" t="s">
        <v>2208</v>
      </c>
      <c r="C1151" s="1" t="s">
        <v>2214</v>
      </c>
      <c r="D1151" s="1" t="s">
        <v>9615</v>
      </c>
      <c r="E1151" s="1" t="str">
        <f>"4210"</f>
        <v>4210</v>
      </c>
      <c r="F1151" s="1" t="str">
        <f>"010262567"</f>
        <v>010262567</v>
      </c>
      <c r="G1151" s="1" t="s">
        <v>2225</v>
      </c>
      <c r="H1151" s="1" t="s">
        <v>16</v>
      </c>
      <c r="I1151" s="4" t="str">
        <f>"1"</f>
        <v>1</v>
      </c>
      <c r="J1151" s="2" t="str">
        <f>"39222"</f>
        <v>39222</v>
      </c>
      <c r="K1151" s="3">
        <v>46137</v>
      </c>
      <c r="L1151" s="3">
        <v>46141</v>
      </c>
      <c r="M1151" s="1" t="s">
        <v>9614</v>
      </c>
      <c r="N1151" s="1" t="s">
        <v>9613</v>
      </c>
    </row>
    <row r="1152" spans="1:14" s="1" customFormat="1" x14ac:dyDescent="0.35">
      <c r="A1152" s="1" t="s">
        <v>5171</v>
      </c>
      <c r="B1152" s="1" t="s">
        <v>2208</v>
      </c>
      <c r="C1152" s="1" t="s">
        <v>2214</v>
      </c>
      <c r="D1152" s="1" t="s">
        <v>9612</v>
      </c>
      <c r="E1152" s="1" t="str">
        <f>"3695"</f>
        <v>3695</v>
      </c>
      <c r="F1152" s="1" t="s">
        <v>5039</v>
      </c>
      <c r="G1152" s="1" t="s">
        <v>5040</v>
      </c>
      <c r="H1152" s="1" t="s">
        <v>16</v>
      </c>
      <c r="I1152" s="4" t="str">
        <f>"2"</f>
        <v>2</v>
      </c>
      <c r="J1152" s="2" t="str">
        <f>"400"</f>
        <v>400</v>
      </c>
      <c r="K1152" s="3">
        <v>46134</v>
      </c>
      <c r="L1152" s="3">
        <v>46141</v>
      </c>
      <c r="M1152" s="1" t="s">
        <v>9611</v>
      </c>
      <c r="N1152" s="1" t="s">
        <v>9610</v>
      </c>
    </row>
    <row r="1153" spans="1:14" s="1" customFormat="1" x14ac:dyDescent="0.35">
      <c r="A1153" s="1" t="s">
        <v>5171</v>
      </c>
      <c r="B1153" s="1" t="s">
        <v>2208</v>
      </c>
      <c r="C1153" s="1" t="s">
        <v>2248</v>
      </c>
      <c r="D1153" s="1" t="s">
        <v>9609</v>
      </c>
      <c r="E1153" s="1" t="str">
        <f>"2330"</f>
        <v>2330</v>
      </c>
      <c r="F1153" s="1" t="s">
        <v>70</v>
      </c>
      <c r="G1153" s="1" t="s">
        <v>71</v>
      </c>
      <c r="H1153" s="1" t="s">
        <v>16</v>
      </c>
      <c r="I1153" s="4" t="str">
        <f>"1"</f>
        <v>1</v>
      </c>
      <c r="J1153" s="2" t="str">
        <f>"6111"</f>
        <v>6111</v>
      </c>
      <c r="K1153" s="3">
        <v>46046</v>
      </c>
      <c r="L1153" s="3">
        <v>46141</v>
      </c>
      <c r="M1153" s="1" t="s">
        <v>9608</v>
      </c>
      <c r="N1153" s="1" t="s">
        <v>9607</v>
      </c>
    </row>
    <row r="1154" spans="1:14" s="1" customFormat="1" x14ac:dyDescent="0.35">
      <c r="A1154" s="1" t="s">
        <v>5216</v>
      </c>
      <c r="B1154" s="1" t="s">
        <v>2208</v>
      </c>
      <c r="C1154" s="1" t="s">
        <v>2257</v>
      </c>
      <c r="D1154" s="1" t="s">
        <v>9606</v>
      </c>
      <c r="E1154" s="1" t="str">
        <f>"2320"</f>
        <v>2320</v>
      </c>
      <c r="F1154" s="1" t="s">
        <v>9605</v>
      </c>
      <c r="G1154" s="1" t="s">
        <v>9604</v>
      </c>
      <c r="H1154" s="1" t="s">
        <v>16</v>
      </c>
      <c r="I1154" s="4" t="str">
        <f>"1"</f>
        <v>1</v>
      </c>
      <c r="J1154" s="2" t="str">
        <f>"94171"</f>
        <v>94171</v>
      </c>
      <c r="K1154" s="3">
        <v>46142</v>
      </c>
      <c r="L1154" s="3">
        <v>46143</v>
      </c>
      <c r="M1154" s="1" t="s">
        <v>9603</v>
      </c>
      <c r="N1154" s="1" t="s">
        <v>9602</v>
      </c>
    </row>
    <row r="1155" spans="1:14" s="1" customFormat="1" x14ac:dyDescent="0.35">
      <c r="A1155" s="1" t="s">
        <v>5171</v>
      </c>
      <c r="B1155" s="1" t="s">
        <v>2208</v>
      </c>
      <c r="C1155" s="1" t="s">
        <v>2209</v>
      </c>
      <c r="D1155" s="1" t="s">
        <v>9601</v>
      </c>
      <c r="E1155" s="1" t="str">
        <f>"1240"</f>
        <v>1240</v>
      </c>
      <c r="F1155" s="1" t="s">
        <v>1800</v>
      </c>
      <c r="G1155" s="1" t="s">
        <v>1801</v>
      </c>
      <c r="H1155" s="1" t="s">
        <v>16</v>
      </c>
      <c r="I1155" s="4" t="str">
        <f>"8"</f>
        <v>8</v>
      </c>
      <c r="J1155" s="2" t="str">
        <f>"2499"</f>
        <v>2499</v>
      </c>
      <c r="K1155" s="3">
        <v>46139</v>
      </c>
      <c r="L1155" s="3">
        <v>46143</v>
      </c>
      <c r="M1155" s="1" t="s">
        <v>5167</v>
      </c>
      <c r="N1155" s="1" t="s">
        <v>9600</v>
      </c>
    </row>
    <row r="1156" spans="1:14" s="1" customFormat="1" x14ac:dyDescent="0.35">
      <c r="A1156" s="1" t="s">
        <v>5171</v>
      </c>
      <c r="B1156" s="1" t="s">
        <v>2208</v>
      </c>
      <c r="C1156" s="1" t="s">
        <v>2214</v>
      </c>
      <c r="D1156" s="1" t="s">
        <v>9599</v>
      </c>
      <c r="E1156" s="1" t="str">
        <f>"3805"</f>
        <v>3805</v>
      </c>
      <c r="F1156" s="1" t="s">
        <v>384</v>
      </c>
      <c r="G1156" s="1" t="s">
        <v>385</v>
      </c>
      <c r="H1156" s="1" t="s">
        <v>16</v>
      </c>
      <c r="I1156" s="4" t="str">
        <f>"1"</f>
        <v>1</v>
      </c>
      <c r="J1156" s="2" t="str">
        <f>"52222"</f>
        <v>52222</v>
      </c>
      <c r="K1156" s="3">
        <v>46137</v>
      </c>
      <c r="L1156" s="3">
        <v>46143</v>
      </c>
      <c r="M1156" s="1" t="s">
        <v>9598</v>
      </c>
      <c r="N1156" s="1" t="s">
        <v>9597</v>
      </c>
    </row>
    <row r="1157" spans="1:14" s="1" customFormat="1" x14ac:dyDescent="0.35">
      <c r="A1157" s="1" t="s">
        <v>5171</v>
      </c>
      <c r="B1157" s="1" t="s">
        <v>2208</v>
      </c>
      <c r="C1157" s="1" t="s">
        <v>2214</v>
      </c>
      <c r="D1157" s="1" t="s">
        <v>9596</v>
      </c>
      <c r="E1157" s="1" t="str">
        <f>"2340"</f>
        <v>2340</v>
      </c>
      <c r="F1157" s="1" t="s">
        <v>84</v>
      </c>
      <c r="G1157" s="1" t="s">
        <v>85</v>
      </c>
      <c r="H1157" s="1" t="s">
        <v>16</v>
      </c>
      <c r="I1157" s="4" t="str">
        <f>"1"</f>
        <v>1</v>
      </c>
      <c r="J1157" s="2">
        <v>31905.14</v>
      </c>
      <c r="K1157" s="3">
        <v>46137</v>
      </c>
      <c r="L1157" s="3">
        <v>46143</v>
      </c>
      <c r="M1157" s="1" t="s">
        <v>9595</v>
      </c>
      <c r="N1157" s="1" t="s">
        <v>9594</v>
      </c>
    </row>
    <row r="1158" spans="1:14" s="1" customFormat="1" x14ac:dyDescent="0.35">
      <c r="A1158" s="1" t="s">
        <v>5171</v>
      </c>
      <c r="B1158" s="1" t="s">
        <v>2208</v>
      </c>
      <c r="C1158" s="1" t="s">
        <v>9317</v>
      </c>
      <c r="D1158" s="1" t="s">
        <v>9593</v>
      </c>
      <c r="E1158" s="1" t="str">
        <f>"2310"</f>
        <v>2310</v>
      </c>
      <c r="F1158" s="1" t="s">
        <v>178</v>
      </c>
      <c r="G1158" s="1" t="s">
        <v>179</v>
      </c>
      <c r="H1158" s="1" t="s">
        <v>16</v>
      </c>
      <c r="I1158" s="4" t="str">
        <f>"1"</f>
        <v>1</v>
      </c>
      <c r="J1158" s="2" t="str">
        <f>"12554"</f>
        <v>12554</v>
      </c>
      <c r="K1158" s="3">
        <v>46130</v>
      </c>
      <c r="L1158" s="3">
        <v>46144</v>
      </c>
      <c r="M1158" s="1" t="s">
        <v>9592</v>
      </c>
      <c r="N1158" s="1" t="s">
        <v>9591</v>
      </c>
    </row>
    <row r="1159" spans="1:14" s="1" customFormat="1" x14ac:dyDescent="0.35">
      <c r="A1159" s="1" t="s">
        <v>5171</v>
      </c>
      <c r="B1159" s="1" t="s">
        <v>2208</v>
      </c>
      <c r="C1159" s="1" t="s">
        <v>9317</v>
      </c>
      <c r="D1159" s="1" t="s">
        <v>9590</v>
      </c>
      <c r="E1159" s="1" t="str">
        <f>"2310"</f>
        <v>2310</v>
      </c>
      <c r="F1159" s="1" t="s">
        <v>178</v>
      </c>
      <c r="G1159" s="1" t="s">
        <v>179</v>
      </c>
      <c r="H1159" s="1" t="s">
        <v>16</v>
      </c>
      <c r="I1159" s="4" t="str">
        <f>"1"</f>
        <v>1</v>
      </c>
      <c r="J1159" s="2" t="str">
        <f>"12554"</f>
        <v>12554</v>
      </c>
      <c r="K1159" s="3">
        <v>46130</v>
      </c>
      <c r="L1159" s="3">
        <v>46144</v>
      </c>
      <c r="M1159" s="1" t="s">
        <v>9589</v>
      </c>
      <c r="N1159" s="1" t="s">
        <v>9588</v>
      </c>
    </row>
    <row r="1160" spans="1:14" s="1" customFormat="1" x14ac:dyDescent="0.35">
      <c r="A1160" s="1" t="s">
        <v>5171</v>
      </c>
      <c r="B1160" s="1" t="s">
        <v>2208</v>
      </c>
      <c r="C1160" s="1" t="s">
        <v>2214</v>
      </c>
      <c r="D1160" s="1" t="s">
        <v>9587</v>
      </c>
      <c r="E1160" s="1" t="str">
        <f>"2320"</f>
        <v>2320</v>
      </c>
      <c r="F1160" s="1" t="str">
        <f>"010919076"</f>
        <v>010919076</v>
      </c>
      <c r="G1160" s="1" t="s">
        <v>2303</v>
      </c>
      <c r="H1160" s="1" t="s">
        <v>16</v>
      </c>
      <c r="I1160" s="4" t="str">
        <f>"1"</f>
        <v>1</v>
      </c>
      <c r="J1160" s="2" t="str">
        <f>"18044"</f>
        <v>18044</v>
      </c>
      <c r="K1160" s="3">
        <v>46130</v>
      </c>
      <c r="L1160" s="3">
        <v>46144</v>
      </c>
      <c r="M1160" s="1" t="s">
        <v>9586</v>
      </c>
      <c r="N1160" s="1" t="s">
        <v>9583</v>
      </c>
    </row>
    <row r="1161" spans="1:14" s="1" customFormat="1" x14ac:dyDescent="0.35">
      <c r="A1161" s="1" t="s">
        <v>5171</v>
      </c>
      <c r="B1161" s="1" t="s">
        <v>2208</v>
      </c>
      <c r="C1161" s="1" t="s">
        <v>2214</v>
      </c>
      <c r="D1161" s="1" t="s">
        <v>9585</v>
      </c>
      <c r="E1161" s="1" t="str">
        <f>"2320"</f>
        <v>2320</v>
      </c>
      <c r="F1161" s="1" t="str">
        <f>"010919076"</f>
        <v>010919076</v>
      </c>
      <c r="G1161" s="1" t="s">
        <v>2303</v>
      </c>
      <c r="H1161" s="1" t="s">
        <v>16</v>
      </c>
      <c r="I1161" s="4" t="str">
        <f>"1"</f>
        <v>1</v>
      </c>
      <c r="J1161" s="2" t="str">
        <f>"18044"</f>
        <v>18044</v>
      </c>
      <c r="K1161" s="3">
        <v>46130</v>
      </c>
      <c r="L1161" s="3">
        <v>46144</v>
      </c>
      <c r="M1161" s="1" t="s">
        <v>9584</v>
      </c>
      <c r="N1161" s="1" t="s">
        <v>9583</v>
      </c>
    </row>
    <row r="1162" spans="1:14" s="1" customFormat="1" x14ac:dyDescent="0.35">
      <c r="A1162" s="1" t="s">
        <v>5171</v>
      </c>
      <c r="B1162" s="1" t="s">
        <v>2208</v>
      </c>
      <c r="C1162" s="1" t="s">
        <v>2214</v>
      </c>
      <c r="D1162" s="1" t="s">
        <v>9582</v>
      </c>
      <c r="E1162" s="1" t="str">
        <f>"2320"</f>
        <v>2320</v>
      </c>
      <c r="F1162" s="1" t="str">
        <f>"005802954"</f>
        <v>005802954</v>
      </c>
      <c r="G1162" s="1" t="s">
        <v>271</v>
      </c>
      <c r="H1162" s="1" t="s">
        <v>16</v>
      </c>
      <c r="I1162" s="4" t="str">
        <f>"1"</f>
        <v>1</v>
      </c>
      <c r="J1162" s="2">
        <v>47279.54</v>
      </c>
      <c r="K1162" s="3">
        <v>46130</v>
      </c>
      <c r="L1162" s="3">
        <v>46144</v>
      </c>
      <c r="M1162" s="1" t="s">
        <v>9581</v>
      </c>
      <c r="N1162" s="1" t="s">
        <v>9580</v>
      </c>
    </row>
    <row r="1163" spans="1:14" s="1" customFormat="1" x14ac:dyDescent="0.35">
      <c r="A1163" s="1" t="s">
        <v>5171</v>
      </c>
      <c r="B1163" s="1" t="s">
        <v>2208</v>
      </c>
      <c r="C1163" s="1" t="s">
        <v>2257</v>
      </c>
      <c r="D1163" s="1" t="s">
        <v>9579</v>
      </c>
      <c r="E1163" s="1" t="str">
        <f>"2310"</f>
        <v>2310</v>
      </c>
      <c r="F1163" s="1" t="s">
        <v>178</v>
      </c>
      <c r="G1163" s="1" t="s">
        <v>179</v>
      </c>
      <c r="H1163" s="1" t="s">
        <v>16</v>
      </c>
      <c r="I1163" s="4" t="str">
        <f>"1"</f>
        <v>1</v>
      </c>
      <c r="J1163" s="2" t="str">
        <f>"12554"</f>
        <v>12554</v>
      </c>
      <c r="K1163" s="3">
        <v>46132</v>
      </c>
      <c r="L1163" s="3">
        <v>46144</v>
      </c>
      <c r="M1163" s="1" t="s">
        <v>9578</v>
      </c>
      <c r="N1163" s="1" t="s">
        <v>9577</v>
      </c>
    </row>
    <row r="1164" spans="1:14" s="1" customFormat="1" x14ac:dyDescent="0.35">
      <c r="A1164" s="1" t="s">
        <v>5171</v>
      </c>
      <c r="B1164" s="1" t="s">
        <v>2208</v>
      </c>
      <c r="C1164" s="1" t="s">
        <v>2257</v>
      </c>
      <c r="D1164" s="1" t="s">
        <v>9576</v>
      </c>
      <c r="E1164" s="1" t="str">
        <f>"3805"</f>
        <v>3805</v>
      </c>
      <c r="F1164" s="1" t="s">
        <v>384</v>
      </c>
      <c r="G1164" s="1" t="s">
        <v>385</v>
      </c>
      <c r="H1164" s="1" t="s">
        <v>16</v>
      </c>
      <c r="I1164" s="4" t="str">
        <f>"1"</f>
        <v>1</v>
      </c>
      <c r="J1164" s="2">
        <v>259283.8</v>
      </c>
      <c r="K1164" s="3">
        <v>46132</v>
      </c>
      <c r="L1164" s="3">
        <v>46144</v>
      </c>
      <c r="M1164" s="1" t="s">
        <v>9575</v>
      </c>
      <c r="N1164" s="1" t="s">
        <v>9574</v>
      </c>
    </row>
    <row r="1165" spans="1:14" s="1" customFormat="1" x14ac:dyDescent="0.35">
      <c r="A1165" s="1" t="s">
        <v>5171</v>
      </c>
      <c r="B1165" s="1" t="s">
        <v>2208</v>
      </c>
      <c r="C1165" s="1" t="s">
        <v>2286</v>
      </c>
      <c r="D1165" s="1" t="s">
        <v>9573</v>
      </c>
      <c r="E1165" s="1" t="str">
        <f>"2320"</f>
        <v>2320</v>
      </c>
      <c r="F1165" s="1" t="s">
        <v>975</v>
      </c>
      <c r="G1165" s="1" t="s">
        <v>976</v>
      </c>
      <c r="H1165" s="1" t="s">
        <v>16</v>
      </c>
      <c r="I1165" s="4" t="str">
        <f>"1"</f>
        <v>1</v>
      </c>
      <c r="J1165" s="2" t="str">
        <f>"58000"</f>
        <v>58000</v>
      </c>
      <c r="K1165" s="3">
        <v>46134</v>
      </c>
      <c r="L1165" s="3">
        <v>46144</v>
      </c>
      <c r="M1165" s="1" t="s">
        <v>9572</v>
      </c>
      <c r="N1165" s="1" t="s">
        <v>9569</v>
      </c>
    </row>
    <row r="1166" spans="1:14" s="1" customFormat="1" x14ac:dyDescent="0.35">
      <c r="A1166" s="1" t="s">
        <v>5171</v>
      </c>
      <c r="B1166" s="1" t="s">
        <v>2208</v>
      </c>
      <c r="C1166" s="1" t="s">
        <v>2286</v>
      </c>
      <c r="D1166" s="1" t="s">
        <v>9571</v>
      </c>
      <c r="E1166" s="1" t="str">
        <f>"2320"</f>
        <v>2320</v>
      </c>
      <c r="F1166" s="1" t="s">
        <v>975</v>
      </c>
      <c r="G1166" s="1" t="s">
        <v>976</v>
      </c>
      <c r="H1166" s="1" t="s">
        <v>16</v>
      </c>
      <c r="I1166" s="4" t="str">
        <f>"1"</f>
        <v>1</v>
      </c>
      <c r="J1166" s="2" t="str">
        <f>"58000"</f>
        <v>58000</v>
      </c>
      <c r="K1166" s="3">
        <v>46134</v>
      </c>
      <c r="L1166" s="3">
        <v>46144</v>
      </c>
      <c r="M1166" s="1" t="s">
        <v>9570</v>
      </c>
      <c r="N1166" s="1" t="s">
        <v>9569</v>
      </c>
    </row>
    <row r="1167" spans="1:14" s="1" customFormat="1" x14ac:dyDescent="0.35">
      <c r="A1167" s="1" t="s">
        <v>5171</v>
      </c>
      <c r="B1167" s="1" t="s">
        <v>2208</v>
      </c>
      <c r="C1167" s="1" t="s">
        <v>2214</v>
      </c>
      <c r="D1167" s="1" t="s">
        <v>9568</v>
      </c>
      <c r="E1167" s="1" t="str">
        <f>"2310"</f>
        <v>2310</v>
      </c>
      <c r="F1167" s="1" t="s">
        <v>178</v>
      </c>
      <c r="G1167" s="1" t="s">
        <v>179</v>
      </c>
      <c r="H1167" s="1" t="s">
        <v>16</v>
      </c>
      <c r="I1167" s="4" t="str">
        <f>"1"</f>
        <v>1</v>
      </c>
      <c r="J1167" s="2" t="str">
        <f>"3000"</f>
        <v>3000</v>
      </c>
      <c r="K1167" s="3">
        <v>46111</v>
      </c>
      <c r="L1167" s="3">
        <v>46146</v>
      </c>
      <c r="M1167" s="1" t="s">
        <v>9567</v>
      </c>
      <c r="N1167" s="1" t="s">
        <v>9566</v>
      </c>
    </row>
    <row r="1168" spans="1:14" s="1" customFormat="1" x14ac:dyDescent="0.35">
      <c r="A1168" s="1" t="s">
        <v>5171</v>
      </c>
      <c r="B1168" s="1" t="s">
        <v>2208</v>
      </c>
      <c r="C1168" s="1" t="s">
        <v>2214</v>
      </c>
      <c r="D1168" s="1" t="s">
        <v>9565</v>
      </c>
      <c r="E1168" s="1" t="str">
        <f>"3830"</f>
        <v>3830</v>
      </c>
      <c r="F1168" s="1" t="s">
        <v>75</v>
      </c>
      <c r="G1168" s="1" t="s">
        <v>76</v>
      </c>
      <c r="H1168" s="1" t="s">
        <v>16</v>
      </c>
      <c r="I1168" s="4" t="str">
        <f>"2"</f>
        <v>2</v>
      </c>
      <c r="J1168" s="2" t="str">
        <f>"500"</f>
        <v>500</v>
      </c>
      <c r="K1168" s="3">
        <v>46122</v>
      </c>
      <c r="L1168" s="3">
        <v>46146</v>
      </c>
      <c r="M1168" s="1" t="s">
        <v>9564</v>
      </c>
      <c r="N1168" s="1" t="s">
        <v>9563</v>
      </c>
    </row>
    <row r="1169" spans="1:14" s="1" customFormat="1" x14ac:dyDescent="0.35">
      <c r="A1169" s="1" t="s">
        <v>5171</v>
      </c>
      <c r="B1169" s="1" t="s">
        <v>2208</v>
      </c>
      <c r="C1169" s="1" t="s">
        <v>2257</v>
      </c>
      <c r="D1169" s="1" t="s">
        <v>9562</v>
      </c>
      <c r="E1169" s="1" t="str">
        <f>"3820"</f>
        <v>3820</v>
      </c>
      <c r="F1169" s="1" t="str">
        <f>"014355177"</f>
        <v>014355177</v>
      </c>
      <c r="G1169" s="1" t="s">
        <v>9561</v>
      </c>
      <c r="H1169" s="1" t="s">
        <v>16</v>
      </c>
      <c r="I1169" s="4" t="str">
        <f>"1"</f>
        <v>1</v>
      </c>
      <c r="J1169" s="2" t="str">
        <f>"1543579"</f>
        <v>1543579</v>
      </c>
      <c r="K1169" s="3">
        <v>46118</v>
      </c>
      <c r="L1169" s="3">
        <v>46146</v>
      </c>
      <c r="M1169" s="1" t="s">
        <v>9560</v>
      </c>
      <c r="N1169" s="1" t="s">
        <v>9559</v>
      </c>
    </row>
    <row r="1170" spans="1:14" s="1" customFormat="1" x14ac:dyDescent="0.35">
      <c r="A1170" s="1" t="s">
        <v>5216</v>
      </c>
      <c r="B1170" s="1" t="s">
        <v>2208</v>
      </c>
      <c r="C1170" s="1" t="s">
        <v>2257</v>
      </c>
      <c r="D1170" s="1" t="s">
        <v>9558</v>
      </c>
      <c r="E1170" s="1" t="str">
        <f>"2320"</f>
        <v>2320</v>
      </c>
      <c r="F1170" s="1" t="str">
        <f>"000064066"</f>
        <v>000064066</v>
      </c>
      <c r="G1170" s="1" t="s">
        <v>2297</v>
      </c>
      <c r="H1170" s="1" t="s">
        <v>16</v>
      </c>
      <c r="I1170" s="4" t="str">
        <f>"1"</f>
        <v>1</v>
      </c>
      <c r="J1170" s="2" t="str">
        <f>"110751"</f>
        <v>110751</v>
      </c>
      <c r="K1170" s="3">
        <v>46142</v>
      </c>
      <c r="L1170" s="3">
        <v>46148</v>
      </c>
      <c r="M1170" s="1" t="s">
        <v>5224</v>
      </c>
      <c r="N1170" s="1" t="s">
        <v>9557</v>
      </c>
    </row>
    <row r="1171" spans="1:14" s="1" customFormat="1" x14ac:dyDescent="0.35">
      <c r="A1171" s="1" t="s">
        <v>5216</v>
      </c>
      <c r="B1171" s="1" t="s">
        <v>2208</v>
      </c>
      <c r="C1171" s="1" t="s">
        <v>2339</v>
      </c>
      <c r="D1171" s="1" t="s">
        <v>9556</v>
      </c>
      <c r="E1171" s="1" t="str">
        <f>"1385"</f>
        <v>1385</v>
      </c>
      <c r="F1171" s="1" t="str">
        <f>"016724286"</f>
        <v>016724286</v>
      </c>
      <c r="G1171" s="1" t="s">
        <v>196</v>
      </c>
      <c r="H1171" s="1" t="s">
        <v>16</v>
      </c>
      <c r="I1171" s="4" t="str">
        <f>"1"</f>
        <v>1</v>
      </c>
      <c r="J1171" s="2" t="str">
        <f>"83364"</f>
        <v>83364</v>
      </c>
      <c r="K1171" s="3">
        <v>46143</v>
      </c>
      <c r="L1171" s="3">
        <v>46148</v>
      </c>
      <c r="M1171" s="1" t="s">
        <v>5224</v>
      </c>
      <c r="N1171" s="1" t="s">
        <v>9555</v>
      </c>
    </row>
    <row r="1172" spans="1:14" s="1" customFormat="1" x14ac:dyDescent="0.35">
      <c r="A1172" s="1" t="s">
        <v>5171</v>
      </c>
      <c r="B1172" s="1" t="s">
        <v>2208</v>
      </c>
      <c r="C1172" s="1" t="s">
        <v>2257</v>
      </c>
      <c r="D1172" s="1" t="s">
        <v>9554</v>
      </c>
      <c r="E1172" s="1" t="str">
        <f>"8145"</f>
        <v>8145</v>
      </c>
      <c r="F1172" s="1" t="str">
        <f>"014654187"</f>
        <v>014654187</v>
      </c>
      <c r="G1172" s="1" t="s">
        <v>423</v>
      </c>
      <c r="H1172" s="1" t="s">
        <v>16</v>
      </c>
      <c r="I1172" s="4" t="str">
        <f>"1"</f>
        <v>1</v>
      </c>
      <c r="J1172" s="2">
        <v>17477.91</v>
      </c>
      <c r="K1172" s="3">
        <v>46142</v>
      </c>
      <c r="L1172" s="3">
        <v>46149</v>
      </c>
      <c r="M1172" s="1" t="s">
        <v>9553</v>
      </c>
      <c r="N1172" s="1" t="s">
        <v>2277</v>
      </c>
    </row>
    <row r="1173" spans="1:14" s="1" customFormat="1" x14ac:dyDescent="0.35">
      <c r="A1173" s="1" t="s">
        <v>5171</v>
      </c>
      <c r="B1173" s="1" t="s">
        <v>2208</v>
      </c>
      <c r="C1173" s="1" t="s">
        <v>2257</v>
      </c>
      <c r="D1173" s="1" t="s">
        <v>9552</v>
      </c>
      <c r="E1173" s="1" t="str">
        <f>"8145"</f>
        <v>8145</v>
      </c>
      <c r="F1173" s="1" t="str">
        <f>"014654187"</f>
        <v>014654187</v>
      </c>
      <c r="G1173" s="1" t="s">
        <v>423</v>
      </c>
      <c r="H1173" s="1" t="s">
        <v>16</v>
      </c>
      <c r="I1173" s="4" t="str">
        <f>"1"</f>
        <v>1</v>
      </c>
      <c r="J1173" s="2">
        <v>17477.91</v>
      </c>
      <c r="K1173" s="3">
        <v>46142</v>
      </c>
      <c r="L1173" s="3">
        <v>46149</v>
      </c>
      <c r="M1173" s="1" t="s">
        <v>9551</v>
      </c>
      <c r="N1173" s="1" t="s">
        <v>2277</v>
      </c>
    </row>
    <row r="1174" spans="1:14" s="1" customFormat="1" x14ac:dyDescent="0.35">
      <c r="A1174" s="1" t="s">
        <v>5171</v>
      </c>
      <c r="B1174" s="1" t="s">
        <v>2208</v>
      </c>
      <c r="C1174" s="1" t="s">
        <v>2257</v>
      </c>
      <c r="D1174" s="1" t="s">
        <v>9550</v>
      </c>
      <c r="E1174" s="1" t="str">
        <f>"8145"</f>
        <v>8145</v>
      </c>
      <c r="F1174" s="1" t="str">
        <f>"014654187"</f>
        <v>014654187</v>
      </c>
      <c r="G1174" s="1" t="s">
        <v>423</v>
      </c>
      <c r="H1174" s="1" t="s">
        <v>16</v>
      </c>
      <c r="I1174" s="4" t="str">
        <f>"1"</f>
        <v>1</v>
      </c>
      <c r="J1174" s="2">
        <v>17477.91</v>
      </c>
      <c r="K1174" s="3">
        <v>46142</v>
      </c>
      <c r="L1174" s="3">
        <v>46149</v>
      </c>
      <c r="M1174" s="1" t="s">
        <v>9549</v>
      </c>
      <c r="N1174" s="1" t="s">
        <v>2281</v>
      </c>
    </row>
    <row r="1175" spans="1:14" s="1" customFormat="1" x14ac:dyDescent="0.35">
      <c r="A1175" s="1" t="s">
        <v>5171</v>
      </c>
      <c r="B1175" s="1" t="s">
        <v>2208</v>
      </c>
      <c r="C1175" s="1" t="s">
        <v>2257</v>
      </c>
      <c r="D1175" s="1" t="s">
        <v>9548</v>
      </c>
      <c r="E1175" s="1" t="str">
        <f>"8145"</f>
        <v>8145</v>
      </c>
      <c r="F1175" s="1" t="str">
        <f>"014654187"</f>
        <v>014654187</v>
      </c>
      <c r="G1175" s="1" t="s">
        <v>423</v>
      </c>
      <c r="H1175" s="1" t="s">
        <v>16</v>
      </c>
      <c r="I1175" s="4" t="str">
        <f>"1"</f>
        <v>1</v>
      </c>
      <c r="J1175" s="2">
        <v>17477.91</v>
      </c>
      <c r="K1175" s="3">
        <v>46142</v>
      </c>
      <c r="L1175" s="3">
        <v>46149</v>
      </c>
      <c r="M1175" s="1" t="s">
        <v>9547</v>
      </c>
      <c r="N1175" s="1" t="s">
        <v>2281</v>
      </c>
    </row>
    <row r="1176" spans="1:14" s="1" customFormat="1" x14ac:dyDescent="0.35">
      <c r="A1176" s="1" t="s">
        <v>5171</v>
      </c>
      <c r="B1176" s="1" t="s">
        <v>2208</v>
      </c>
      <c r="C1176" s="1" t="s">
        <v>2257</v>
      </c>
      <c r="D1176" s="1" t="s">
        <v>9546</v>
      </c>
      <c r="E1176" s="1" t="str">
        <f>"8145"</f>
        <v>8145</v>
      </c>
      <c r="F1176" s="1" t="str">
        <f>"014654187"</f>
        <v>014654187</v>
      </c>
      <c r="G1176" s="1" t="s">
        <v>423</v>
      </c>
      <c r="H1176" s="1" t="s">
        <v>16</v>
      </c>
      <c r="I1176" s="4" t="str">
        <f>"1"</f>
        <v>1</v>
      </c>
      <c r="J1176" s="2">
        <v>17477.91</v>
      </c>
      <c r="K1176" s="3">
        <v>46142</v>
      </c>
      <c r="L1176" s="3">
        <v>46149</v>
      </c>
      <c r="M1176" s="1" t="s">
        <v>9545</v>
      </c>
      <c r="N1176" s="1" t="s">
        <v>2281</v>
      </c>
    </row>
    <row r="1177" spans="1:14" s="1" customFormat="1" x14ac:dyDescent="0.35">
      <c r="A1177" s="1" t="s">
        <v>5171</v>
      </c>
      <c r="B1177" s="1" t="s">
        <v>2208</v>
      </c>
      <c r="C1177" s="1" t="s">
        <v>2257</v>
      </c>
      <c r="D1177" s="1" t="s">
        <v>9544</v>
      </c>
      <c r="E1177" s="1" t="str">
        <f>"8145"</f>
        <v>8145</v>
      </c>
      <c r="F1177" s="1" t="str">
        <f>"014654187"</f>
        <v>014654187</v>
      </c>
      <c r="G1177" s="1" t="s">
        <v>423</v>
      </c>
      <c r="H1177" s="1" t="s">
        <v>16</v>
      </c>
      <c r="I1177" s="4" t="str">
        <f>"1"</f>
        <v>1</v>
      </c>
      <c r="J1177" s="2">
        <v>17477.91</v>
      </c>
      <c r="K1177" s="3">
        <v>46142</v>
      </c>
      <c r="L1177" s="3">
        <v>46149</v>
      </c>
      <c r="M1177" s="1" t="s">
        <v>9543</v>
      </c>
      <c r="N1177" s="1" t="s">
        <v>2281</v>
      </c>
    </row>
    <row r="1178" spans="1:14" s="1" customFormat="1" x14ac:dyDescent="0.35">
      <c r="A1178" s="1" t="s">
        <v>5171</v>
      </c>
      <c r="B1178" s="1" t="s">
        <v>2208</v>
      </c>
      <c r="C1178" s="1" t="s">
        <v>2257</v>
      </c>
      <c r="D1178" s="1" t="s">
        <v>9542</v>
      </c>
      <c r="E1178" s="1" t="str">
        <f>"8145"</f>
        <v>8145</v>
      </c>
      <c r="F1178" s="1" t="str">
        <f>"014654187"</f>
        <v>014654187</v>
      </c>
      <c r="G1178" s="1" t="s">
        <v>423</v>
      </c>
      <c r="H1178" s="1" t="s">
        <v>16</v>
      </c>
      <c r="I1178" s="4" t="str">
        <f>"1"</f>
        <v>1</v>
      </c>
      <c r="J1178" s="2">
        <v>17477.91</v>
      </c>
      <c r="K1178" s="3">
        <v>46142</v>
      </c>
      <c r="L1178" s="3">
        <v>46149</v>
      </c>
      <c r="M1178" s="1" t="s">
        <v>9541</v>
      </c>
      <c r="N1178" s="1" t="s">
        <v>2281</v>
      </c>
    </row>
    <row r="1179" spans="1:14" s="1" customFormat="1" x14ac:dyDescent="0.35">
      <c r="A1179" s="1" t="s">
        <v>5171</v>
      </c>
      <c r="B1179" s="1" t="s">
        <v>2208</v>
      </c>
      <c r="C1179" s="1" t="s">
        <v>2214</v>
      </c>
      <c r="D1179" s="1" t="s">
        <v>9540</v>
      </c>
      <c r="E1179" s="1" t="str">
        <f>"3805"</f>
        <v>3805</v>
      </c>
      <c r="F1179" s="1" t="str">
        <f>"014311165"</f>
        <v>014311165</v>
      </c>
      <c r="G1179" s="1" t="s">
        <v>2294</v>
      </c>
      <c r="H1179" s="1" t="s">
        <v>16</v>
      </c>
      <c r="I1179" s="4" t="str">
        <f>"1"</f>
        <v>1</v>
      </c>
      <c r="J1179" s="2" t="str">
        <f>"175923"</f>
        <v>175923</v>
      </c>
      <c r="K1179" s="3">
        <v>46132</v>
      </c>
      <c r="L1179" s="3">
        <v>46150</v>
      </c>
      <c r="M1179" s="1" t="s">
        <v>9539</v>
      </c>
      <c r="N1179" s="1" t="s">
        <v>9538</v>
      </c>
    </row>
    <row r="1180" spans="1:14" s="1" customFormat="1" x14ac:dyDescent="0.35">
      <c r="A1180" s="1" t="s">
        <v>5171</v>
      </c>
      <c r="B1180" s="1" t="s">
        <v>2208</v>
      </c>
      <c r="C1180" s="1" t="s">
        <v>2214</v>
      </c>
      <c r="D1180" s="1" t="s">
        <v>9537</v>
      </c>
      <c r="E1180" s="1" t="str">
        <f>"8150"</f>
        <v>8150</v>
      </c>
      <c r="F1180" s="1" t="str">
        <f>"014633177"</f>
        <v>014633177</v>
      </c>
      <c r="G1180" s="1" t="s">
        <v>117</v>
      </c>
      <c r="H1180" s="1" t="s">
        <v>16</v>
      </c>
      <c r="I1180" s="4" t="str">
        <f>"1"</f>
        <v>1</v>
      </c>
      <c r="J1180" s="2">
        <v>6361.62</v>
      </c>
      <c r="K1180" s="3">
        <v>46144</v>
      </c>
      <c r="L1180" s="3">
        <v>46150</v>
      </c>
      <c r="M1180" s="1" t="s">
        <v>9536</v>
      </c>
      <c r="N1180" s="1" t="s">
        <v>9535</v>
      </c>
    </row>
    <row r="1181" spans="1:14" s="1" customFormat="1" x14ac:dyDescent="0.35">
      <c r="A1181" s="1" t="s">
        <v>5171</v>
      </c>
      <c r="B1181" s="1" t="s">
        <v>2208</v>
      </c>
      <c r="C1181" s="1" t="s">
        <v>2214</v>
      </c>
      <c r="D1181" s="1" t="s">
        <v>9534</v>
      </c>
      <c r="E1181" s="1" t="str">
        <f>"3805"</f>
        <v>3805</v>
      </c>
      <c r="F1181" s="1" t="str">
        <f>"004381483"</f>
        <v>004381483</v>
      </c>
      <c r="G1181" s="1" t="s">
        <v>101</v>
      </c>
      <c r="H1181" s="1" t="s">
        <v>16</v>
      </c>
      <c r="I1181" s="4" t="str">
        <f>"1"</f>
        <v>1</v>
      </c>
      <c r="J1181" s="2" t="str">
        <f>"175000"</f>
        <v>175000</v>
      </c>
      <c r="K1181" s="3">
        <v>46137</v>
      </c>
      <c r="L1181" s="3">
        <v>46151</v>
      </c>
      <c r="M1181" s="1" t="s">
        <v>9533</v>
      </c>
      <c r="N1181" s="1" t="s">
        <v>9532</v>
      </c>
    </row>
    <row r="1182" spans="1:14" s="1" customFormat="1" x14ac:dyDescent="0.35">
      <c r="A1182" s="1" t="s">
        <v>5171</v>
      </c>
      <c r="B1182" s="1" t="s">
        <v>2208</v>
      </c>
      <c r="C1182" s="1" t="s">
        <v>2214</v>
      </c>
      <c r="D1182" s="1" t="s">
        <v>9531</v>
      </c>
      <c r="E1182" s="1" t="str">
        <f>"3805"</f>
        <v>3805</v>
      </c>
      <c r="F1182" s="1" t="s">
        <v>384</v>
      </c>
      <c r="G1182" s="1" t="s">
        <v>385</v>
      </c>
      <c r="H1182" s="1" t="s">
        <v>16</v>
      </c>
      <c r="I1182" s="4" t="str">
        <f>"1"</f>
        <v>1</v>
      </c>
      <c r="J1182" s="2" t="str">
        <f>"30000"</f>
        <v>30000</v>
      </c>
      <c r="K1182" s="3">
        <v>46144</v>
      </c>
      <c r="L1182" s="3">
        <v>46151</v>
      </c>
      <c r="M1182" s="1" t="s">
        <v>9530</v>
      </c>
      <c r="N1182" s="1" t="s">
        <v>9529</v>
      </c>
    </row>
    <row r="1183" spans="1:14" s="1" customFormat="1" x14ac:dyDescent="0.35">
      <c r="A1183" s="1" t="s">
        <v>5171</v>
      </c>
      <c r="B1183" s="1" t="s">
        <v>2208</v>
      </c>
      <c r="C1183" s="1" t="s">
        <v>2257</v>
      </c>
      <c r="D1183" s="1" t="s">
        <v>9528</v>
      </c>
      <c r="E1183" s="1" t="str">
        <f>"2320"</f>
        <v>2320</v>
      </c>
      <c r="F1183" s="1" t="str">
        <f>"012098823"</f>
        <v>012098823</v>
      </c>
      <c r="G1183" s="1" t="s">
        <v>2303</v>
      </c>
      <c r="H1183" s="1" t="s">
        <v>16</v>
      </c>
      <c r="I1183" s="4" t="str">
        <f>"1"</f>
        <v>1</v>
      </c>
      <c r="J1183" s="2" t="str">
        <f>"21802"</f>
        <v>21802</v>
      </c>
      <c r="K1183" s="3">
        <v>46142</v>
      </c>
      <c r="L1183" s="3">
        <v>46151</v>
      </c>
      <c r="M1183" s="1" t="s">
        <v>9527</v>
      </c>
      <c r="N1183" s="1" t="s">
        <v>9526</v>
      </c>
    </row>
    <row r="1184" spans="1:14" s="1" customFormat="1" x14ac:dyDescent="0.35">
      <c r="A1184" s="1" t="s">
        <v>5171</v>
      </c>
      <c r="B1184" s="1" t="s">
        <v>2208</v>
      </c>
      <c r="C1184" s="1" t="s">
        <v>2286</v>
      </c>
      <c r="D1184" s="1" t="s">
        <v>9525</v>
      </c>
      <c r="E1184" s="1" t="str">
        <f>"2320"</f>
        <v>2320</v>
      </c>
      <c r="F1184" s="1" t="s">
        <v>971</v>
      </c>
      <c r="G1184" s="1" t="s">
        <v>972</v>
      </c>
      <c r="H1184" s="1" t="s">
        <v>16</v>
      </c>
      <c r="I1184" s="4" t="str">
        <f>"1"</f>
        <v>1</v>
      </c>
      <c r="J1184" s="2" t="str">
        <f>"22000"</f>
        <v>22000</v>
      </c>
      <c r="K1184" s="3">
        <v>46137</v>
      </c>
      <c r="L1184" s="3">
        <v>46151</v>
      </c>
      <c r="M1184" s="1" t="s">
        <v>9524</v>
      </c>
      <c r="N1184" s="1" t="s">
        <v>9321</v>
      </c>
    </row>
    <row r="1185" spans="1:14" s="1" customFormat="1" x14ac:dyDescent="0.35">
      <c r="A1185" s="1" t="s">
        <v>5171</v>
      </c>
      <c r="B1185" s="1" t="s">
        <v>2208</v>
      </c>
      <c r="C1185" s="1" t="s">
        <v>9519</v>
      </c>
      <c r="D1185" s="1" t="s">
        <v>9523</v>
      </c>
      <c r="E1185" s="1" t="str">
        <f>"5855"</f>
        <v>5855</v>
      </c>
      <c r="F1185" s="1" t="str">
        <f>"015387994"</f>
        <v>015387994</v>
      </c>
      <c r="G1185" s="1" t="s">
        <v>9522</v>
      </c>
      <c r="H1185" s="1" t="s">
        <v>16</v>
      </c>
      <c r="I1185" s="4" t="str">
        <f>"2"</f>
        <v>2</v>
      </c>
      <c r="J1185" s="2">
        <v>18742.830000000002</v>
      </c>
      <c r="K1185" s="3">
        <v>46148</v>
      </c>
      <c r="L1185" s="3">
        <v>46152</v>
      </c>
      <c r="M1185" s="1" t="s">
        <v>5167</v>
      </c>
      <c r="N1185" s="1" t="s">
        <v>9521</v>
      </c>
    </row>
    <row r="1186" spans="1:14" s="1" customFormat="1" x14ac:dyDescent="0.35">
      <c r="A1186" s="1" t="s">
        <v>5230</v>
      </c>
      <c r="B1186" s="1" t="s">
        <v>2208</v>
      </c>
      <c r="C1186" s="1" t="s">
        <v>2257</v>
      </c>
      <c r="D1186" s="1" t="s">
        <v>9520</v>
      </c>
      <c r="E1186" s="1" t="str">
        <f>"2420"</f>
        <v>2420</v>
      </c>
      <c r="F1186" s="1" t="s">
        <v>501</v>
      </c>
      <c r="G1186" s="1" t="s">
        <v>502</v>
      </c>
      <c r="H1186" s="1" t="s">
        <v>16</v>
      </c>
      <c r="I1186" s="4" t="str">
        <f>"1"</f>
        <v>1</v>
      </c>
      <c r="J1186" s="2" t="str">
        <f>"119000"</f>
        <v>119000</v>
      </c>
      <c r="K1186" s="3">
        <v>46153</v>
      </c>
      <c r="L1186" s="3">
        <v>46153</v>
      </c>
      <c r="M1186" s="1" t="s">
        <v>5469</v>
      </c>
      <c r="N1186" s="1" t="s">
        <v>2261</v>
      </c>
    </row>
    <row r="1187" spans="1:14" s="1" customFormat="1" x14ac:dyDescent="0.35">
      <c r="A1187" s="1" t="s">
        <v>5216</v>
      </c>
      <c r="B1187" s="1" t="s">
        <v>2208</v>
      </c>
      <c r="C1187" s="1" t="s">
        <v>9519</v>
      </c>
      <c r="D1187" s="1" t="s">
        <v>9518</v>
      </c>
      <c r="E1187" s="1" t="str">
        <f>"5855"</f>
        <v>5855</v>
      </c>
      <c r="F1187" s="1" t="str">
        <f>"014572953"</f>
        <v>014572953</v>
      </c>
      <c r="G1187" s="1" t="s">
        <v>2121</v>
      </c>
      <c r="H1187" s="1" t="s">
        <v>16</v>
      </c>
      <c r="I1187" s="4" t="str">
        <f>"15"</f>
        <v>15</v>
      </c>
      <c r="J1187" s="2" t="str">
        <f>"192"</f>
        <v>192</v>
      </c>
      <c r="K1187" s="3">
        <v>46148</v>
      </c>
      <c r="L1187" s="3">
        <v>46153</v>
      </c>
      <c r="M1187" s="1" t="s">
        <v>5224</v>
      </c>
      <c r="N1187" s="1" t="s">
        <v>9517</v>
      </c>
    </row>
    <row r="1188" spans="1:14" s="1" customFormat="1" x14ac:dyDescent="0.35">
      <c r="A1188" s="1" t="s">
        <v>5216</v>
      </c>
      <c r="B1188" s="1" t="s">
        <v>2208</v>
      </c>
      <c r="C1188" s="1" t="s">
        <v>2286</v>
      </c>
      <c r="D1188" s="1" t="s">
        <v>9516</v>
      </c>
      <c r="E1188" s="1" t="str">
        <f>"8470"</f>
        <v>8470</v>
      </c>
      <c r="F1188" s="1" t="str">
        <f>"016953641"</f>
        <v>016953641</v>
      </c>
      <c r="G1188" s="1" t="s">
        <v>9513</v>
      </c>
      <c r="H1188" s="1" t="s">
        <v>16</v>
      </c>
      <c r="I1188" s="4" t="str">
        <f>"1"</f>
        <v>1</v>
      </c>
      <c r="J1188" s="2">
        <v>607.57000000000005</v>
      </c>
      <c r="K1188" s="3">
        <v>46146</v>
      </c>
      <c r="L1188" s="3">
        <v>46153</v>
      </c>
      <c r="M1188" s="1" t="s">
        <v>9512</v>
      </c>
      <c r="N1188" s="1" t="s">
        <v>9515</v>
      </c>
    </row>
    <row r="1189" spans="1:14" s="1" customFormat="1" x14ac:dyDescent="0.35">
      <c r="A1189" s="1" t="s">
        <v>5216</v>
      </c>
      <c r="B1189" s="1" t="s">
        <v>2208</v>
      </c>
      <c r="C1189" s="1" t="s">
        <v>2286</v>
      </c>
      <c r="D1189" s="1" t="s">
        <v>9514</v>
      </c>
      <c r="E1189" s="1" t="str">
        <f>"8470"</f>
        <v>8470</v>
      </c>
      <c r="F1189" s="1" t="str">
        <f>"016953641"</f>
        <v>016953641</v>
      </c>
      <c r="G1189" s="1" t="s">
        <v>9513</v>
      </c>
      <c r="H1189" s="1" t="s">
        <v>16</v>
      </c>
      <c r="I1189" s="4" t="str">
        <f>"1"</f>
        <v>1</v>
      </c>
      <c r="J1189" s="2">
        <v>607.57000000000005</v>
      </c>
      <c r="K1189" s="3">
        <v>46146</v>
      </c>
      <c r="L1189" s="3">
        <v>46153</v>
      </c>
      <c r="M1189" s="1" t="s">
        <v>9512</v>
      </c>
      <c r="N1189" s="1" t="s">
        <v>9511</v>
      </c>
    </row>
    <row r="1190" spans="1:14" s="1" customFormat="1" x14ac:dyDescent="0.35">
      <c r="A1190" s="1" t="s">
        <v>5171</v>
      </c>
      <c r="B1190" s="1" t="s">
        <v>2208</v>
      </c>
      <c r="C1190" s="1" t="s">
        <v>2286</v>
      </c>
      <c r="D1190" s="1" t="s">
        <v>9510</v>
      </c>
      <c r="E1190" s="1" t="str">
        <f>"2360"</f>
        <v>2360</v>
      </c>
      <c r="F1190" s="1" t="str">
        <f>"015900772"</f>
        <v>015900772</v>
      </c>
      <c r="G1190" s="1" t="s">
        <v>1695</v>
      </c>
      <c r="H1190" s="1" t="s">
        <v>16</v>
      </c>
      <c r="I1190" s="4" t="str">
        <f>"1"</f>
        <v>1</v>
      </c>
      <c r="J1190" s="2" t="str">
        <f>"232404"</f>
        <v>232404</v>
      </c>
      <c r="K1190" s="3">
        <v>46129</v>
      </c>
      <c r="L1190" s="3">
        <v>46153</v>
      </c>
      <c r="M1190" s="1" t="s">
        <v>9509</v>
      </c>
      <c r="N1190" s="1" t="s">
        <v>9508</v>
      </c>
    </row>
    <row r="1191" spans="1:14" s="1" customFormat="1" x14ac:dyDescent="0.35">
      <c r="A1191" s="1" t="s">
        <v>5171</v>
      </c>
      <c r="B1191" s="1" t="s">
        <v>2208</v>
      </c>
      <c r="C1191" s="1" t="s">
        <v>2214</v>
      </c>
      <c r="D1191" s="1" t="s">
        <v>9507</v>
      </c>
      <c r="E1191" s="1" t="str">
        <f>"2420"</f>
        <v>2420</v>
      </c>
      <c r="F1191" s="1" t="s">
        <v>501</v>
      </c>
      <c r="G1191" s="1" t="s">
        <v>502</v>
      </c>
      <c r="H1191" s="1" t="s">
        <v>16</v>
      </c>
      <c r="I1191" s="4" t="str">
        <f>"1"</f>
        <v>1</v>
      </c>
      <c r="J1191" s="2" t="str">
        <f>"50000"</f>
        <v>50000</v>
      </c>
      <c r="K1191" s="3">
        <v>46132</v>
      </c>
      <c r="L1191" s="3">
        <v>46154</v>
      </c>
      <c r="M1191" s="1" t="s">
        <v>9506</v>
      </c>
      <c r="N1191" s="1" t="s">
        <v>9505</v>
      </c>
    </row>
    <row r="1192" spans="1:14" s="1" customFormat="1" x14ac:dyDescent="0.35">
      <c r="A1192" s="1" t="s">
        <v>5171</v>
      </c>
      <c r="B1192" s="1" t="s">
        <v>2208</v>
      </c>
      <c r="C1192" s="1" t="s">
        <v>2245</v>
      </c>
      <c r="D1192" s="1" t="s">
        <v>9504</v>
      </c>
      <c r="E1192" s="1" t="str">
        <f>"6230"</f>
        <v>6230</v>
      </c>
      <c r="F1192" s="1" t="str">
        <f>"016245491"</f>
        <v>016245491</v>
      </c>
      <c r="G1192" s="1" t="s">
        <v>230</v>
      </c>
      <c r="H1192" s="1" t="s">
        <v>16</v>
      </c>
      <c r="I1192" s="4" t="str">
        <f>"25"</f>
        <v>25</v>
      </c>
      <c r="J1192" s="2" t="str">
        <f>"300"</f>
        <v>300</v>
      </c>
      <c r="K1192" s="3">
        <v>46154</v>
      </c>
      <c r="L1192" s="3">
        <v>46155</v>
      </c>
      <c r="M1192" s="1" t="s">
        <v>5167</v>
      </c>
      <c r="N1192" s="1" t="s">
        <v>9503</v>
      </c>
    </row>
    <row r="1193" spans="1:14" s="1" customFormat="1" x14ac:dyDescent="0.35">
      <c r="A1193" s="1" t="s">
        <v>5171</v>
      </c>
      <c r="B1193" s="1" t="s">
        <v>2208</v>
      </c>
      <c r="C1193" s="1" t="s">
        <v>2245</v>
      </c>
      <c r="D1193" s="1" t="s">
        <v>9502</v>
      </c>
      <c r="E1193" s="1" t="str">
        <f>"4240"</f>
        <v>4240</v>
      </c>
      <c r="F1193" s="1" t="str">
        <f>"015835742"</f>
        <v>015835742</v>
      </c>
      <c r="G1193" s="1" t="s">
        <v>561</v>
      </c>
      <c r="H1193" s="1" t="s">
        <v>16</v>
      </c>
      <c r="I1193" s="4" t="str">
        <f>"20"</f>
        <v>20</v>
      </c>
      <c r="J1193" s="2">
        <v>63.41</v>
      </c>
      <c r="K1193" s="3">
        <v>46147</v>
      </c>
      <c r="L1193" s="3">
        <v>46156</v>
      </c>
      <c r="M1193" s="1" t="s">
        <v>9501</v>
      </c>
      <c r="N1193" s="1" t="s">
        <v>9500</v>
      </c>
    </row>
    <row r="1194" spans="1:14" s="1" customFormat="1" x14ac:dyDescent="0.35">
      <c r="A1194" s="1" t="s">
        <v>5171</v>
      </c>
      <c r="B1194" s="1" t="s">
        <v>2208</v>
      </c>
      <c r="C1194" s="1" t="s">
        <v>2286</v>
      </c>
      <c r="D1194" s="1" t="s">
        <v>9499</v>
      </c>
      <c r="E1194" s="1" t="str">
        <f>"2340"</f>
        <v>2340</v>
      </c>
      <c r="F1194" s="1" t="s">
        <v>61</v>
      </c>
      <c r="G1194" s="1" t="s">
        <v>62</v>
      </c>
      <c r="H1194" s="1" t="s">
        <v>16</v>
      </c>
      <c r="I1194" s="4" t="str">
        <f>"1"</f>
        <v>1</v>
      </c>
      <c r="J1194" s="2" t="str">
        <f>"9500"</f>
        <v>9500</v>
      </c>
      <c r="K1194" s="3">
        <v>46152</v>
      </c>
      <c r="L1194" s="3">
        <v>46156</v>
      </c>
      <c r="M1194" s="1" t="s">
        <v>9498</v>
      </c>
      <c r="N1194" s="1" t="s">
        <v>9497</v>
      </c>
    </row>
    <row r="1195" spans="1:14" s="1" customFormat="1" x14ac:dyDescent="0.35">
      <c r="A1195" s="1" t="s">
        <v>5171</v>
      </c>
      <c r="B1195" s="1" t="s">
        <v>2208</v>
      </c>
      <c r="C1195" s="1" t="s">
        <v>2286</v>
      </c>
      <c r="D1195" s="1" t="s">
        <v>9496</v>
      </c>
      <c r="E1195" s="1" t="str">
        <f>"6920"</f>
        <v>6920</v>
      </c>
      <c r="F1195" s="1" t="str">
        <f>"015649656"</f>
        <v>015649656</v>
      </c>
      <c r="G1195" s="1" t="s">
        <v>7567</v>
      </c>
      <c r="H1195" s="1" t="s">
        <v>16</v>
      </c>
      <c r="I1195" s="4" t="str">
        <f>"6"</f>
        <v>6</v>
      </c>
      <c r="J1195" s="2">
        <v>377.12</v>
      </c>
      <c r="K1195" s="3">
        <v>46155</v>
      </c>
      <c r="L1195" s="3">
        <v>46157</v>
      </c>
      <c r="M1195" s="1" t="s">
        <v>9495</v>
      </c>
      <c r="N1195" s="1" t="s">
        <v>9494</v>
      </c>
    </row>
    <row r="1196" spans="1:14" s="1" customFormat="1" x14ac:dyDescent="0.35">
      <c r="A1196" s="1" t="s">
        <v>5171</v>
      </c>
      <c r="B1196" s="1" t="s">
        <v>2208</v>
      </c>
      <c r="C1196" s="1" t="s">
        <v>9317</v>
      </c>
      <c r="D1196" s="1" t="s">
        <v>9493</v>
      </c>
      <c r="E1196" s="1" t="str">
        <f>"2310"</f>
        <v>2310</v>
      </c>
      <c r="F1196" s="1" t="s">
        <v>178</v>
      </c>
      <c r="G1196" s="1" t="s">
        <v>179</v>
      </c>
      <c r="H1196" s="1" t="s">
        <v>16</v>
      </c>
      <c r="I1196" s="4" t="str">
        <f>"1"</f>
        <v>1</v>
      </c>
      <c r="J1196" s="2" t="str">
        <f>"3000"</f>
        <v>3000</v>
      </c>
      <c r="K1196" s="3">
        <v>46147</v>
      </c>
      <c r="L1196" s="3">
        <v>46158</v>
      </c>
      <c r="M1196" s="1" t="s">
        <v>9492</v>
      </c>
      <c r="N1196" s="1" t="s">
        <v>9491</v>
      </c>
    </row>
    <row r="1197" spans="1:14" s="1" customFormat="1" x14ac:dyDescent="0.35">
      <c r="A1197" s="1" t="s">
        <v>5171</v>
      </c>
      <c r="B1197" s="1" t="s">
        <v>2208</v>
      </c>
      <c r="C1197" s="1" t="s">
        <v>2214</v>
      </c>
      <c r="D1197" s="1" t="s">
        <v>9490</v>
      </c>
      <c r="E1197" s="1" t="str">
        <f>"3805"</f>
        <v>3805</v>
      </c>
      <c r="F1197" s="1" t="str">
        <f>"012422560"</f>
        <v>012422560</v>
      </c>
      <c r="G1197" s="1" t="s">
        <v>132</v>
      </c>
      <c r="H1197" s="1" t="s">
        <v>16</v>
      </c>
      <c r="I1197" s="4" t="str">
        <f>"1"</f>
        <v>1</v>
      </c>
      <c r="J1197" s="2" t="str">
        <f>"192420"</f>
        <v>192420</v>
      </c>
      <c r="K1197" s="3">
        <v>46144</v>
      </c>
      <c r="L1197" s="3">
        <v>46158</v>
      </c>
      <c r="M1197" s="1" t="s">
        <v>9489</v>
      </c>
      <c r="N1197" s="1" t="s">
        <v>9488</v>
      </c>
    </row>
    <row r="1198" spans="1:14" s="1" customFormat="1" x14ac:dyDescent="0.35">
      <c r="A1198" s="1" t="s">
        <v>5171</v>
      </c>
      <c r="B1198" s="1" t="s">
        <v>2208</v>
      </c>
      <c r="C1198" s="1" t="s">
        <v>9421</v>
      </c>
      <c r="D1198" s="1" t="s">
        <v>9487</v>
      </c>
      <c r="E1198" s="1" t="str">
        <f>"5855"</f>
        <v>5855</v>
      </c>
      <c r="F1198" s="1" t="str">
        <f>"015315726"</f>
        <v>015315726</v>
      </c>
      <c r="G1198" s="1" t="s">
        <v>175</v>
      </c>
      <c r="H1198" s="1" t="s">
        <v>16</v>
      </c>
      <c r="I1198" s="4" t="str">
        <f>"6"</f>
        <v>6</v>
      </c>
      <c r="J1198" s="2" t="str">
        <f>"10089"</f>
        <v>10089</v>
      </c>
      <c r="K1198" s="3">
        <v>46153</v>
      </c>
      <c r="L1198" s="3">
        <v>46158</v>
      </c>
      <c r="M1198" s="1" t="s">
        <v>9486</v>
      </c>
      <c r="N1198" s="1" t="s">
        <v>9485</v>
      </c>
    </row>
    <row r="1199" spans="1:14" s="1" customFormat="1" x14ac:dyDescent="0.35">
      <c r="A1199" s="1" t="s">
        <v>5171</v>
      </c>
      <c r="B1199" s="1" t="s">
        <v>2208</v>
      </c>
      <c r="C1199" s="1" t="s">
        <v>2286</v>
      </c>
      <c r="D1199" s="1" t="s">
        <v>9484</v>
      </c>
      <c r="E1199" s="1" t="str">
        <f>"2330"</f>
        <v>2330</v>
      </c>
      <c r="F1199" s="1" t="s">
        <v>70</v>
      </c>
      <c r="G1199" s="1" t="s">
        <v>71</v>
      </c>
      <c r="H1199" s="1" t="s">
        <v>16</v>
      </c>
      <c r="I1199" s="4" t="str">
        <f>"1"</f>
        <v>1</v>
      </c>
      <c r="J1199" s="2" t="str">
        <f>"10000"</f>
        <v>10000</v>
      </c>
      <c r="K1199" s="3">
        <v>46144</v>
      </c>
      <c r="L1199" s="3">
        <v>46158</v>
      </c>
      <c r="M1199" s="1" t="s">
        <v>9483</v>
      </c>
      <c r="N1199" s="1" t="s">
        <v>9480</v>
      </c>
    </row>
    <row r="1200" spans="1:14" s="1" customFormat="1" x14ac:dyDescent="0.35">
      <c r="A1200" s="1" t="s">
        <v>5171</v>
      </c>
      <c r="B1200" s="1" t="s">
        <v>2208</v>
      </c>
      <c r="C1200" s="1" t="s">
        <v>2286</v>
      </c>
      <c r="D1200" s="1" t="s">
        <v>9482</v>
      </c>
      <c r="E1200" s="1" t="str">
        <f>"2330"</f>
        <v>2330</v>
      </c>
      <c r="F1200" s="1" t="s">
        <v>70</v>
      </c>
      <c r="G1200" s="1" t="s">
        <v>71</v>
      </c>
      <c r="H1200" s="1" t="s">
        <v>16</v>
      </c>
      <c r="I1200" s="4" t="str">
        <f>"1"</f>
        <v>1</v>
      </c>
      <c r="J1200" s="2" t="str">
        <f>"9295"</f>
        <v>9295</v>
      </c>
      <c r="K1200" s="3">
        <v>46144</v>
      </c>
      <c r="L1200" s="3">
        <v>46158</v>
      </c>
      <c r="M1200" s="1" t="s">
        <v>9481</v>
      </c>
      <c r="N1200" s="1" t="s">
        <v>9480</v>
      </c>
    </row>
    <row r="1201" spans="1:14" s="1" customFormat="1" x14ac:dyDescent="0.35">
      <c r="A1201" s="1" t="s">
        <v>5171</v>
      </c>
      <c r="B1201" s="1" t="s">
        <v>2208</v>
      </c>
      <c r="C1201" s="1" t="s">
        <v>2286</v>
      </c>
      <c r="D1201" s="1" t="s">
        <v>9479</v>
      </c>
      <c r="E1201" s="1" t="str">
        <f>"2330"</f>
        <v>2330</v>
      </c>
      <c r="F1201" s="1" t="s">
        <v>70</v>
      </c>
      <c r="G1201" s="1" t="s">
        <v>71</v>
      </c>
      <c r="H1201" s="1" t="s">
        <v>16</v>
      </c>
      <c r="I1201" s="4" t="str">
        <f>"1"</f>
        <v>1</v>
      </c>
      <c r="J1201" s="2" t="str">
        <f>"6111"</f>
        <v>6111</v>
      </c>
      <c r="K1201" s="3">
        <v>46144</v>
      </c>
      <c r="L1201" s="3">
        <v>46158</v>
      </c>
      <c r="M1201" s="1" t="s">
        <v>9478</v>
      </c>
      <c r="N1201" s="1" t="s">
        <v>9477</v>
      </c>
    </row>
    <row r="1202" spans="1:14" s="1" customFormat="1" x14ac:dyDescent="0.35">
      <c r="A1202" s="1" t="s">
        <v>5171</v>
      </c>
      <c r="B1202" s="1" t="s">
        <v>2208</v>
      </c>
      <c r="C1202" s="1" t="s">
        <v>2286</v>
      </c>
      <c r="D1202" s="1" t="s">
        <v>9476</v>
      </c>
      <c r="E1202" s="1" t="str">
        <f>"2320"</f>
        <v>2320</v>
      </c>
      <c r="F1202" s="1" t="str">
        <f>"010919076"</f>
        <v>010919076</v>
      </c>
      <c r="G1202" s="1" t="s">
        <v>2303</v>
      </c>
      <c r="H1202" s="1" t="s">
        <v>16</v>
      </c>
      <c r="I1202" s="4" t="str">
        <f>"1"</f>
        <v>1</v>
      </c>
      <c r="J1202" s="2" t="str">
        <f>"18044"</f>
        <v>18044</v>
      </c>
      <c r="K1202" s="3">
        <v>46158</v>
      </c>
      <c r="L1202" s="3">
        <v>46161</v>
      </c>
      <c r="M1202" s="1" t="s">
        <v>5167</v>
      </c>
      <c r="N1202" s="1" t="s">
        <v>9475</v>
      </c>
    </row>
    <row r="1203" spans="1:14" s="1" customFormat="1" x14ac:dyDescent="0.35">
      <c r="A1203" s="1" t="s">
        <v>5171</v>
      </c>
      <c r="B1203" s="1" t="s">
        <v>2208</v>
      </c>
      <c r="C1203" s="1" t="s">
        <v>2286</v>
      </c>
      <c r="D1203" s="1" t="s">
        <v>9474</v>
      </c>
      <c r="E1203" s="1" t="str">
        <f>"3805"</f>
        <v>3805</v>
      </c>
      <c r="F1203" s="1" t="str">
        <f>"015524487"</f>
        <v>015524487</v>
      </c>
      <c r="G1203" s="1" t="s">
        <v>6632</v>
      </c>
      <c r="H1203" s="1" t="s">
        <v>16</v>
      </c>
      <c r="I1203" s="4" t="str">
        <f>"1"</f>
        <v>1</v>
      </c>
      <c r="J1203" s="2" t="str">
        <f>"42630"</f>
        <v>42630</v>
      </c>
      <c r="K1203" s="3">
        <v>46159</v>
      </c>
      <c r="L1203" s="3">
        <v>46161</v>
      </c>
      <c r="M1203" s="1" t="s">
        <v>5167</v>
      </c>
      <c r="N1203" s="1" t="s">
        <v>9399</v>
      </c>
    </row>
    <row r="1204" spans="1:14" s="1" customFormat="1" x14ac:dyDescent="0.35">
      <c r="A1204" s="1" t="s">
        <v>5171</v>
      </c>
      <c r="B1204" s="1" t="s">
        <v>2208</v>
      </c>
      <c r="C1204" s="1" t="s">
        <v>2286</v>
      </c>
      <c r="D1204" s="1" t="s">
        <v>9473</v>
      </c>
      <c r="E1204" s="1" t="str">
        <f>"3805"</f>
        <v>3805</v>
      </c>
      <c r="F1204" s="1" t="str">
        <f>"015524487"</f>
        <v>015524487</v>
      </c>
      <c r="G1204" s="1" t="s">
        <v>6632</v>
      </c>
      <c r="H1204" s="1" t="s">
        <v>16</v>
      </c>
      <c r="I1204" s="4" t="str">
        <f>"1"</f>
        <v>1</v>
      </c>
      <c r="J1204" s="2" t="str">
        <f>"42630"</f>
        <v>42630</v>
      </c>
      <c r="K1204" s="3">
        <v>46159</v>
      </c>
      <c r="L1204" s="3">
        <v>46161</v>
      </c>
      <c r="M1204" s="1" t="s">
        <v>5167</v>
      </c>
      <c r="N1204" s="1" t="s">
        <v>9399</v>
      </c>
    </row>
    <row r="1205" spans="1:14" s="1" customFormat="1" x14ac:dyDescent="0.35">
      <c r="A1205" s="1" t="s">
        <v>5216</v>
      </c>
      <c r="B1205" s="1" t="s">
        <v>2208</v>
      </c>
      <c r="C1205" s="1" t="s">
        <v>2286</v>
      </c>
      <c r="D1205" s="1" t="s">
        <v>9472</v>
      </c>
      <c r="E1205" s="1" t="str">
        <f>"3805"</f>
        <v>3805</v>
      </c>
      <c r="F1205" s="1" t="str">
        <f>"010632012"</f>
        <v>010632012</v>
      </c>
      <c r="G1205" s="1" t="s">
        <v>2327</v>
      </c>
      <c r="H1205" s="1" t="s">
        <v>16</v>
      </c>
      <c r="I1205" s="4" t="str">
        <f>"1"</f>
        <v>1</v>
      </c>
      <c r="J1205" s="2" t="str">
        <f>"157800"</f>
        <v>157800</v>
      </c>
      <c r="K1205" s="3">
        <v>46159</v>
      </c>
      <c r="L1205" s="3">
        <v>46162</v>
      </c>
      <c r="M1205" s="1" t="s">
        <v>9471</v>
      </c>
      <c r="N1205" s="1" t="s">
        <v>9470</v>
      </c>
    </row>
    <row r="1206" spans="1:14" s="1" customFormat="1" x14ac:dyDescent="0.35">
      <c r="A1206" s="1" t="s">
        <v>5216</v>
      </c>
      <c r="B1206" s="1" t="s">
        <v>2208</v>
      </c>
      <c r="C1206" s="1" t="s">
        <v>2286</v>
      </c>
      <c r="D1206" s="1" t="s">
        <v>9469</v>
      </c>
      <c r="E1206" s="1" t="str">
        <f>"1385"</f>
        <v>1385</v>
      </c>
      <c r="F1206" s="1" t="str">
        <f>"015785490"</f>
        <v>015785490</v>
      </c>
      <c r="G1206" s="1" t="s">
        <v>1687</v>
      </c>
      <c r="H1206" s="1" t="s">
        <v>16</v>
      </c>
      <c r="I1206" s="4" t="str">
        <f>"1"</f>
        <v>1</v>
      </c>
      <c r="J1206" s="2" t="str">
        <f>"213686"</f>
        <v>213686</v>
      </c>
      <c r="K1206" s="3">
        <v>46155</v>
      </c>
      <c r="L1206" s="3">
        <v>46162</v>
      </c>
      <c r="M1206" s="1" t="s">
        <v>9468</v>
      </c>
      <c r="N1206" s="1" t="s">
        <v>9467</v>
      </c>
    </row>
    <row r="1207" spans="1:14" s="1" customFormat="1" x14ac:dyDescent="0.35">
      <c r="A1207" s="1" t="s">
        <v>5171</v>
      </c>
      <c r="B1207" s="1" t="s">
        <v>2208</v>
      </c>
      <c r="C1207" s="1" t="s">
        <v>9421</v>
      </c>
      <c r="D1207" s="1" t="s">
        <v>9466</v>
      </c>
      <c r="E1207" s="1" t="str">
        <f>"5965"</f>
        <v>5965</v>
      </c>
      <c r="F1207" s="1" t="str">
        <f>"015727829"</f>
        <v>015727829</v>
      </c>
      <c r="G1207" s="1" t="s">
        <v>1561</v>
      </c>
      <c r="H1207" s="1" t="s">
        <v>215</v>
      </c>
      <c r="I1207" s="4" t="str">
        <f>"10"</f>
        <v>10</v>
      </c>
      <c r="J1207" s="2">
        <v>1325.47</v>
      </c>
      <c r="K1207" s="3">
        <v>46160</v>
      </c>
      <c r="L1207" s="3">
        <v>46162</v>
      </c>
      <c r="M1207" s="1" t="s">
        <v>5167</v>
      </c>
      <c r="N1207" s="1" t="s">
        <v>9465</v>
      </c>
    </row>
    <row r="1208" spans="1:14" s="1" customFormat="1" x14ac:dyDescent="0.35">
      <c r="A1208" s="1" t="s">
        <v>5171</v>
      </c>
      <c r="B1208" s="1" t="s">
        <v>2208</v>
      </c>
      <c r="C1208" s="1" t="s">
        <v>2286</v>
      </c>
      <c r="D1208" s="1" t="s">
        <v>9464</v>
      </c>
      <c r="E1208" s="1" t="str">
        <f>"2330"</f>
        <v>2330</v>
      </c>
      <c r="F1208" s="1" t="s">
        <v>70</v>
      </c>
      <c r="G1208" s="1" t="s">
        <v>71</v>
      </c>
      <c r="H1208" s="1" t="s">
        <v>16</v>
      </c>
      <c r="I1208" s="4" t="str">
        <f>"1"</f>
        <v>1</v>
      </c>
      <c r="J1208" s="2" t="str">
        <f>"79455"</f>
        <v>79455</v>
      </c>
      <c r="K1208" s="3">
        <v>46159</v>
      </c>
      <c r="L1208" s="3">
        <v>46162</v>
      </c>
      <c r="M1208" s="1" t="s">
        <v>5167</v>
      </c>
      <c r="N1208" s="1" t="s">
        <v>9394</v>
      </c>
    </row>
    <row r="1209" spans="1:14" s="1" customFormat="1" x14ac:dyDescent="0.35">
      <c r="A1209" s="1" t="s">
        <v>5171</v>
      </c>
      <c r="B1209" s="1" t="s">
        <v>2208</v>
      </c>
      <c r="C1209" s="1" t="s">
        <v>2257</v>
      </c>
      <c r="D1209" s="1" t="s">
        <v>9463</v>
      </c>
      <c r="E1209" s="1" t="str">
        <f>"2340"</f>
        <v>2340</v>
      </c>
      <c r="F1209" s="1" t="s">
        <v>84</v>
      </c>
      <c r="G1209" s="1" t="s">
        <v>85</v>
      </c>
      <c r="H1209" s="1" t="s">
        <v>16</v>
      </c>
      <c r="I1209" s="4" t="str">
        <f>"1"</f>
        <v>1</v>
      </c>
      <c r="J1209" s="2" t="str">
        <f>"6494"</f>
        <v>6494</v>
      </c>
      <c r="K1209" s="3">
        <v>46153</v>
      </c>
      <c r="L1209" s="3">
        <v>46164</v>
      </c>
      <c r="M1209" s="1" t="s">
        <v>9462</v>
      </c>
      <c r="N1209" s="1" t="s">
        <v>9459</v>
      </c>
    </row>
    <row r="1210" spans="1:14" s="1" customFormat="1" x14ac:dyDescent="0.35">
      <c r="A1210" s="1" t="s">
        <v>5171</v>
      </c>
      <c r="B1210" s="1" t="s">
        <v>2208</v>
      </c>
      <c r="C1210" s="1" t="s">
        <v>2257</v>
      </c>
      <c r="D1210" s="1" t="s">
        <v>9461</v>
      </c>
      <c r="E1210" s="1" t="str">
        <f>"2340"</f>
        <v>2340</v>
      </c>
      <c r="F1210" s="1" t="s">
        <v>84</v>
      </c>
      <c r="G1210" s="1" t="s">
        <v>85</v>
      </c>
      <c r="H1210" s="1" t="s">
        <v>16</v>
      </c>
      <c r="I1210" s="4" t="str">
        <f>"1"</f>
        <v>1</v>
      </c>
      <c r="J1210" s="2" t="str">
        <f>"6494"</f>
        <v>6494</v>
      </c>
      <c r="K1210" s="3">
        <v>46153</v>
      </c>
      <c r="L1210" s="3">
        <v>46164</v>
      </c>
      <c r="M1210" s="1" t="s">
        <v>9460</v>
      </c>
      <c r="N1210" s="1" t="s">
        <v>9459</v>
      </c>
    </row>
    <row r="1211" spans="1:14" s="1" customFormat="1" x14ac:dyDescent="0.35">
      <c r="A1211" s="1" t="s">
        <v>5171</v>
      </c>
      <c r="B1211" s="1" t="s">
        <v>2208</v>
      </c>
      <c r="C1211" s="1" t="s">
        <v>2339</v>
      </c>
      <c r="D1211" s="1" t="s">
        <v>9458</v>
      </c>
      <c r="E1211" s="1" t="str">
        <f>"2360"</f>
        <v>2360</v>
      </c>
      <c r="F1211" s="1" t="str">
        <f>"015768653"</f>
        <v>015768653</v>
      </c>
      <c r="G1211" s="1" t="s">
        <v>2021</v>
      </c>
      <c r="H1211" s="1" t="s">
        <v>16</v>
      </c>
      <c r="I1211" s="4" t="str">
        <f>"1"</f>
        <v>1</v>
      </c>
      <c r="J1211" s="2">
        <v>12704.58</v>
      </c>
      <c r="K1211" s="3">
        <v>46163</v>
      </c>
      <c r="L1211" s="3">
        <v>46164</v>
      </c>
      <c r="M1211" s="1" t="s">
        <v>5167</v>
      </c>
      <c r="N1211" s="1" t="s">
        <v>9456</v>
      </c>
    </row>
    <row r="1212" spans="1:14" s="1" customFormat="1" x14ac:dyDescent="0.35">
      <c r="A1212" s="1" t="s">
        <v>5171</v>
      </c>
      <c r="B1212" s="1" t="s">
        <v>2208</v>
      </c>
      <c r="C1212" s="1" t="s">
        <v>2339</v>
      </c>
      <c r="D1212" s="1" t="s">
        <v>9457</v>
      </c>
      <c r="E1212" s="1" t="str">
        <f>"2360"</f>
        <v>2360</v>
      </c>
      <c r="F1212" s="1" t="str">
        <f>"015768653"</f>
        <v>015768653</v>
      </c>
      <c r="G1212" s="1" t="s">
        <v>2021</v>
      </c>
      <c r="H1212" s="1" t="s">
        <v>16</v>
      </c>
      <c r="I1212" s="4" t="str">
        <f>"1"</f>
        <v>1</v>
      </c>
      <c r="J1212" s="2">
        <v>12704.58</v>
      </c>
      <c r="K1212" s="3">
        <v>46163</v>
      </c>
      <c r="L1212" s="3">
        <v>46164</v>
      </c>
      <c r="M1212" s="1" t="s">
        <v>5167</v>
      </c>
      <c r="N1212" s="1" t="s">
        <v>9456</v>
      </c>
    </row>
    <row r="1213" spans="1:14" s="1" customFormat="1" x14ac:dyDescent="0.35">
      <c r="A1213" s="1" t="s">
        <v>5171</v>
      </c>
      <c r="B1213" s="1" t="s">
        <v>2208</v>
      </c>
      <c r="C1213" s="1" t="s">
        <v>2257</v>
      </c>
      <c r="D1213" s="1" t="s">
        <v>9455</v>
      </c>
      <c r="E1213" s="1" t="str">
        <f>"2320"</f>
        <v>2320</v>
      </c>
      <c r="F1213" s="1" t="str">
        <f>"013701438"</f>
        <v>013701438</v>
      </c>
      <c r="G1213" s="1" t="s">
        <v>2294</v>
      </c>
      <c r="H1213" s="1" t="s">
        <v>16</v>
      </c>
      <c r="I1213" s="4" t="str">
        <f>"1"</f>
        <v>1</v>
      </c>
      <c r="J1213" s="2" t="str">
        <f>"36382"</f>
        <v>36382</v>
      </c>
      <c r="K1213" s="3">
        <v>46153</v>
      </c>
      <c r="L1213" s="3">
        <v>46165</v>
      </c>
      <c r="M1213" s="1" t="s">
        <v>9454</v>
      </c>
      <c r="N1213" s="1" t="s">
        <v>9453</v>
      </c>
    </row>
    <row r="1214" spans="1:14" s="1" customFormat="1" x14ac:dyDescent="0.35">
      <c r="A1214" s="1" t="s">
        <v>5171</v>
      </c>
      <c r="B1214" s="1" t="s">
        <v>2208</v>
      </c>
      <c r="C1214" s="1" t="s">
        <v>2209</v>
      </c>
      <c r="D1214" s="1" t="s">
        <v>9452</v>
      </c>
      <c r="E1214" s="1" t="str">
        <f>"1240"</f>
        <v>1240</v>
      </c>
      <c r="F1214" s="1" t="str">
        <f>"016104844"</f>
        <v>016104844</v>
      </c>
      <c r="G1214" s="1" t="s">
        <v>9451</v>
      </c>
      <c r="H1214" s="1" t="s">
        <v>16</v>
      </c>
      <c r="I1214" s="4" t="str">
        <f>"1"</f>
        <v>1</v>
      </c>
      <c r="J1214" s="2" t="str">
        <f>"2521"</f>
        <v>2521</v>
      </c>
      <c r="K1214" s="3">
        <v>46165</v>
      </c>
      <c r="L1214" s="3">
        <v>46166</v>
      </c>
      <c r="M1214" s="1" t="s">
        <v>5167</v>
      </c>
      <c r="N1214" s="1" t="s">
        <v>9425</v>
      </c>
    </row>
    <row r="1215" spans="1:14" s="1" customFormat="1" x14ac:dyDescent="0.35">
      <c r="A1215" s="1" t="s">
        <v>5171</v>
      </c>
      <c r="B1215" s="1" t="s">
        <v>2208</v>
      </c>
      <c r="C1215" s="1" t="s">
        <v>2209</v>
      </c>
      <c r="D1215" s="1" t="s">
        <v>9450</v>
      </c>
      <c r="E1215" s="1" t="str">
        <f>"5855"</f>
        <v>5855</v>
      </c>
      <c r="F1215" s="1" t="str">
        <f>"015481555"</f>
        <v>015481555</v>
      </c>
      <c r="G1215" s="1" t="s">
        <v>175</v>
      </c>
      <c r="H1215" s="1" t="s">
        <v>16</v>
      </c>
      <c r="I1215" s="4" t="str">
        <f>"1"</f>
        <v>1</v>
      </c>
      <c r="J1215" s="2">
        <v>9366.36</v>
      </c>
      <c r="K1215" s="3">
        <v>46165</v>
      </c>
      <c r="L1215" s="3">
        <v>46166</v>
      </c>
      <c r="M1215" s="1" t="s">
        <v>5167</v>
      </c>
      <c r="N1215" s="1" t="s">
        <v>9425</v>
      </c>
    </row>
    <row r="1216" spans="1:14" s="1" customFormat="1" x14ac:dyDescent="0.35">
      <c r="A1216" s="1" t="s">
        <v>5171</v>
      </c>
      <c r="B1216" s="1" t="s">
        <v>2208</v>
      </c>
      <c r="C1216" s="1" t="s">
        <v>2209</v>
      </c>
      <c r="D1216" s="1" t="s">
        <v>9449</v>
      </c>
      <c r="E1216" s="1" t="str">
        <f>"5855"</f>
        <v>5855</v>
      </c>
      <c r="F1216" s="1" t="str">
        <f>"015481555"</f>
        <v>015481555</v>
      </c>
      <c r="G1216" s="1" t="s">
        <v>175</v>
      </c>
      <c r="H1216" s="1" t="s">
        <v>16</v>
      </c>
      <c r="I1216" s="4" t="str">
        <f>"1"</f>
        <v>1</v>
      </c>
      <c r="J1216" s="2">
        <v>9366.36</v>
      </c>
      <c r="K1216" s="3">
        <v>46165</v>
      </c>
      <c r="L1216" s="3">
        <v>46166</v>
      </c>
      <c r="M1216" s="1" t="s">
        <v>5167</v>
      </c>
      <c r="N1216" s="1" t="s">
        <v>9425</v>
      </c>
    </row>
    <row r="1217" spans="1:14" s="1" customFormat="1" x14ac:dyDescent="0.35">
      <c r="A1217" s="1" t="s">
        <v>5171</v>
      </c>
      <c r="B1217" s="1" t="s">
        <v>2208</v>
      </c>
      <c r="C1217" s="1" t="s">
        <v>2209</v>
      </c>
      <c r="D1217" s="1" t="s">
        <v>9448</v>
      </c>
      <c r="E1217" s="1" t="str">
        <f>"5855"</f>
        <v>5855</v>
      </c>
      <c r="F1217" s="1" t="str">
        <f>"015481555"</f>
        <v>015481555</v>
      </c>
      <c r="G1217" s="1" t="s">
        <v>175</v>
      </c>
      <c r="H1217" s="1" t="s">
        <v>16</v>
      </c>
      <c r="I1217" s="4" t="str">
        <f>"1"</f>
        <v>1</v>
      </c>
      <c r="J1217" s="2">
        <v>9366.36</v>
      </c>
      <c r="K1217" s="3">
        <v>46165</v>
      </c>
      <c r="L1217" s="3">
        <v>46166</v>
      </c>
      <c r="M1217" s="1" t="s">
        <v>5167</v>
      </c>
      <c r="N1217" s="1" t="s">
        <v>9425</v>
      </c>
    </row>
    <row r="1218" spans="1:14" s="1" customFormat="1" x14ac:dyDescent="0.35">
      <c r="A1218" s="1" t="s">
        <v>5216</v>
      </c>
      <c r="B1218" s="1" t="s">
        <v>2208</v>
      </c>
      <c r="C1218" s="1" t="s">
        <v>2286</v>
      </c>
      <c r="D1218" s="1" t="s">
        <v>9447</v>
      </c>
      <c r="E1218" s="1" t="str">
        <f>"3805"</f>
        <v>3805</v>
      </c>
      <c r="F1218" s="1" t="str">
        <f>"012422560"</f>
        <v>012422560</v>
      </c>
      <c r="G1218" s="1" t="s">
        <v>132</v>
      </c>
      <c r="H1218" s="1" t="s">
        <v>16</v>
      </c>
      <c r="I1218" s="4" t="str">
        <f>"1"</f>
        <v>1</v>
      </c>
      <c r="J1218" s="2" t="str">
        <f>"192420"</f>
        <v>192420</v>
      </c>
      <c r="K1218" s="3">
        <v>46165</v>
      </c>
      <c r="L1218" s="3">
        <v>46169</v>
      </c>
      <c r="M1218" s="1" t="s">
        <v>9436</v>
      </c>
      <c r="N1218" s="1" t="s">
        <v>9446</v>
      </c>
    </row>
    <row r="1219" spans="1:14" s="1" customFormat="1" x14ac:dyDescent="0.35">
      <c r="A1219" s="1" t="s">
        <v>5216</v>
      </c>
      <c r="B1219" s="1" t="s">
        <v>2208</v>
      </c>
      <c r="C1219" s="1" t="s">
        <v>2286</v>
      </c>
      <c r="D1219" s="1" t="s">
        <v>9445</v>
      </c>
      <c r="E1219" s="1" t="str">
        <f>"2310"</f>
        <v>2310</v>
      </c>
      <c r="F1219" s="1" t="s">
        <v>178</v>
      </c>
      <c r="G1219" s="1" t="s">
        <v>179</v>
      </c>
      <c r="H1219" s="1" t="s">
        <v>16</v>
      </c>
      <c r="I1219" s="4" t="str">
        <f>"1"</f>
        <v>1</v>
      </c>
      <c r="J1219" s="2" t="str">
        <f>"12554"</f>
        <v>12554</v>
      </c>
      <c r="K1219" s="3">
        <v>46166</v>
      </c>
      <c r="L1219" s="3">
        <v>46169</v>
      </c>
      <c r="M1219" s="1" t="s">
        <v>9436</v>
      </c>
      <c r="N1219" s="1" t="s">
        <v>9444</v>
      </c>
    </row>
    <row r="1220" spans="1:14" s="1" customFormat="1" x14ac:dyDescent="0.35">
      <c r="A1220" s="1" t="s">
        <v>5216</v>
      </c>
      <c r="B1220" s="1" t="s">
        <v>2208</v>
      </c>
      <c r="C1220" s="1" t="s">
        <v>2286</v>
      </c>
      <c r="D1220" s="1" t="s">
        <v>9443</v>
      </c>
      <c r="E1220" s="1" t="str">
        <f>"2310"</f>
        <v>2310</v>
      </c>
      <c r="F1220" s="1" t="s">
        <v>178</v>
      </c>
      <c r="G1220" s="1" t="s">
        <v>179</v>
      </c>
      <c r="H1220" s="1" t="s">
        <v>16</v>
      </c>
      <c r="I1220" s="4" t="str">
        <f>"1"</f>
        <v>1</v>
      </c>
      <c r="J1220" s="2" t="str">
        <f>"24000"</f>
        <v>24000</v>
      </c>
      <c r="K1220" s="3">
        <v>46166</v>
      </c>
      <c r="L1220" s="3">
        <v>46169</v>
      </c>
      <c r="M1220" s="1" t="s">
        <v>9436</v>
      </c>
      <c r="N1220" s="1" t="s">
        <v>9442</v>
      </c>
    </row>
    <row r="1221" spans="1:14" s="1" customFormat="1" x14ac:dyDescent="0.35">
      <c r="A1221" s="1" t="s">
        <v>5216</v>
      </c>
      <c r="B1221" s="1" t="s">
        <v>2208</v>
      </c>
      <c r="C1221" s="1" t="s">
        <v>2286</v>
      </c>
      <c r="D1221" s="1" t="s">
        <v>9441</v>
      </c>
      <c r="E1221" s="1" t="str">
        <f>"6930"</f>
        <v>6930</v>
      </c>
      <c r="F1221" s="1" t="str">
        <f>"015412908"</f>
        <v>015412908</v>
      </c>
      <c r="G1221" s="1" t="s">
        <v>9440</v>
      </c>
      <c r="H1221" s="1" t="s">
        <v>16</v>
      </c>
      <c r="I1221" s="4" t="str">
        <f>"1"</f>
        <v>1</v>
      </c>
      <c r="J1221" s="2" t="str">
        <f>"455299"</f>
        <v>455299</v>
      </c>
      <c r="K1221" s="3">
        <v>46166</v>
      </c>
      <c r="L1221" s="3">
        <v>46169</v>
      </c>
      <c r="M1221" s="1" t="s">
        <v>9436</v>
      </c>
      <c r="N1221" s="1" t="s">
        <v>9439</v>
      </c>
    </row>
    <row r="1222" spans="1:14" s="1" customFormat="1" x14ac:dyDescent="0.35">
      <c r="A1222" s="1" t="s">
        <v>5216</v>
      </c>
      <c r="B1222" s="1" t="s">
        <v>2208</v>
      </c>
      <c r="C1222" s="1" t="s">
        <v>2286</v>
      </c>
      <c r="D1222" s="1" t="s">
        <v>9438</v>
      </c>
      <c r="E1222" s="1" t="str">
        <f>"2420"</f>
        <v>2420</v>
      </c>
      <c r="F1222" s="1" t="str">
        <f>"001776868"</f>
        <v>001776868</v>
      </c>
      <c r="G1222" s="1" t="s">
        <v>98</v>
      </c>
      <c r="H1222" s="1" t="s">
        <v>16</v>
      </c>
      <c r="I1222" s="4" t="str">
        <f>"1"</f>
        <v>1</v>
      </c>
      <c r="J1222" s="2" t="str">
        <f>"67700"</f>
        <v>67700</v>
      </c>
      <c r="K1222" s="3">
        <v>46168</v>
      </c>
      <c r="L1222" s="3">
        <v>46169</v>
      </c>
      <c r="M1222" s="1" t="s">
        <v>9436</v>
      </c>
      <c r="N1222" s="1" t="s">
        <v>9427</v>
      </c>
    </row>
    <row r="1223" spans="1:14" s="1" customFormat="1" x14ac:dyDescent="0.35">
      <c r="A1223" s="1" t="s">
        <v>5216</v>
      </c>
      <c r="B1223" s="1" t="s">
        <v>2208</v>
      </c>
      <c r="C1223" s="1" t="s">
        <v>2286</v>
      </c>
      <c r="D1223" s="1" t="s">
        <v>9437</v>
      </c>
      <c r="E1223" s="1" t="str">
        <f>"2420"</f>
        <v>2420</v>
      </c>
      <c r="F1223" s="1" t="str">
        <f>"001776868"</f>
        <v>001776868</v>
      </c>
      <c r="G1223" s="1" t="s">
        <v>98</v>
      </c>
      <c r="H1223" s="1" t="s">
        <v>16</v>
      </c>
      <c r="I1223" s="4" t="str">
        <f>"1"</f>
        <v>1</v>
      </c>
      <c r="J1223" s="2" t="str">
        <f>"67700"</f>
        <v>67700</v>
      </c>
      <c r="K1223" s="3">
        <v>46168</v>
      </c>
      <c r="L1223" s="3">
        <v>46169</v>
      </c>
      <c r="M1223" s="1" t="s">
        <v>9436</v>
      </c>
      <c r="N1223" s="1" t="s">
        <v>9427</v>
      </c>
    </row>
    <row r="1224" spans="1:14" s="1" customFormat="1" x14ac:dyDescent="0.35">
      <c r="A1224" s="1" t="s">
        <v>5171</v>
      </c>
      <c r="B1224" s="1" t="s">
        <v>2208</v>
      </c>
      <c r="C1224" s="1" t="s">
        <v>2214</v>
      </c>
      <c r="D1224" s="1" t="s">
        <v>9435</v>
      </c>
      <c r="E1224" s="1" t="str">
        <f>"5440"</f>
        <v>5440</v>
      </c>
      <c r="F1224" s="1" t="s">
        <v>142</v>
      </c>
      <c r="G1224" s="1" t="s">
        <v>143</v>
      </c>
      <c r="H1224" s="1" t="s">
        <v>16</v>
      </c>
      <c r="I1224" s="4" t="str">
        <f>"4"</f>
        <v>4</v>
      </c>
      <c r="J1224" s="2">
        <v>313.99</v>
      </c>
      <c r="K1224" s="3">
        <v>46132</v>
      </c>
      <c r="L1224" s="3">
        <v>46170</v>
      </c>
      <c r="M1224" s="1" t="s">
        <v>9434</v>
      </c>
      <c r="N1224" s="1" t="s">
        <v>9366</v>
      </c>
    </row>
    <row r="1225" spans="1:14" s="1" customFormat="1" x14ac:dyDescent="0.35">
      <c r="A1225" s="1" t="s">
        <v>5171</v>
      </c>
      <c r="B1225" s="1" t="s">
        <v>2208</v>
      </c>
      <c r="C1225" s="1" t="s">
        <v>2286</v>
      </c>
      <c r="D1225" s="1" t="s">
        <v>9433</v>
      </c>
      <c r="E1225" s="1" t="str">
        <f>"2330"</f>
        <v>2330</v>
      </c>
      <c r="F1225" s="1" t="s">
        <v>70</v>
      </c>
      <c r="G1225" s="1" t="s">
        <v>71</v>
      </c>
      <c r="H1225" s="1" t="s">
        <v>16</v>
      </c>
      <c r="I1225" s="4" t="str">
        <f>"1"</f>
        <v>1</v>
      </c>
      <c r="J1225" s="2" t="str">
        <f>"79455"</f>
        <v>79455</v>
      </c>
      <c r="K1225" s="3">
        <v>46159</v>
      </c>
      <c r="L1225" s="3">
        <v>46170</v>
      </c>
      <c r="M1225" s="1" t="s">
        <v>9432</v>
      </c>
      <c r="N1225" s="1" t="s">
        <v>9394</v>
      </c>
    </row>
    <row r="1226" spans="1:14" s="1" customFormat="1" x14ac:dyDescent="0.35">
      <c r="A1226" s="1" t="s">
        <v>5171</v>
      </c>
      <c r="B1226" s="1" t="s">
        <v>2208</v>
      </c>
      <c r="C1226" s="1" t="s">
        <v>2286</v>
      </c>
      <c r="D1226" s="1" t="s">
        <v>9431</v>
      </c>
      <c r="E1226" s="1" t="str">
        <f>"2420"</f>
        <v>2420</v>
      </c>
      <c r="F1226" s="1" t="str">
        <f>"001776868"</f>
        <v>001776868</v>
      </c>
      <c r="G1226" s="1" t="s">
        <v>98</v>
      </c>
      <c r="H1226" s="1" t="s">
        <v>16</v>
      </c>
      <c r="I1226" s="4" t="str">
        <f>"1"</f>
        <v>1</v>
      </c>
      <c r="J1226" s="2" t="str">
        <f>"67700"</f>
        <v>67700</v>
      </c>
      <c r="K1226" s="3">
        <v>46168</v>
      </c>
      <c r="L1226" s="3">
        <v>46170</v>
      </c>
      <c r="M1226" s="1" t="s">
        <v>9430</v>
      </c>
      <c r="N1226" s="1" t="s">
        <v>9427</v>
      </c>
    </row>
    <row r="1227" spans="1:14" s="1" customFormat="1" x14ac:dyDescent="0.35">
      <c r="A1227" s="1" t="s">
        <v>5171</v>
      </c>
      <c r="B1227" s="1" t="s">
        <v>2208</v>
      </c>
      <c r="C1227" s="1" t="s">
        <v>2286</v>
      </c>
      <c r="D1227" s="1" t="s">
        <v>9429</v>
      </c>
      <c r="E1227" s="1" t="str">
        <f>"2420"</f>
        <v>2420</v>
      </c>
      <c r="F1227" s="1" t="str">
        <f>"001776868"</f>
        <v>001776868</v>
      </c>
      <c r="G1227" s="1" t="s">
        <v>98</v>
      </c>
      <c r="H1227" s="1" t="s">
        <v>16</v>
      </c>
      <c r="I1227" s="4" t="str">
        <f>"1"</f>
        <v>1</v>
      </c>
      <c r="J1227" s="2" t="str">
        <f>"67700"</f>
        <v>67700</v>
      </c>
      <c r="K1227" s="3">
        <v>46168</v>
      </c>
      <c r="L1227" s="3">
        <v>46170</v>
      </c>
      <c r="M1227" s="1" t="s">
        <v>9428</v>
      </c>
      <c r="N1227" s="1" t="s">
        <v>9427</v>
      </c>
    </row>
    <row r="1228" spans="1:14" s="1" customFormat="1" x14ac:dyDescent="0.35">
      <c r="A1228" s="1" t="s">
        <v>5171</v>
      </c>
      <c r="B1228" s="1" t="s">
        <v>2208</v>
      </c>
      <c r="C1228" s="1" t="s">
        <v>2209</v>
      </c>
      <c r="D1228" s="1" t="s">
        <v>9426</v>
      </c>
      <c r="E1228" s="1" t="str">
        <f>"5855"</f>
        <v>5855</v>
      </c>
      <c r="F1228" s="1" t="str">
        <f>"015481555"</f>
        <v>015481555</v>
      </c>
      <c r="G1228" s="1" t="s">
        <v>175</v>
      </c>
      <c r="H1228" s="1" t="s">
        <v>16</v>
      </c>
      <c r="I1228" s="4" t="str">
        <f>"1"</f>
        <v>1</v>
      </c>
      <c r="J1228" s="2">
        <v>9366.36</v>
      </c>
      <c r="K1228" s="3">
        <v>46165</v>
      </c>
      <c r="L1228" s="3">
        <v>46171</v>
      </c>
      <c r="M1228" s="1" t="s">
        <v>5167</v>
      </c>
      <c r="N1228" s="1" t="s">
        <v>9425</v>
      </c>
    </row>
    <row r="1229" spans="1:14" s="1" customFormat="1" x14ac:dyDescent="0.35">
      <c r="A1229" s="1" t="s">
        <v>5171</v>
      </c>
      <c r="B1229" s="1" t="s">
        <v>2208</v>
      </c>
      <c r="C1229" s="1" t="s">
        <v>2214</v>
      </c>
      <c r="D1229" s="1" t="s">
        <v>9424</v>
      </c>
      <c r="E1229" s="1" t="str">
        <f>"8465"</f>
        <v>8465</v>
      </c>
      <c r="F1229" s="1" t="str">
        <f>"016105633"</f>
        <v>016105633</v>
      </c>
      <c r="G1229" s="1" t="s">
        <v>2198</v>
      </c>
      <c r="H1229" s="1" t="s">
        <v>16</v>
      </c>
      <c r="I1229" s="4" t="str">
        <f>"4"</f>
        <v>4</v>
      </c>
      <c r="J1229" s="2">
        <v>350.73</v>
      </c>
      <c r="K1229" s="3">
        <v>46158</v>
      </c>
      <c r="L1229" s="3">
        <v>46171</v>
      </c>
      <c r="M1229" s="1" t="s">
        <v>9423</v>
      </c>
      <c r="N1229" s="1" t="s">
        <v>9422</v>
      </c>
    </row>
    <row r="1230" spans="1:14" s="1" customFormat="1" x14ac:dyDescent="0.35">
      <c r="A1230" s="1" t="s">
        <v>5171</v>
      </c>
      <c r="B1230" s="1" t="s">
        <v>2208</v>
      </c>
      <c r="C1230" s="1" t="s">
        <v>9421</v>
      </c>
      <c r="D1230" s="1" t="s">
        <v>9420</v>
      </c>
      <c r="E1230" s="1" t="str">
        <f>"5855"</f>
        <v>5855</v>
      </c>
      <c r="F1230" s="1" t="str">
        <f>"015481555"</f>
        <v>015481555</v>
      </c>
      <c r="G1230" s="1" t="s">
        <v>175</v>
      </c>
      <c r="H1230" s="1" t="s">
        <v>16</v>
      </c>
      <c r="I1230" s="4" t="str">
        <f>"1"</f>
        <v>1</v>
      </c>
      <c r="J1230" s="2">
        <v>9366.36</v>
      </c>
      <c r="K1230" s="3">
        <v>46168</v>
      </c>
      <c r="L1230" s="3">
        <v>46171</v>
      </c>
      <c r="M1230" s="1" t="s">
        <v>9419</v>
      </c>
      <c r="N1230" s="1" t="s">
        <v>9418</v>
      </c>
    </row>
    <row r="1231" spans="1:14" s="1" customFormat="1" x14ac:dyDescent="0.35">
      <c r="A1231" s="1" t="s">
        <v>5171</v>
      </c>
      <c r="B1231" s="1" t="s">
        <v>2208</v>
      </c>
      <c r="C1231" s="1" t="s">
        <v>2286</v>
      </c>
      <c r="D1231" s="1" t="s">
        <v>9417</v>
      </c>
      <c r="E1231" s="1" t="str">
        <f>"2340"</f>
        <v>2340</v>
      </c>
      <c r="F1231" s="1" t="s">
        <v>2548</v>
      </c>
      <c r="G1231" s="1" t="s">
        <v>2549</v>
      </c>
      <c r="H1231" s="1" t="s">
        <v>16</v>
      </c>
      <c r="I1231" s="4" t="str">
        <f>"1"</f>
        <v>1</v>
      </c>
      <c r="J1231" s="2" t="str">
        <f>"5000"</f>
        <v>5000</v>
      </c>
      <c r="K1231" s="3">
        <v>46159</v>
      </c>
      <c r="L1231" s="3">
        <v>46171</v>
      </c>
      <c r="M1231" s="1" t="s">
        <v>9416</v>
      </c>
      <c r="N1231" s="1" t="s">
        <v>9415</v>
      </c>
    </row>
    <row r="1232" spans="1:14" s="1" customFormat="1" x14ac:dyDescent="0.35">
      <c r="A1232" s="1" t="s">
        <v>5171</v>
      </c>
      <c r="B1232" s="1" t="s">
        <v>2208</v>
      </c>
      <c r="C1232" s="1" t="s">
        <v>2248</v>
      </c>
      <c r="D1232" s="1" t="s">
        <v>9414</v>
      </c>
      <c r="E1232" s="1" t="str">
        <f>"7025"</f>
        <v>7025</v>
      </c>
      <c r="F1232" s="1" t="s">
        <v>9411</v>
      </c>
      <c r="G1232" s="1" t="s">
        <v>9410</v>
      </c>
      <c r="H1232" s="1" t="s">
        <v>16</v>
      </c>
      <c r="I1232" s="4" t="str">
        <f>"100"</f>
        <v>100</v>
      </c>
      <c r="J1232" s="2" t="str">
        <f>"80"</f>
        <v>80</v>
      </c>
      <c r="K1232" s="3">
        <v>46171</v>
      </c>
      <c r="L1232" s="3">
        <v>46172</v>
      </c>
      <c r="M1232" s="1" t="s">
        <v>5167</v>
      </c>
      <c r="N1232" s="1" t="s">
        <v>9413</v>
      </c>
    </row>
    <row r="1233" spans="1:14" s="1" customFormat="1" x14ac:dyDescent="0.35">
      <c r="A1233" s="1" t="s">
        <v>5171</v>
      </c>
      <c r="B1233" s="1" t="s">
        <v>2208</v>
      </c>
      <c r="C1233" s="1" t="s">
        <v>2248</v>
      </c>
      <c r="D1233" s="1" t="s">
        <v>9412</v>
      </c>
      <c r="E1233" s="1" t="str">
        <f>"7025"</f>
        <v>7025</v>
      </c>
      <c r="F1233" s="1" t="s">
        <v>9411</v>
      </c>
      <c r="G1233" s="1" t="s">
        <v>9410</v>
      </c>
      <c r="H1233" s="1" t="s">
        <v>16</v>
      </c>
      <c r="I1233" s="4" t="str">
        <f>"50"</f>
        <v>50</v>
      </c>
      <c r="J1233" s="2" t="str">
        <f>"100"</f>
        <v>100</v>
      </c>
      <c r="K1233" s="3">
        <v>46171</v>
      </c>
      <c r="L1233" s="3">
        <v>46172</v>
      </c>
      <c r="M1233" s="1" t="s">
        <v>5167</v>
      </c>
      <c r="N1233" s="1" t="s">
        <v>9409</v>
      </c>
    </row>
    <row r="1234" spans="1:14" s="1" customFormat="1" x14ac:dyDescent="0.35">
      <c r="A1234" s="1" t="s">
        <v>5171</v>
      </c>
      <c r="B1234" s="1" t="s">
        <v>2208</v>
      </c>
      <c r="C1234" s="1" t="s">
        <v>2257</v>
      </c>
      <c r="D1234" s="1" t="s">
        <v>9408</v>
      </c>
      <c r="E1234" s="1" t="str">
        <f>"2320"</f>
        <v>2320</v>
      </c>
      <c r="F1234" s="1" t="str">
        <f>"005424150"</f>
        <v>005424150</v>
      </c>
      <c r="G1234" s="1" t="s">
        <v>2303</v>
      </c>
      <c r="H1234" s="1" t="s">
        <v>16</v>
      </c>
      <c r="I1234" s="4" t="str">
        <f>"1"</f>
        <v>1</v>
      </c>
      <c r="J1234" s="2" t="str">
        <f>"6587"</f>
        <v>6587</v>
      </c>
      <c r="K1234" s="3">
        <v>46167</v>
      </c>
      <c r="L1234" s="3">
        <v>46172</v>
      </c>
      <c r="M1234" s="1" t="s">
        <v>9407</v>
      </c>
      <c r="N1234" s="1" t="s">
        <v>9406</v>
      </c>
    </row>
    <row r="1235" spans="1:14" s="1" customFormat="1" x14ac:dyDescent="0.35">
      <c r="A1235" s="1" t="s">
        <v>5171</v>
      </c>
      <c r="B1235" s="1" t="s">
        <v>2208</v>
      </c>
      <c r="C1235" s="1" t="s">
        <v>2286</v>
      </c>
      <c r="D1235" s="1" t="s">
        <v>9405</v>
      </c>
      <c r="E1235" s="1" t="str">
        <f>"2330"</f>
        <v>2330</v>
      </c>
      <c r="F1235" s="1" t="s">
        <v>70</v>
      </c>
      <c r="G1235" s="1" t="s">
        <v>71</v>
      </c>
      <c r="H1235" s="1" t="s">
        <v>16</v>
      </c>
      <c r="I1235" s="4" t="str">
        <f>"1"</f>
        <v>1</v>
      </c>
      <c r="J1235" s="2" t="str">
        <f>"79455"</f>
        <v>79455</v>
      </c>
      <c r="K1235" s="3">
        <v>46158</v>
      </c>
      <c r="L1235" s="3">
        <v>46172</v>
      </c>
      <c r="M1235" s="1" t="s">
        <v>9404</v>
      </c>
      <c r="N1235" s="1" t="s">
        <v>2306</v>
      </c>
    </row>
    <row r="1236" spans="1:14" s="1" customFormat="1" x14ac:dyDescent="0.35">
      <c r="A1236" s="1" t="s">
        <v>5171</v>
      </c>
      <c r="B1236" s="1" t="s">
        <v>2208</v>
      </c>
      <c r="C1236" s="1" t="s">
        <v>2286</v>
      </c>
      <c r="D1236" s="1" t="s">
        <v>9403</v>
      </c>
      <c r="E1236" s="1" t="str">
        <f>"2330"</f>
        <v>2330</v>
      </c>
      <c r="F1236" s="1" t="s">
        <v>70</v>
      </c>
      <c r="G1236" s="1" t="s">
        <v>71</v>
      </c>
      <c r="H1236" s="1" t="s">
        <v>16</v>
      </c>
      <c r="I1236" s="4" t="str">
        <f>"1"</f>
        <v>1</v>
      </c>
      <c r="J1236" s="2" t="str">
        <f>"79455"</f>
        <v>79455</v>
      </c>
      <c r="K1236" s="3">
        <v>46158</v>
      </c>
      <c r="L1236" s="3">
        <v>46172</v>
      </c>
      <c r="M1236" s="1" t="s">
        <v>9402</v>
      </c>
      <c r="N1236" s="1" t="s">
        <v>2306</v>
      </c>
    </row>
    <row r="1237" spans="1:14" s="1" customFormat="1" x14ac:dyDescent="0.35">
      <c r="A1237" s="1" t="s">
        <v>5171</v>
      </c>
      <c r="B1237" s="1" t="s">
        <v>2208</v>
      </c>
      <c r="C1237" s="1" t="s">
        <v>2286</v>
      </c>
      <c r="D1237" s="1" t="s">
        <v>9401</v>
      </c>
      <c r="E1237" s="1" t="str">
        <f>"3805"</f>
        <v>3805</v>
      </c>
      <c r="F1237" s="1" t="str">
        <f>"015153766"</f>
        <v>015153766</v>
      </c>
      <c r="G1237" s="1" t="s">
        <v>132</v>
      </c>
      <c r="H1237" s="1" t="s">
        <v>16</v>
      </c>
      <c r="I1237" s="4" t="str">
        <f>"1"</f>
        <v>1</v>
      </c>
      <c r="J1237" s="2">
        <v>16100.91</v>
      </c>
      <c r="K1237" s="3">
        <v>46159</v>
      </c>
      <c r="L1237" s="3">
        <v>46172</v>
      </c>
      <c r="M1237" s="1" t="s">
        <v>9400</v>
      </c>
      <c r="N1237" s="1" t="s">
        <v>9399</v>
      </c>
    </row>
    <row r="1238" spans="1:14" s="1" customFormat="1" x14ac:dyDescent="0.35">
      <c r="A1238" s="1" t="s">
        <v>5171</v>
      </c>
      <c r="B1238" s="1" t="s">
        <v>2208</v>
      </c>
      <c r="C1238" s="1" t="s">
        <v>2286</v>
      </c>
      <c r="D1238" s="1" t="s">
        <v>9398</v>
      </c>
      <c r="E1238" s="1" t="str">
        <f>"2330"</f>
        <v>2330</v>
      </c>
      <c r="F1238" s="1" t="s">
        <v>70</v>
      </c>
      <c r="G1238" s="1" t="s">
        <v>71</v>
      </c>
      <c r="H1238" s="1" t="s">
        <v>16</v>
      </c>
      <c r="I1238" s="4" t="str">
        <f>"1"</f>
        <v>1</v>
      </c>
      <c r="J1238" s="2" t="str">
        <f>"79455"</f>
        <v>79455</v>
      </c>
      <c r="K1238" s="3">
        <v>46159</v>
      </c>
      <c r="L1238" s="3">
        <v>46172</v>
      </c>
      <c r="M1238" s="1" t="s">
        <v>9397</v>
      </c>
      <c r="N1238" s="1" t="s">
        <v>9394</v>
      </c>
    </row>
    <row r="1239" spans="1:14" s="1" customFormat="1" x14ac:dyDescent="0.35">
      <c r="A1239" s="1" t="s">
        <v>5171</v>
      </c>
      <c r="B1239" s="1" t="s">
        <v>2208</v>
      </c>
      <c r="C1239" s="1" t="s">
        <v>2286</v>
      </c>
      <c r="D1239" s="1" t="s">
        <v>9396</v>
      </c>
      <c r="E1239" s="1" t="str">
        <f>"2330"</f>
        <v>2330</v>
      </c>
      <c r="F1239" s="1" t="s">
        <v>70</v>
      </c>
      <c r="G1239" s="1" t="s">
        <v>71</v>
      </c>
      <c r="H1239" s="1" t="s">
        <v>16</v>
      </c>
      <c r="I1239" s="4" t="str">
        <f>"1"</f>
        <v>1</v>
      </c>
      <c r="J1239" s="2" t="str">
        <f>"79455"</f>
        <v>79455</v>
      </c>
      <c r="K1239" s="3">
        <v>46159</v>
      </c>
      <c r="L1239" s="3">
        <v>46172</v>
      </c>
      <c r="M1239" s="1" t="s">
        <v>9395</v>
      </c>
      <c r="N1239" s="1" t="s">
        <v>9394</v>
      </c>
    </row>
    <row r="1240" spans="1:14" s="1" customFormat="1" x14ac:dyDescent="0.35">
      <c r="A1240" s="1" t="s">
        <v>5171</v>
      </c>
      <c r="B1240" s="1" t="s">
        <v>2208</v>
      </c>
      <c r="C1240" s="1" t="s">
        <v>2286</v>
      </c>
      <c r="D1240" s="1" t="s">
        <v>9393</v>
      </c>
      <c r="E1240" s="1" t="str">
        <f>"2340"</f>
        <v>2340</v>
      </c>
      <c r="F1240" s="1" t="s">
        <v>61</v>
      </c>
      <c r="G1240" s="1" t="s">
        <v>62</v>
      </c>
      <c r="H1240" s="1" t="s">
        <v>16</v>
      </c>
      <c r="I1240" s="4" t="str">
        <f>"1"</f>
        <v>1</v>
      </c>
      <c r="J1240" s="2" t="str">
        <f>"4918"</f>
        <v>4918</v>
      </c>
      <c r="K1240" s="3">
        <v>46159</v>
      </c>
      <c r="L1240" s="3">
        <v>46172</v>
      </c>
      <c r="M1240" s="1" t="s">
        <v>9392</v>
      </c>
      <c r="N1240" s="1" t="s">
        <v>9391</v>
      </c>
    </row>
    <row r="1241" spans="1:14" s="1" customFormat="1" x14ac:dyDescent="0.35">
      <c r="A1241" s="1" t="s">
        <v>5216</v>
      </c>
      <c r="B1241" s="1" t="s">
        <v>2208</v>
      </c>
      <c r="C1241" s="1" t="s">
        <v>2248</v>
      </c>
      <c r="D1241" s="1" t="s">
        <v>9390</v>
      </c>
      <c r="E1241" s="1" t="str">
        <f>"6525"</f>
        <v>6525</v>
      </c>
      <c r="F1241" s="1" t="str">
        <f>"015231989"</f>
        <v>015231989</v>
      </c>
      <c r="G1241" s="1" t="s">
        <v>9389</v>
      </c>
      <c r="H1241" s="1" t="s">
        <v>16</v>
      </c>
      <c r="I1241" s="4" t="str">
        <f>"2"</f>
        <v>2</v>
      </c>
      <c r="J1241" s="2">
        <v>36622.870000000003</v>
      </c>
      <c r="K1241" s="3">
        <v>46171</v>
      </c>
      <c r="L1241" s="3">
        <v>46174</v>
      </c>
      <c r="M1241" s="1" t="s">
        <v>5224</v>
      </c>
      <c r="N1241" s="1" t="s">
        <v>9388</v>
      </c>
    </row>
    <row r="1242" spans="1:14" s="1" customFormat="1" x14ac:dyDescent="0.35">
      <c r="A1242" s="1" t="s">
        <v>5216</v>
      </c>
      <c r="B1242" s="1" t="s">
        <v>2208</v>
      </c>
      <c r="C1242" s="1" t="s">
        <v>2286</v>
      </c>
      <c r="D1242" s="1" t="s">
        <v>9387</v>
      </c>
      <c r="E1242" s="1" t="str">
        <f>"8145"</f>
        <v>8145</v>
      </c>
      <c r="F1242" s="1" t="str">
        <f>"013749926"</f>
        <v>013749926</v>
      </c>
      <c r="G1242" s="1" t="s">
        <v>423</v>
      </c>
      <c r="H1242" s="1" t="s">
        <v>16</v>
      </c>
      <c r="I1242" s="4" t="str">
        <f>"3"</f>
        <v>3</v>
      </c>
      <c r="J1242" s="2">
        <v>1072.3</v>
      </c>
      <c r="K1242" s="3">
        <v>46168</v>
      </c>
      <c r="L1242" s="3">
        <v>46174</v>
      </c>
      <c r="M1242" s="1" t="s">
        <v>5224</v>
      </c>
      <c r="N1242" s="1" t="s">
        <v>9386</v>
      </c>
    </row>
    <row r="1243" spans="1:14" s="1" customFormat="1" x14ac:dyDescent="0.35">
      <c r="A1243" s="1" t="s">
        <v>5216</v>
      </c>
      <c r="B1243" s="1" t="s">
        <v>2208</v>
      </c>
      <c r="C1243" s="1" t="s">
        <v>2286</v>
      </c>
      <c r="D1243" s="1" t="s">
        <v>9385</v>
      </c>
      <c r="E1243" s="1" t="str">
        <f>"6910"</f>
        <v>6910</v>
      </c>
      <c r="F1243" s="1" t="s">
        <v>1124</v>
      </c>
      <c r="G1243" s="1" t="s">
        <v>1125</v>
      </c>
      <c r="H1243" s="1" t="s">
        <v>16</v>
      </c>
      <c r="I1243" s="4" t="str">
        <f>"1"</f>
        <v>1</v>
      </c>
      <c r="J1243" s="2" t="str">
        <f>"3760"</f>
        <v>3760</v>
      </c>
      <c r="K1243" s="3">
        <v>46168</v>
      </c>
      <c r="L1243" s="3">
        <v>46174</v>
      </c>
      <c r="M1243" s="1" t="s">
        <v>5224</v>
      </c>
      <c r="N1243" s="1" t="s">
        <v>9384</v>
      </c>
    </row>
    <row r="1244" spans="1:14" s="1" customFormat="1" x14ac:dyDescent="0.35">
      <c r="A1244" s="1" t="s">
        <v>5171</v>
      </c>
      <c r="B1244" s="1" t="s">
        <v>2208</v>
      </c>
      <c r="C1244" s="1" t="s">
        <v>2214</v>
      </c>
      <c r="D1244" s="1" t="s">
        <v>9383</v>
      </c>
      <c r="E1244" s="1" t="str">
        <f>"2340"</f>
        <v>2340</v>
      </c>
      <c r="F1244" s="1" t="s">
        <v>84</v>
      </c>
      <c r="G1244" s="1" t="s">
        <v>85</v>
      </c>
      <c r="H1244" s="1" t="s">
        <v>16</v>
      </c>
      <c r="I1244" s="4" t="str">
        <f>"1"</f>
        <v>1</v>
      </c>
      <c r="J1244" s="2">
        <v>37739.58</v>
      </c>
      <c r="K1244" s="3">
        <v>46172</v>
      </c>
      <c r="L1244" s="3">
        <v>46175</v>
      </c>
      <c r="M1244" s="1" t="s">
        <v>9382</v>
      </c>
      <c r="N1244" s="1" t="s">
        <v>9381</v>
      </c>
    </row>
    <row r="1245" spans="1:14" s="1" customFormat="1" x14ac:dyDescent="0.35">
      <c r="A1245" s="1" t="s">
        <v>5171</v>
      </c>
      <c r="B1245" s="1" t="s">
        <v>2208</v>
      </c>
      <c r="C1245" s="1" t="s">
        <v>2214</v>
      </c>
      <c r="D1245" s="1" t="s">
        <v>9380</v>
      </c>
      <c r="E1245" s="1" t="str">
        <f>"3930"</f>
        <v>3930</v>
      </c>
      <c r="F1245" s="1" t="s">
        <v>6579</v>
      </c>
      <c r="G1245" s="1" t="s">
        <v>6578</v>
      </c>
      <c r="H1245" s="1" t="s">
        <v>16</v>
      </c>
      <c r="I1245" s="4" t="str">
        <f>"1"</f>
        <v>1</v>
      </c>
      <c r="J1245" s="2" t="str">
        <f>"94864"</f>
        <v>94864</v>
      </c>
      <c r="K1245" s="3">
        <v>46174</v>
      </c>
      <c r="L1245" s="3">
        <v>46175</v>
      </c>
      <c r="M1245" s="1" t="s">
        <v>9379</v>
      </c>
      <c r="N1245" s="1" t="s">
        <v>9378</v>
      </c>
    </row>
    <row r="1246" spans="1:14" s="1" customFormat="1" x14ac:dyDescent="0.35">
      <c r="A1246" s="1" t="s">
        <v>5171</v>
      </c>
      <c r="B1246" s="1" t="s">
        <v>2208</v>
      </c>
      <c r="C1246" s="1" t="s">
        <v>2286</v>
      </c>
      <c r="D1246" s="1" t="s">
        <v>9377</v>
      </c>
      <c r="E1246" s="1" t="str">
        <f>"2340"</f>
        <v>2340</v>
      </c>
      <c r="F1246" s="1" t="s">
        <v>84</v>
      </c>
      <c r="G1246" s="1" t="s">
        <v>85</v>
      </c>
      <c r="H1246" s="1" t="s">
        <v>16</v>
      </c>
      <c r="I1246" s="4" t="str">
        <f>"1"</f>
        <v>1</v>
      </c>
      <c r="J1246" s="2">
        <v>37739.58</v>
      </c>
      <c r="K1246" s="3">
        <v>46172</v>
      </c>
      <c r="L1246" s="3">
        <v>46175</v>
      </c>
      <c r="M1246" s="1" t="s">
        <v>9376</v>
      </c>
      <c r="N1246" s="1" t="s">
        <v>9375</v>
      </c>
    </row>
    <row r="1247" spans="1:14" s="1" customFormat="1" x14ac:dyDescent="0.35">
      <c r="A1247" s="1" t="s">
        <v>5171</v>
      </c>
      <c r="B1247" s="1" t="s">
        <v>2208</v>
      </c>
      <c r="C1247" s="1" t="s">
        <v>2339</v>
      </c>
      <c r="D1247" s="1" t="s">
        <v>9374</v>
      </c>
      <c r="E1247" s="1" t="str">
        <f>"2340"</f>
        <v>2340</v>
      </c>
      <c r="F1247" s="1" t="s">
        <v>84</v>
      </c>
      <c r="G1247" s="1" t="s">
        <v>85</v>
      </c>
      <c r="H1247" s="1" t="s">
        <v>16</v>
      </c>
      <c r="I1247" s="4" t="str">
        <f>"1"</f>
        <v>1</v>
      </c>
      <c r="J1247" s="2">
        <v>37739.58</v>
      </c>
      <c r="K1247" s="3">
        <v>46173</v>
      </c>
      <c r="L1247" s="3">
        <v>46175</v>
      </c>
      <c r="M1247" s="1" t="s">
        <v>9373</v>
      </c>
      <c r="N1247" s="1" t="s">
        <v>9372</v>
      </c>
    </row>
    <row r="1248" spans="1:14" s="1" customFormat="1" x14ac:dyDescent="0.35">
      <c r="A1248" s="1" t="s">
        <v>5171</v>
      </c>
      <c r="B1248" s="1" t="s">
        <v>2208</v>
      </c>
      <c r="C1248" s="1" t="s">
        <v>2214</v>
      </c>
      <c r="D1248" s="1" t="s">
        <v>9371</v>
      </c>
      <c r="E1248" s="1" t="str">
        <f>"5855"</f>
        <v>5855</v>
      </c>
      <c r="F1248" s="1" t="str">
        <f>"015485687"</f>
        <v>015485687</v>
      </c>
      <c r="G1248" s="1" t="s">
        <v>1921</v>
      </c>
      <c r="H1248" s="1" t="s">
        <v>16</v>
      </c>
      <c r="I1248" s="4" t="str">
        <f>"10"</f>
        <v>10</v>
      </c>
      <c r="J1248" s="2" t="str">
        <f>"10402"</f>
        <v>10402</v>
      </c>
      <c r="K1248" s="3">
        <v>46097</v>
      </c>
      <c r="L1248" s="3">
        <v>46176</v>
      </c>
      <c r="M1248" s="1" t="s">
        <v>9370</v>
      </c>
      <c r="N1248" s="1" t="s">
        <v>9369</v>
      </c>
    </row>
    <row r="1249" spans="1:14" s="1" customFormat="1" x14ac:dyDescent="0.35">
      <c r="A1249" s="1" t="s">
        <v>5171</v>
      </c>
      <c r="B1249" s="1" t="s">
        <v>2208</v>
      </c>
      <c r="C1249" s="1" t="s">
        <v>2214</v>
      </c>
      <c r="D1249" s="1" t="s">
        <v>9368</v>
      </c>
      <c r="E1249" s="1" t="str">
        <f>"5440"</f>
        <v>5440</v>
      </c>
      <c r="F1249" s="1" t="s">
        <v>142</v>
      </c>
      <c r="G1249" s="1" t="s">
        <v>143</v>
      </c>
      <c r="H1249" s="1" t="s">
        <v>16</v>
      </c>
      <c r="I1249" s="4" t="str">
        <f>"4"</f>
        <v>4</v>
      </c>
      <c r="J1249" s="2">
        <v>313.99</v>
      </c>
      <c r="K1249" s="3">
        <v>46174</v>
      </c>
      <c r="L1249" s="3">
        <v>46176</v>
      </c>
      <c r="M1249" s="1" t="s">
        <v>9367</v>
      </c>
      <c r="N1249" s="1" t="s">
        <v>9366</v>
      </c>
    </row>
    <row r="1250" spans="1:14" s="1" customFormat="1" x14ac:dyDescent="0.35">
      <c r="A1250" s="1" t="s">
        <v>5171</v>
      </c>
      <c r="B1250" s="1" t="s">
        <v>2208</v>
      </c>
      <c r="C1250" s="1" t="s">
        <v>2257</v>
      </c>
      <c r="D1250" s="1" t="s">
        <v>9365</v>
      </c>
      <c r="E1250" s="1" t="str">
        <f>"5855"</f>
        <v>5855</v>
      </c>
      <c r="F1250" s="1" t="str">
        <f>"015485687"</f>
        <v>015485687</v>
      </c>
      <c r="G1250" s="1" t="s">
        <v>1921</v>
      </c>
      <c r="H1250" s="1" t="s">
        <v>16</v>
      </c>
      <c r="I1250" s="4" t="str">
        <f>"15"</f>
        <v>15</v>
      </c>
      <c r="J1250" s="2" t="str">
        <f>"10402"</f>
        <v>10402</v>
      </c>
      <c r="K1250" s="3">
        <v>46098</v>
      </c>
      <c r="L1250" s="3">
        <v>46176</v>
      </c>
      <c r="M1250" s="1" t="s">
        <v>9364</v>
      </c>
      <c r="N1250" s="1" t="s">
        <v>9363</v>
      </c>
    </row>
    <row r="1251" spans="1:14" s="1" customFormat="1" x14ac:dyDescent="0.35">
      <c r="A1251" s="1" t="s">
        <v>5171</v>
      </c>
      <c r="B1251" s="1" t="s">
        <v>2208</v>
      </c>
      <c r="C1251" s="1" t="s">
        <v>2214</v>
      </c>
      <c r="D1251" s="1" t="s">
        <v>9362</v>
      </c>
      <c r="E1251" s="1" t="str">
        <f>"1005"</f>
        <v>1005</v>
      </c>
      <c r="F1251" s="1" t="str">
        <f>"016609691"</f>
        <v>016609691</v>
      </c>
      <c r="G1251" s="1" t="s">
        <v>3040</v>
      </c>
      <c r="H1251" s="1" t="s">
        <v>16</v>
      </c>
      <c r="I1251" s="4" t="str">
        <f>"3"</f>
        <v>3</v>
      </c>
      <c r="J1251" s="2">
        <v>57.87</v>
      </c>
      <c r="K1251" s="3">
        <v>46175</v>
      </c>
      <c r="L1251" s="3">
        <v>46177</v>
      </c>
      <c r="M1251" s="1" t="s">
        <v>9361</v>
      </c>
      <c r="N1251" s="1" t="s">
        <v>9360</v>
      </c>
    </row>
    <row r="1252" spans="1:14" s="1" customFormat="1" x14ac:dyDescent="0.35">
      <c r="A1252" s="1" t="s">
        <v>5171</v>
      </c>
      <c r="B1252" s="1" t="s">
        <v>2208</v>
      </c>
      <c r="C1252" s="1" t="s">
        <v>9317</v>
      </c>
      <c r="D1252" s="1" t="s">
        <v>9359</v>
      </c>
      <c r="E1252" s="1" t="str">
        <f>"2310"</f>
        <v>2310</v>
      </c>
      <c r="F1252" s="1" t="s">
        <v>178</v>
      </c>
      <c r="G1252" s="1" t="s">
        <v>179</v>
      </c>
      <c r="H1252" s="1" t="s">
        <v>16</v>
      </c>
      <c r="I1252" s="4" t="str">
        <f>"1"</f>
        <v>1</v>
      </c>
      <c r="J1252" s="2" t="str">
        <f>"12554"</f>
        <v>12554</v>
      </c>
      <c r="K1252" s="3">
        <v>46168</v>
      </c>
      <c r="L1252" s="3">
        <v>46179</v>
      </c>
      <c r="M1252" s="1" t="s">
        <v>9358</v>
      </c>
      <c r="N1252" s="1" t="s">
        <v>9357</v>
      </c>
    </row>
    <row r="1253" spans="1:14" s="1" customFormat="1" x14ac:dyDescent="0.35">
      <c r="A1253" s="1" t="s">
        <v>5171</v>
      </c>
      <c r="B1253" s="1" t="s">
        <v>2208</v>
      </c>
      <c r="C1253" s="1" t="s">
        <v>2248</v>
      </c>
      <c r="D1253" s="1" t="s">
        <v>9356</v>
      </c>
      <c r="E1253" s="1" t="str">
        <f>"6230"</f>
        <v>6230</v>
      </c>
      <c r="F1253" s="1" t="str">
        <f>"016667749"</f>
        <v>016667749</v>
      </c>
      <c r="G1253" s="1" t="s">
        <v>830</v>
      </c>
      <c r="H1253" s="1" t="s">
        <v>16</v>
      </c>
      <c r="I1253" s="4" t="str">
        <f>"1"</f>
        <v>1</v>
      </c>
      <c r="J1253" s="2">
        <v>6922.13</v>
      </c>
      <c r="K1253" s="3">
        <v>46170</v>
      </c>
      <c r="L1253" s="3">
        <v>46179</v>
      </c>
      <c r="M1253" s="1" t="s">
        <v>9355</v>
      </c>
      <c r="N1253" s="1" t="s">
        <v>9354</v>
      </c>
    </row>
    <row r="1254" spans="1:14" s="1" customFormat="1" x14ac:dyDescent="0.35">
      <c r="A1254" s="1" t="s">
        <v>5171</v>
      </c>
      <c r="B1254" s="1" t="s">
        <v>2208</v>
      </c>
      <c r="C1254" s="1" t="s">
        <v>2286</v>
      </c>
      <c r="D1254" s="1" t="s">
        <v>9353</v>
      </c>
      <c r="E1254" s="1" t="str">
        <f>"2420"</f>
        <v>2420</v>
      </c>
      <c r="F1254" s="1" t="str">
        <f>"015323399"</f>
        <v>015323399</v>
      </c>
      <c r="G1254" s="1" t="s">
        <v>98</v>
      </c>
      <c r="H1254" s="1" t="s">
        <v>16</v>
      </c>
      <c r="I1254" s="4" t="str">
        <f>"1"</f>
        <v>1</v>
      </c>
      <c r="J1254" s="2" t="str">
        <f>"78000"</f>
        <v>78000</v>
      </c>
      <c r="K1254" s="3">
        <v>46168</v>
      </c>
      <c r="L1254" s="3">
        <v>46179</v>
      </c>
      <c r="M1254" s="1" t="s">
        <v>9352</v>
      </c>
      <c r="N1254" s="1" t="s">
        <v>9349</v>
      </c>
    </row>
    <row r="1255" spans="1:14" s="1" customFormat="1" x14ac:dyDescent="0.35">
      <c r="A1255" s="1" t="s">
        <v>5171</v>
      </c>
      <c r="B1255" s="1" t="s">
        <v>2208</v>
      </c>
      <c r="C1255" s="1" t="s">
        <v>2286</v>
      </c>
      <c r="D1255" s="1" t="s">
        <v>9351</v>
      </c>
      <c r="E1255" s="1" t="str">
        <f>"2420"</f>
        <v>2420</v>
      </c>
      <c r="F1255" s="1" t="str">
        <f>"015323399"</f>
        <v>015323399</v>
      </c>
      <c r="G1255" s="1" t="s">
        <v>98</v>
      </c>
      <c r="H1255" s="1" t="s">
        <v>16</v>
      </c>
      <c r="I1255" s="4" t="str">
        <f>"1"</f>
        <v>1</v>
      </c>
      <c r="J1255" s="2" t="str">
        <f>"78000"</f>
        <v>78000</v>
      </c>
      <c r="K1255" s="3">
        <v>46168</v>
      </c>
      <c r="L1255" s="3">
        <v>46179</v>
      </c>
      <c r="M1255" s="1" t="s">
        <v>9350</v>
      </c>
      <c r="N1255" s="1" t="s">
        <v>9349</v>
      </c>
    </row>
    <row r="1256" spans="1:14" s="1" customFormat="1" x14ac:dyDescent="0.35">
      <c r="A1256" s="1" t="s">
        <v>0</v>
      </c>
      <c r="B1256" s="1" t="s">
        <v>2208</v>
      </c>
      <c r="C1256" s="1" t="s">
        <v>2286</v>
      </c>
      <c r="D1256" s="1" t="s">
        <v>9348</v>
      </c>
      <c r="E1256" s="1" t="str">
        <f>"8470"</f>
        <v>8470</v>
      </c>
      <c r="F1256" s="1" t="str">
        <f>"015469356"</f>
        <v>015469356</v>
      </c>
      <c r="G1256" s="1" t="s">
        <v>9347</v>
      </c>
      <c r="H1256" s="1" t="s">
        <v>16</v>
      </c>
      <c r="I1256" s="4" t="str">
        <f>"13"</f>
        <v>13</v>
      </c>
      <c r="J1256" s="2">
        <v>5.8</v>
      </c>
      <c r="K1256" s="3">
        <v>46183</v>
      </c>
      <c r="L1256" s="3">
        <v>46184</v>
      </c>
      <c r="N1256" s="1" t="s">
        <v>9346</v>
      </c>
    </row>
    <row r="1257" spans="1:14" s="1" customFormat="1" x14ac:dyDescent="0.35">
      <c r="A1257" s="1" t="s">
        <v>5171</v>
      </c>
      <c r="B1257" s="1" t="s">
        <v>2208</v>
      </c>
      <c r="C1257" s="1" t="s">
        <v>2214</v>
      </c>
      <c r="D1257" s="1" t="s">
        <v>9345</v>
      </c>
      <c r="E1257" s="1" t="str">
        <f>"7830"</f>
        <v>7830</v>
      </c>
      <c r="F1257" s="1" t="s">
        <v>1871</v>
      </c>
      <c r="G1257" s="1" t="s">
        <v>1872</v>
      </c>
      <c r="H1257" s="1" t="s">
        <v>16</v>
      </c>
      <c r="I1257" s="4" t="str">
        <f>"1"</f>
        <v>1</v>
      </c>
      <c r="J1257" s="2">
        <v>3136.25</v>
      </c>
      <c r="K1257" s="3">
        <v>46179</v>
      </c>
      <c r="L1257" s="3">
        <v>46184</v>
      </c>
      <c r="M1257" s="1" t="s">
        <v>9344</v>
      </c>
      <c r="N1257" s="1" t="s">
        <v>9343</v>
      </c>
    </row>
    <row r="1258" spans="1:14" s="1" customFormat="1" x14ac:dyDescent="0.35">
      <c r="A1258" s="1" t="s">
        <v>5171</v>
      </c>
      <c r="B1258" s="1" t="s">
        <v>2208</v>
      </c>
      <c r="C1258" s="1" t="s">
        <v>2286</v>
      </c>
      <c r="D1258" s="1" t="s">
        <v>9342</v>
      </c>
      <c r="E1258" s="1" t="str">
        <f>"2320"</f>
        <v>2320</v>
      </c>
      <c r="F1258" s="1" t="s">
        <v>971</v>
      </c>
      <c r="G1258" s="1" t="s">
        <v>972</v>
      </c>
      <c r="H1258" s="1" t="s">
        <v>16</v>
      </c>
      <c r="I1258" s="4" t="str">
        <f>"1"</f>
        <v>1</v>
      </c>
      <c r="J1258" s="2" t="str">
        <f>"20000"</f>
        <v>20000</v>
      </c>
      <c r="K1258" s="3">
        <v>46137</v>
      </c>
      <c r="L1258" s="3">
        <v>46185</v>
      </c>
      <c r="M1258" s="1" t="s">
        <v>9341</v>
      </c>
      <c r="N1258" s="1" t="s">
        <v>9340</v>
      </c>
    </row>
    <row r="1259" spans="1:14" s="1" customFormat="1" x14ac:dyDescent="0.35">
      <c r="A1259" s="1" t="s">
        <v>5171</v>
      </c>
      <c r="B1259" s="1" t="s">
        <v>2208</v>
      </c>
      <c r="C1259" s="1" t="s">
        <v>2286</v>
      </c>
      <c r="D1259" s="1" t="s">
        <v>9339</v>
      </c>
      <c r="E1259" s="1" t="str">
        <f>"2320"</f>
        <v>2320</v>
      </c>
      <c r="F1259" s="1" t="s">
        <v>971</v>
      </c>
      <c r="G1259" s="1" t="s">
        <v>972</v>
      </c>
      <c r="H1259" s="1" t="s">
        <v>16</v>
      </c>
      <c r="I1259" s="4" t="str">
        <f>"1"</f>
        <v>1</v>
      </c>
      <c r="J1259" s="2" t="str">
        <f>"22000"</f>
        <v>22000</v>
      </c>
      <c r="K1259" s="3">
        <v>46137</v>
      </c>
      <c r="L1259" s="3">
        <v>46185</v>
      </c>
      <c r="M1259" s="1" t="s">
        <v>9338</v>
      </c>
      <c r="N1259" s="1" t="s">
        <v>9321</v>
      </c>
    </row>
    <row r="1260" spans="1:14" s="1" customFormat="1" x14ac:dyDescent="0.35">
      <c r="A1260" s="1" t="s">
        <v>5171</v>
      </c>
      <c r="B1260" s="1" t="s">
        <v>2208</v>
      </c>
      <c r="C1260" s="1" t="s">
        <v>2286</v>
      </c>
      <c r="D1260" s="1" t="s">
        <v>9337</v>
      </c>
      <c r="E1260" s="1" t="str">
        <f>"2320"</f>
        <v>2320</v>
      </c>
      <c r="F1260" s="1" t="s">
        <v>971</v>
      </c>
      <c r="G1260" s="1" t="s">
        <v>972</v>
      </c>
      <c r="H1260" s="1" t="s">
        <v>16</v>
      </c>
      <c r="I1260" s="4" t="str">
        <f>"1"</f>
        <v>1</v>
      </c>
      <c r="J1260" s="2" t="str">
        <f>"30000"</f>
        <v>30000</v>
      </c>
      <c r="K1260" s="3">
        <v>46137</v>
      </c>
      <c r="L1260" s="3">
        <v>46185</v>
      </c>
      <c r="M1260" s="1" t="s">
        <v>9336</v>
      </c>
      <c r="N1260" s="1" t="s">
        <v>9321</v>
      </c>
    </row>
    <row r="1261" spans="1:14" s="1" customFormat="1" x14ac:dyDescent="0.35">
      <c r="A1261" s="1" t="s">
        <v>5171</v>
      </c>
      <c r="B1261" s="1" t="s">
        <v>2208</v>
      </c>
      <c r="C1261" s="1" t="s">
        <v>2214</v>
      </c>
      <c r="D1261" s="1" t="s">
        <v>9335</v>
      </c>
      <c r="E1261" s="1" t="str">
        <f>"2330"</f>
        <v>2330</v>
      </c>
      <c r="F1261" s="1" t="s">
        <v>70</v>
      </c>
      <c r="G1261" s="1" t="s">
        <v>71</v>
      </c>
      <c r="H1261" s="1" t="s">
        <v>16</v>
      </c>
      <c r="I1261" s="4" t="str">
        <f>"1"</f>
        <v>1</v>
      </c>
      <c r="J1261" s="2" t="str">
        <f>"7000"</f>
        <v>7000</v>
      </c>
      <c r="K1261" s="3">
        <v>46172</v>
      </c>
      <c r="L1261" s="3">
        <v>46186</v>
      </c>
      <c r="M1261" s="1" t="s">
        <v>9334</v>
      </c>
      <c r="N1261" s="1" t="s">
        <v>9333</v>
      </c>
    </row>
    <row r="1262" spans="1:14" s="1" customFormat="1" x14ac:dyDescent="0.35">
      <c r="A1262" s="1" t="s">
        <v>5171</v>
      </c>
      <c r="B1262" s="1" t="s">
        <v>2208</v>
      </c>
      <c r="C1262" s="1" t="s">
        <v>2248</v>
      </c>
      <c r="D1262" s="1" t="s">
        <v>9332</v>
      </c>
      <c r="E1262" s="1" t="str">
        <f>"6130"</f>
        <v>6130</v>
      </c>
      <c r="F1262" s="1" t="str">
        <f>"014952839"</f>
        <v>014952839</v>
      </c>
      <c r="G1262" s="1" t="s">
        <v>227</v>
      </c>
      <c r="H1262" s="1" t="s">
        <v>16</v>
      </c>
      <c r="I1262" s="4" t="str">
        <f>"1"</f>
        <v>1</v>
      </c>
      <c r="J1262" s="2" t="str">
        <f>"4393"</f>
        <v>4393</v>
      </c>
      <c r="K1262" s="3">
        <v>46185</v>
      </c>
      <c r="L1262" s="3">
        <v>46186</v>
      </c>
      <c r="M1262" s="1" t="s">
        <v>5167</v>
      </c>
      <c r="N1262" s="1" t="s">
        <v>9331</v>
      </c>
    </row>
    <row r="1263" spans="1:14" s="1" customFormat="1" x14ac:dyDescent="0.35">
      <c r="A1263" s="1" t="s">
        <v>5171</v>
      </c>
      <c r="B1263" s="1" t="s">
        <v>2208</v>
      </c>
      <c r="C1263" s="1" t="s">
        <v>2248</v>
      </c>
      <c r="D1263" s="1" t="s">
        <v>9330</v>
      </c>
      <c r="E1263" s="1" t="str">
        <f>"8145"</f>
        <v>8145</v>
      </c>
      <c r="F1263" s="1" t="s">
        <v>9329</v>
      </c>
      <c r="G1263" s="1" t="s">
        <v>9328</v>
      </c>
      <c r="H1263" s="1" t="s">
        <v>16</v>
      </c>
      <c r="I1263" s="4" t="str">
        <f>"1"</f>
        <v>1</v>
      </c>
      <c r="J1263" s="2">
        <v>10611.41</v>
      </c>
      <c r="K1263" s="3">
        <v>46185</v>
      </c>
      <c r="L1263" s="3">
        <v>46186</v>
      </c>
      <c r="M1263" s="1" t="s">
        <v>5167</v>
      </c>
      <c r="N1263" s="1" t="s">
        <v>9327</v>
      </c>
    </row>
    <row r="1264" spans="1:14" s="1" customFormat="1" x14ac:dyDescent="0.35">
      <c r="A1264" s="1" t="s">
        <v>5171</v>
      </c>
      <c r="B1264" s="1" t="s">
        <v>2208</v>
      </c>
      <c r="C1264" s="1" t="s">
        <v>9326</v>
      </c>
      <c r="D1264" s="1" t="s">
        <v>9325</v>
      </c>
      <c r="E1264" s="1" t="str">
        <f>"5855"</f>
        <v>5855</v>
      </c>
      <c r="F1264" s="1" t="str">
        <f>"015777174"</f>
        <v>015777174</v>
      </c>
      <c r="G1264" s="1" t="s">
        <v>1366</v>
      </c>
      <c r="H1264" s="1" t="s">
        <v>16</v>
      </c>
      <c r="I1264" s="4" t="str">
        <f>"70"</f>
        <v>70</v>
      </c>
      <c r="J1264" s="2" t="str">
        <f>"1791"</f>
        <v>1791</v>
      </c>
      <c r="K1264" s="3">
        <v>46185</v>
      </c>
      <c r="L1264" s="3">
        <v>46187</v>
      </c>
      <c r="M1264" s="1" t="s">
        <v>5167</v>
      </c>
      <c r="N1264" s="1" t="s">
        <v>9324</v>
      </c>
    </row>
    <row r="1265" spans="1:14" s="1" customFormat="1" x14ac:dyDescent="0.35">
      <c r="A1265" s="1" t="s">
        <v>5171</v>
      </c>
      <c r="B1265" s="1" t="s">
        <v>2208</v>
      </c>
      <c r="C1265" s="1" t="s">
        <v>2286</v>
      </c>
      <c r="D1265" s="1" t="s">
        <v>9323</v>
      </c>
      <c r="E1265" s="1" t="str">
        <f>"2320"</f>
        <v>2320</v>
      </c>
      <c r="F1265" s="1" t="s">
        <v>971</v>
      </c>
      <c r="G1265" s="1" t="s">
        <v>972</v>
      </c>
      <c r="H1265" s="1" t="s">
        <v>16</v>
      </c>
      <c r="I1265" s="4" t="str">
        <f>"1"</f>
        <v>1</v>
      </c>
      <c r="J1265" s="2" t="str">
        <f>"30000"</f>
        <v>30000</v>
      </c>
      <c r="K1265" s="3">
        <v>46137</v>
      </c>
      <c r="L1265" s="3">
        <v>46188</v>
      </c>
      <c r="M1265" s="1" t="s">
        <v>9322</v>
      </c>
      <c r="N1265" s="1" t="s">
        <v>9321</v>
      </c>
    </row>
    <row r="1266" spans="1:14" s="1" customFormat="1" x14ac:dyDescent="0.35">
      <c r="A1266" s="1" t="s">
        <v>5171</v>
      </c>
      <c r="B1266" s="1" t="s">
        <v>2208</v>
      </c>
      <c r="C1266" s="1" t="s">
        <v>2339</v>
      </c>
      <c r="D1266" s="1" t="s">
        <v>9320</v>
      </c>
      <c r="E1266" s="1" t="str">
        <f>"5855"</f>
        <v>5855</v>
      </c>
      <c r="F1266" s="1" t="str">
        <f>"015675510"</f>
        <v>015675510</v>
      </c>
      <c r="G1266" s="1" t="s">
        <v>1770</v>
      </c>
      <c r="H1266" s="1" t="s">
        <v>16</v>
      </c>
      <c r="I1266" s="4" t="str">
        <f>"5"</f>
        <v>5</v>
      </c>
      <c r="J1266" s="2" t="str">
        <f>"10756"</f>
        <v>10756</v>
      </c>
      <c r="K1266" s="3">
        <v>46163</v>
      </c>
      <c r="L1266" s="3">
        <v>46191</v>
      </c>
      <c r="M1266" s="1" t="s">
        <v>9319</v>
      </c>
      <c r="N1266" s="1" t="s">
        <v>9318</v>
      </c>
    </row>
    <row r="1267" spans="1:14" s="1" customFormat="1" x14ac:dyDescent="0.35">
      <c r="A1267" s="1" t="s">
        <v>5171</v>
      </c>
      <c r="B1267" s="1" t="s">
        <v>2208</v>
      </c>
      <c r="C1267" s="1" t="s">
        <v>9317</v>
      </c>
      <c r="D1267" s="1" t="s">
        <v>9316</v>
      </c>
      <c r="E1267" s="1" t="str">
        <f>"2310"</f>
        <v>2310</v>
      </c>
      <c r="F1267" s="1" t="s">
        <v>178</v>
      </c>
      <c r="G1267" s="1" t="s">
        <v>179</v>
      </c>
      <c r="H1267" s="1" t="s">
        <v>16</v>
      </c>
      <c r="I1267" s="4" t="str">
        <f>"1"</f>
        <v>1</v>
      </c>
      <c r="J1267" s="2" t="str">
        <f>"15000"</f>
        <v>15000</v>
      </c>
      <c r="K1267" s="3">
        <v>46158</v>
      </c>
      <c r="L1267" s="3">
        <v>46195</v>
      </c>
      <c r="M1267" s="1" t="s">
        <v>9315</v>
      </c>
      <c r="N1267" s="1" t="s">
        <v>9314</v>
      </c>
    </row>
    <row r="1268" spans="1:14" s="1" customFormat="1" x14ac:dyDescent="0.35">
      <c r="A1268" s="1" t="s">
        <v>5216</v>
      </c>
      <c r="B1268" s="1" t="s">
        <v>2208</v>
      </c>
      <c r="C1268" s="1" t="s">
        <v>2248</v>
      </c>
      <c r="D1268" s="1" t="s">
        <v>9313</v>
      </c>
      <c r="E1268" s="1" t="str">
        <f>"6760"</f>
        <v>6760</v>
      </c>
      <c r="F1268" s="1" t="s">
        <v>2444</v>
      </c>
      <c r="G1268" s="1" t="s">
        <v>2445</v>
      </c>
      <c r="H1268" s="1" t="s">
        <v>16</v>
      </c>
      <c r="I1268" s="4" t="str">
        <f>"1"</f>
        <v>1</v>
      </c>
      <c r="J1268" s="2" t="str">
        <f>"350"</f>
        <v>350</v>
      </c>
      <c r="K1268" s="3">
        <v>46191</v>
      </c>
      <c r="L1268" s="3">
        <v>46196</v>
      </c>
      <c r="M1268" s="1" t="s">
        <v>5224</v>
      </c>
      <c r="N1268" s="1" t="s">
        <v>9312</v>
      </c>
    </row>
    <row r="1269" spans="1:14" s="1" customFormat="1" x14ac:dyDescent="0.35">
      <c r="A1269" s="1" t="s">
        <v>5216</v>
      </c>
      <c r="B1269" s="1" t="s">
        <v>2208</v>
      </c>
      <c r="C1269" s="1" t="s">
        <v>2248</v>
      </c>
      <c r="D1269" s="1" t="s">
        <v>9311</v>
      </c>
      <c r="E1269" s="1" t="str">
        <f>"6720"</f>
        <v>6720</v>
      </c>
      <c r="F1269" s="1" t="s">
        <v>2250</v>
      </c>
      <c r="G1269" s="1" t="s">
        <v>2251</v>
      </c>
      <c r="H1269" s="1" t="s">
        <v>16</v>
      </c>
      <c r="I1269" s="4" t="str">
        <f>"1"</f>
        <v>1</v>
      </c>
      <c r="J1269" s="2" t="str">
        <f>"1699"</f>
        <v>1699</v>
      </c>
      <c r="K1269" s="3">
        <v>46191</v>
      </c>
      <c r="L1269" s="3">
        <v>46196</v>
      </c>
      <c r="M1269" s="1" t="s">
        <v>5224</v>
      </c>
      <c r="N1269" s="1" t="s">
        <v>9310</v>
      </c>
    </row>
    <row r="1270" spans="1:14" s="1" customFormat="1" x14ac:dyDescent="0.35">
      <c r="A1270" s="1" t="s">
        <v>5171</v>
      </c>
      <c r="B1270" s="1" t="s">
        <v>2208</v>
      </c>
      <c r="C1270" s="1" t="s">
        <v>2214</v>
      </c>
      <c r="D1270" s="1" t="s">
        <v>9309</v>
      </c>
      <c r="E1270" s="1" t="str">
        <f>"2320"</f>
        <v>2320</v>
      </c>
      <c r="F1270" s="1" t="str">
        <f>"007529289"</f>
        <v>007529289</v>
      </c>
      <c r="G1270" s="1" t="s">
        <v>271</v>
      </c>
      <c r="H1270" s="1" t="s">
        <v>16</v>
      </c>
      <c r="I1270" s="4" t="str">
        <f>"1"</f>
        <v>1</v>
      </c>
      <c r="J1270" s="2" t="str">
        <f>"4202"</f>
        <v>4202</v>
      </c>
      <c r="K1270" s="3">
        <v>46158</v>
      </c>
      <c r="L1270" s="3">
        <v>46197</v>
      </c>
      <c r="M1270" s="1" t="s">
        <v>9308</v>
      </c>
      <c r="N1270" s="1" t="s">
        <v>9307</v>
      </c>
    </row>
    <row r="1271" spans="1:14" s="1" customFormat="1" x14ac:dyDescent="0.35">
      <c r="A1271" s="1" t="s">
        <v>5171</v>
      </c>
      <c r="B1271" s="1" t="s">
        <v>2208</v>
      </c>
      <c r="C1271" s="1" t="s">
        <v>2286</v>
      </c>
      <c r="D1271" s="1" t="s">
        <v>9306</v>
      </c>
      <c r="E1271" s="1" t="str">
        <f>"2320"</f>
        <v>2320</v>
      </c>
      <c r="F1271" s="1" t="str">
        <f>"010747642"</f>
        <v>010747642</v>
      </c>
      <c r="G1271" s="1" t="s">
        <v>9305</v>
      </c>
      <c r="H1271" s="1" t="s">
        <v>16</v>
      </c>
      <c r="I1271" s="4" t="str">
        <f>"1"</f>
        <v>1</v>
      </c>
      <c r="J1271" s="2" t="str">
        <f>"65070"</f>
        <v>65070</v>
      </c>
      <c r="K1271" s="3">
        <v>46196</v>
      </c>
      <c r="L1271" s="3">
        <v>46197</v>
      </c>
      <c r="M1271" s="1" t="s">
        <v>5167</v>
      </c>
      <c r="N1271" s="1" t="s">
        <v>9304</v>
      </c>
    </row>
    <row r="1272" spans="1:14" s="1" customFormat="1" x14ac:dyDescent="0.35">
      <c r="A1272" s="1" t="s">
        <v>5216</v>
      </c>
      <c r="B1272" s="1" t="s">
        <v>2208</v>
      </c>
      <c r="C1272" s="1" t="s">
        <v>2257</v>
      </c>
      <c r="D1272" s="1" t="s">
        <v>9303</v>
      </c>
      <c r="E1272" s="1" t="str">
        <f>"8150"</f>
        <v>8150</v>
      </c>
      <c r="F1272" s="1" t="str">
        <f>"014633177"</f>
        <v>014633177</v>
      </c>
      <c r="G1272" s="1" t="s">
        <v>117</v>
      </c>
      <c r="H1272" s="1" t="s">
        <v>16</v>
      </c>
      <c r="I1272" s="4" t="str">
        <f>"1"</f>
        <v>1</v>
      </c>
      <c r="J1272" s="2">
        <v>6361.62</v>
      </c>
      <c r="K1272" s="3">
        <v>46199</v>
      </c>
      <c r="L1272" s="3">
        <v>46203</v>
      </c>
      <c r="M1272" s="1" t="s">
        <v>9301</v>
      </c>
      <c r="N1272" s="1" t="s">
        <v>9300</v>
      </c>
    </row>
    <row r="1273" spans="1:14" s="1" customFormat="1" x14ac:dyDescent="0.35">
      <c r="A1273" s="1" t="s">
        <v>5216</v>
      </c>
      <c r="B1273" s="1" t="s">
        <v>2208</v>
      </c>
      <c r="C1273" s="1" t="s">
        <v>2257</v>
      </c>
      <c r="D1273" s="1" t="s">
        <v>9302</v>
      </c>
      <c r="E1273" s="1" t="str">
        <f>"8150"</f>
        <v>8150</v>
      </c>
      <c r="F1273" s="1" t="str">
        <f>"014633177"</f>
        <v>014633177</v>
      </c>
      <c r="G1273" s="1" t="s">
        <v>117</v>
      </c>
      <c r="H1273" s="1" t="s">
        <v>16</v>
      </c>
      <c r="I1273" s="4" t="str">
        <f>"1"</f>
        <v>1</v>
      </c>
      <c r="J1273" s="2">
        <v>6361.62</v>
      </c>
      <c r="K1273" s="3">
        <v>46199</v>
      </c>
      <c r="L1273" s="3">
        <v>46203</v>
      </c>
      <c r="M1273" s="1" t="s">
        <v>9301</v>
      </c>
      <c r="N1273" s="1" t="s">
        <v>9300</v>
      </c>
    </row>
    <row r="1274" spans="1:14" s="1" customFormat="1" x14ac:dyDescent="0.35">
      <c r="A1274" s="1" t="s">
        <v>5171</v>
      </c>
      <c r="B1274" s="1" t="s">
        <v>2208</v>
      </c>
      <c r="C1274" s="1" t="s">
        <v>2286</v>
      </c>
      <c r="D1274" s="1" t="s">
        <v>9299</v>
      </c>
      <c r="E1274" s="1" t="str">
        <f>"6930"</f>
        <v>6930</v>
      </c>
      <c r="F1274" s="1" t="str">
        <f>"016716434"</f>
        <v>016716434</v>
      </c>
      <c r="G1274" s="1" t="s">
        <v>9298</v>
      </c>
      <c r="H1274" s="1" t="s">
        <v>16</v>
      </c>
      <c r="I1274" s="4" t="str">
        <f>"1"</f>
        <v>1</v>
      </c>
      <c r="J1274" s="2" t="str">
        <f>"1329498"</f>
        <v>1329498</v>
      </c>
      <c r="K1274" s="3">
        <v>46175</v>
      </c>
      <c r="L1274" s="3">
        <v>46203</v>
      </c>
      <c r="M1274" s="1" t="s">
        <v>9297</v>
      </c>
      <c r="N1274" s="1" t="s">
        <v>9296</v>
      </c>
    </row>
    <row r="1275" spans="1:14" s="1" customFormat="1" x14ac:dyDescent="0.35">
      <c r="A1275" s="1" t="s">
        <v>5216</v>
      </c>
      <c r="B1275" s="1" t="s">
        <v>9292</v>
      </c>
      <c r="C1275" s="1" t="s">
        <v>9291</v>
      </c>
      <c r="D1275" s="1" t="s">
        <v>9295</v>
      </c>
      <c r="E1275" s="1" t="str">
        <f>"5855"</f>
        <v>5855</v>
      </c>
      <c r="F1275" s="1" t="str">
        <f>"015345931"</f>
        <v>015345931</v>
      </c>
      <c r="G1275" s="1" t="s">
        <v>1379</v>
      </c>
      <c r="H1275" s="1" t="s">
        <v>16</v>
      </c>
      <c r="I1275" s="4" t="str">
        <f>"25"</f>
        <v>25</v>
      </c>
      <c r="J1275" s="2" t="str">
        <f>"970"</f>
        <v>970</v>
      </c>
      <c r="K1275" s="3">
        <v>46126</v>
      </c>
      <c r="L1275" s="3">
        <v>46126</v>
      </c>
      <c r="M1275" s="1" t="s">
        <v>9294</v>
      </c>
      <c r="N1275" s="1" t="s">
        <v>9293</v>
      </c>
    </row>
    <row r="1276" spans="1:14" s="1" customFormat="1" x14ac:dyDescent="0.35">
      <c r="A1276" s="1" t="s">
        <v>5171</v>
      </c>
      <c r="B1276" s="1" t="s">
        <v>9292</v>
      </c>
      <c r="C1276" s="1" t="s">
        <v>9291</v>
      </c>
      <c r="D1276" s="1" t="s">
        <v>9290</v>
      </c>
      <c r="E1276" s="1" t="str">
        <f>"5855"</f>
        <v>5855</v>
      </c>
      <c r="F1276" s="1" t="str">
        <f>"015345931"</f>
        <v>015345931</v>
      </c>
      <c r="G1276" s="1" t="s">
        <v>1379</v>
      </c>
      <c r="H1276" s="1" t="s">
        <v>16</v>
      </c>
      <c r="I1276" s="4" t="str">
        <f>"25"</f>
        <v>25</v>
      </c>
      <c r="J1276" s="2" t="str">
        <f>"970"</f>
        <v>970</v>
      </c>
      <c r="K1276" s="3">
        <v>46126</v>
      </c>
      <c r="L1276" s="3">
        <v>46129</v>
      </c>
      <c r="M1276" s="1" t="s">
        <v>9289</v>
      </c>
      <c r="N1276" s="1" t="s">
        <v>9288</v>
      </c>
    </row>
    <row r="1277" spans="1:14" s="1" customFormat="1" x14ac:dyDescent="0.35">
      <c r="A1277" s="1" t="s">
        <v>5171</v>
      </c>
      <c r="B1277" s="1" t="s">
        <v>2344</v>
      </c>
      <c r="C1277" s="1" t="s">
        <v>2345</v>
      </c>
      <c r="D1277" s="1" t="s">
        <v>9287</v>
      </c>
      <c r="E1277" s="1" t="str">
        <f>"1385"</f>
        <v>1385</v>
      </c>
      <c r="F1277" s="1" t="str">
        <f>"015736046"</f>
        <v>015736046</v>
      </c>
      <c r="G1277" s="1" t="s">
        <v>540</v>
      </c>
      <c r="H1277" s="1" t="s">
        <v>16</v>
      </c>
      <c r="I1277" s="4" t="str">
        <f>"1"</f>
        <v>1</v>
      </c>
      <c r="J1277" s="2">
        <v>284528.08</v>
      </c>
      <c r="K1277" s="3">
        <v>46080</v>
      </c>
      <c r="L1277" s="3">
        <v>46123</v>
      </c>
      <c r="M1277" s="1" t="s">
        <v>9286</v>
      </c>
      <c r="N1277" s="1" t="s">
        <v>9285</v>
      </c>
    </row>
    <row r="1278" spans="1:14" s="1" customFormat="1" x14ac:dyDescent="0.35">
      <c r="A1278" s="1" t="s">
        <v>0</v>
      </c>
      <c r="B1278" s="1" t="s">
        <v>2344</v>
      </c>
      <c r="C1278" s="1" t="s">
        <v>2348</v>
      </c>
      <c r="D1278" s="1" t="s">
        <v>9284</v>
      </c>
      <c r="E1278" s="1" t="str">
        <f>"1385"</f>
        <v>1385</v>
      </c>
      <c r="F1278" s="1" t="str">
        <f>"015744707"</f>
        <v>015744707</v>
      </c>
      <c r="G1278" s="1" t="s">
        <v>2463</v>
      </c>
      <c r="H1278" s="1" t="s">
        <v>16</v>
      </c>
      <c r="I1278" s="4" t="str">
        <f>"1"</f>
        <v>1</v>
      </c>
      <c r="J1278" s="2" t="str">
        <f>"10000"</f>
        <v>10000</v>
      </c>
      <c r="K1278" s="3">
        <v>46170</v>
      </c>
      <c r="L1278" s="3">
        <v>46174</v>
      </c>
      <c r="M1278" s="1" t="s">
        <v>9281</v>
      </c>
      <c r="N1278" s="1" t="s">
        <v>2349</v>
      </c>
    </row>
    <row r="1279" spans="1:14" s="1" customFormat="1" x14ac:dyDescent="0.35">
      <c r="A1279" s="1" t="s">
        <v>0</v>
      </c>
      <c r="B1279" s="1" t="s">
        <v>2344</v>
      </c>
      <c r="C1279" s="1" t="s">
        <v>2348</v>
      </c>
      <c r="D1279" s="1" t="s">
        <v>9283</v>
      </c>
      <c r="E1279" s="1" t="str">
        <f>"1385"</f>
        <v>1385</v>
      </c>
      <c r="F1279" s="1" t="str">
        <f>"015744707"</f>
        <v>015744707</v>
      </c>
      <c r="G1279" s="1" t="s">
        <v>2463</v>
      </c>
      <c r="H1279" s="1" t="s">
        <v>16</v>
      </c>
      <c r="I1279" s="4" t="str">
        <f>"1"</f>
        <v>1</v>
      </c>
      <c r="J1279" s="2" t="str">
        <f>"10000"</f>
        <v>10000</v>
      </c>
      <c r="K1279" s="3">
        <v>46170</v>
      </c>
      <c r="L1279" s="3">
        <v>46174</v>
      </c>
      <c r="M1279" s="1" t="s">
        <v>9281</v>
      </c>
      <c r="N1279" s="1" t="s">
        <v>2349</v>
      </c>
    </row>
    <row r="1280" spans="1:14" s="1" customFormat="1" x14ac:dyDescent="0.35">
      <c r="A1280" s="1" t="s">
        <v>0</v>
      </c>
      <c r="B1280" s="1" t="s">
        <v>2344</v>
      </c>
      <c r="C1280" s="1" t="s">
        <v>2348</v>
      </c>
      <c r="D1280" s="1" t="s">
        <v>9282</v>
      </c>
      <c r="E1280" s="1" t="str">
        <f>"1385"</f>
        <v>1385</v>
      </c>
      <c r="F1280" s="1" t="str">
        <f>"015744707"</f>
        <v>015744707</v>
      </c>
      <c r="G1280" s="1" t="s">
        <v>2463</v>
      </c>
      <c r="H1280" s="1" t="s">
        <v>16</v>
      </c>
      <c r="I1280" s="4" t="str">
        <f>"1"</f>
        <v>1</v>
      </c>
      <c r="J1280" s="2" t="str">
        <f>"10000"</f>
        <v>10000</v>
      </c>
      <c r="K1280" s="3">
        <v>46170</v>
      </c>
      <c r="L1280" s="3">
        <v>46174</v>
      </c>
      <c r="M1280" s="1" t="s">
        <v>9281</v>
      </c>
      <c r="N1280" s="1" t="s">
        <v>2349</v>
      </c>
    </row>
    <row r="1281" spans="1:14" s="1" customFormat="1" x14ac:dyDescent="0.35">
      <c r="A1281" s="1" t="s">
        <v>5171</v>
      </c>
      <c r="B1281" s="1" t="s">
        <v>2344</v>
      </c>
      <c r="C1281" s="1" t="s">
        <v>2345</v>
      </c>
      <c r="D1281" s="1" t="s">
        <v>9280</v>
      </c>
      <c r="E1281" s="1" t="str">
        <f>"1385"</f>
        <v>1385</v>
      </c>
      <c r="F1281" s="1" t="str">
        <f>"015736046"</f>
        <v>015736046</v>
      </c>
      <c r="G1281" s="1" t="s">
        <v>540</v>
      </c>
      <c r="H1281" s="1" t="s">
        <v>16</v>
      </c>
      <c r="I1281" s="4" t="str">
        <f>"1"</f>
        <v>1</v>
      </c>
      <c r="J1281" s="2">
        <v>284528.08</v>
      </c>
      <c r="K1281" s="3">
        <v>46174</v>
      </c>
      <c r="L1281" s="3">
        <v>46175</v>
      </c>
      <c r="M1281" s="1" t="s">
        <v>9279</v>
      </c>
      <c r="N1281" s="1" t="s">
        <v>9278</v>
      </c>
    </row>
    <row r="1282" spans="1:14" s="1" customFormat="1" x14ac:dyDescent="0.35">
      <c r="A1282" s="1" t="s">
        <v>5171</v>
      </c>
      <c r="B1282" s="1" t="s">
        <v>2344</v>
      </c>
      <c r="C1282" s="1" t="s">
        <v>2348</v>
      </c>
      <c r="D1282" s="1" t="s">
        <v>9277</v>
      </c>
      <c r="E1282" s="1" t="str">
        <f>"1385"</f>
        <v>1385</v>
      </c>
      <c r="F1282" s="1" t="str">
        <f>"015744707"</f>
        <v>015744707</v>
      </c>
      <c r="G1282" s="1" t="s">
        <v>2463</v>
      </c>
      <c r="H1282" s="1" t="s">
        <v>16</v>
      </c>
      <c r="I1282" s="4" t="str">
        <f>"1"</f>
        <v>1</v>
      </c>
      <c r="J1282" s="2" t="str">
        <f>"10000"</f>
        <v>10000</v>
      </c>
      <c r="K1282" s="3">
        <v>46170</v>
      </c>
      <c r="L1282" s="3">
        <v>46199</v>
      </c>
      <c r="M1282" s="1" t="s">
        <v>9276</v>
      </c>
      <c r="N1282" s="1" t="s">
        <v>2349</v>
      </c>
    </row>
    <row r="1283" spans="1:14" s="1" customFormat="1" x14ac:dyDescent="0.35">
      <c r="A1283" s="1" t="s">
        <v>5171</v>
      </c>
      <c r="B1283" s="1" t="s">
        <v>2350</v>
      </c>
      <c r="C1283" s="1" t="s">
        <v>2419</v>
      </c>
      <c r="D1283" s="1" t="s">
        <v>9275</v>
      </c>
      <c r="E1283" s="1" t="str">
        <f>"6115"</f>
        <v>6115</v>
      </c>
      <c r="F1283" s="1" t="str">
        <f>"014351565"</f>
        <v>014351565</v>
      </c>
      <c r="G1283" s="1" t="s">
        <v>1390</v>
      </c>
      <c r="H1283" s="1" t="s">
        <v>16</v>
      </c>
      <c r="I1283" s="4" t="str">
        <f>"1"</f>
        <v>1</v>
      </c>
      <c r="J1283" s="2" t="str">
        <f>"5262"</f>
        <v>5262</v>
      </c>
      <c r="K1283" s="3">
        <v>46114</v>
      </c>
      <c r="L1283" s="3">
        <v>46116</v>
      </c>
      <c r="M1283" s="1" t="s">
        <v>5167</v>
      </c>
      <c r="N1283" s="1" t="s">
        <v>9274</v>
      </c>
    </row>
    <row r="1284" spans="1:14" s="1" customFormat="1" x14ac:dyDescent="0.35">
      <c r="A1284" s="1" t="s">
        <v>5171</v>
      </c>
      <c r="B1284" s="1" t="s">
        <v>2350</v>
      </c>
      <c r="C1284" s="1" t="s">
        <v>2419</v>
      </c>
      <c r="D1284" s="1" t="s">
        <v>9273</v>
      </c>
      <c r="E1284" s="1" t="str">
        <f>"4210"</f>
        <v>4210</v>
      </c>
      <c r="F1284" s="1" t="str">
        <f>"015896179"</f>
        <v>015896179</v>
      </c>
      <c r="G1284" s="1" t="s">
        <v>9272</v>
      </c>
      <c r="H1284" s="1" t="s">
        <v>16</v>
      </c>
      <c r="I1284" s="4" t="str">
        <f>"1"</f>
        <v>1</v>
      </c>
      <c r="J1284" s="2">
        <v>883.01</v>
      </c>
      <c r="K1284" s="3">
        <v>46114</v>
      </c>
      <c r="L1284" s="3">
        <v>46116</v>
      </c>
      <c r="M1284" s="1" t="s">
        <v>5167</v>
      </c>
      <c r="N1284" s="1" t="s">
        <v>9271</v>
      </c>
    </row>
    <row r="1285" spans="1:14" s="1" customFormat="1" x14ac:dyDescent="0.35">
      <c r="A1285" s="1" t="s">
        <v>5171</v>
      </c>
      <c r="B1285" s="1" t="s">
        <v>2350</v>
      </c>
      <c r="C1285" s="1" t="s">
        <v>2419</v>
      </c>
      <c r="D1285" s="1" t="s">
        <v>9270</v>
      </c>
      <c r="E1285" s="1" t="str">
        <f>"5836"</f>
        <v>5836</v>
      </c>
      <c r="F1285" s="1" t="s">
        <v>9269</v>
      </c>
      <c r="G1285" s="1" t="s">
        <v>9268</v>
      </c>
      <c r="H1285" s="1" t="s">
        <v>16</v>
      </c>
      <c r="I1285" s="4" t="str">
        <f>"2"</f>
        <v>2</v>
      </c>
      <c r="J1285" s="2" t="str">
        <f>"995"</f>
        <v>995</v>
      </c>
      <c r="K1285" s="3">
        <v>46114</v>
      </c>
      <c r="L1285" s="3">
        <v>46116</v>
      </c>
      <c r="M1285" s="1" t="s">
        <v>5167</v>
      </c>
      <c r="N1285" s="1" t="s">
        <v>9267</v>
      </c>
    </row>
    <row r="1286" spans="1:14" s="1" customFormat="1" x14ac:dyDescent="0.35">
      <c r="A1286" s="1" t="s">
        <v>5171</v>
      </c>
      <c r="B1286" s="1" t="s">
        <v>2350</v>
      </c>
      <c r="C1286" s="1" t="s">
        <v>2627</v>
      </c>
      <c r="D1286" s="1" t="s">
        <v>9266</v>
      </c>
      <c r="E1286" s="1" t="str">
        <f>"2420"</f>
        <v>2420</v>
      </c>
      <c r="F1286" s="1" t="s">
        <v>501</v>
      </c>
      <c r="G1286" s="1" t="s">
        <v>502</v>
      </c>
      <c r="H1286" s="1" t="s">
        <v>16</v>
      </c>
      <c r="I1286" s="4" t="str">
        <f>"1"</f>
        <v>1</v>
      </c>
      <c r="J1286" s="2" t="str">
        <f>"15000"</f>
        <v>15000</v>
      </c>
      <c r="K1286" s="3">
        <v>46104</v>
      </c>
      <c r="L1286" s="3">
        <v>46116</v>
      </c>
      <c r="M1286" s="1" t="s">
        <v>9265</v>
      </c>
      <c r="N1286" s="1" t="s">
        <v>9264</v>
      </c>
    </row>
    <row r="1287" spans="1:14" s="1" customFormat="1" x14ac:dyDescent="0.35">
      <c r="A1287" s="1" t="s">
        <v>5171</v>
      </c>
      <c r="B1287" s="1" t="s">
        <v>2350</v>
      </c>
      <c r="C1287" s="1" t="s">
        <v>2646</v>
      </c>
      <c r="D1287" s="1" t="s">
        <v>9263</v>
      </c>
      <c r="E1287" s="1" t="str">
        <f>"2340"</f>
        <v>2340</v>
      </c>
      <c r="F1287" s="1" t="s">
        <v>61</v>
      </c>
      <c r="G1287" s="1" t="s">
        <v>62</v>
      </c>
      <c r="H1287" s="1" t="s">
        <v>16</v>
      </c>
      <c r="I1287" s="4" t="str">
        <f>"1"</f>
        <v>1</v>
      </c>
      <c r="J1287" s="2" t="str">
        <f>"14251"</f>
        <v>14251</v>
      </c>
      <c r="K1287" s="3">
        <v>46105</v>
      </c>
      <c r="L1287" s="3">
        <v>46116</v>
      </c>
      <c r="M1287" s="1" t="s">
        <v>9262</v>
      </c>
      <c r="N1287" s="1" t="s">
        <v>2650</v>
      </c>
    </row>
    <row r="1288" spans="1:14" s="1" customFormat="1" x14ac:dyDescent="0.35">
      <c r="A1288" s="1" t="s">
        <v>5230</v>
      </c>
      <c r="B1288" s="1" t="s">
        <v>2350</v>
      </c>
      <c r="C1288" s="1" t="s">
        <v>8981</v>
      </c>
      <c r="D1288" s="1" t="s">
        <v>9261</v>
      </c>
      <c r="E1288" s="1" t="str">
        <f>"8465"</f>
        <v>8465</v>
      </c>
      <c r="F1288" s="1" t="str">
        <f>"015472694"</f>
        <v>015472694</v>
      </c>
      <c r="G1288" s="1" t="s">
        <v>644</v>
      </c>
      <c r="H1288" s="1" t="s">
        <v>16</v>
      </c>
      <c r="I1288" s="4" t="str">
        <f>"1"</f>
        <v>1</v>
      </c>
      <c r="J1288" s="2">
        <v>96.33</v>
      </c>
      <c r="K1288" s="3">
        <v>46118</v>
      </c>
      <c r="L1288" s="3">
        <v>46118</v>
      </c>
      <c r="N1288" s="1" t="s">
        <v>9260</v>
      </c>
    </row>
    <row r="1289" spans="1:14" s="1" customFormat="1" x14ac:dyDescent="0.35">
      <c r="A1289" s="1" t="s">
        <v>5171</v>
      </c>
      <c r="B1289" s="1" t="s">
        <v>2350</v>
      </c>
      <c r="C1289" s="1" t="s">
        <v>2601</v>
      </c>
      <c r="D1289" s="1" t="s">
        <v>9259</v>
      </c>
      <c r="E1289" s="1" t="str">
        <f>"1385"</f>
        <v>1385</v>
      </c>
      <c r="F1289" s="1" t="str">
        <f>"016274491"</f>
        <v>016274491</v>
      </c>
      <c r="G1289" s="1" t="s">
        <v>2146</v>
      </c>
      <c r="H1289" s="1" t="s">
        <v>16</v>
      </c>
      <c r="I1289" s="4" t="str">
        <f>"1"</f>
        <v>1</v>
      </c>
      <c r="J1289" s="2">
        <v>11556.33</v>
      </c>
      <c r="K1289" s="3">
        <v>46049</v>
      </c>
      <c r="L1289" s="3">
        <v>46120</v>
      </c>
      <c r="M1289" s="1" t="s">
        <v>9258</v>
      </c>
      <c r="N1289" s="1" t="s">
        <v>9257</v>
      </c>
    </row>
    <row r="1290" spans="1:14" s="1" customFormat="1" x14ac:dyDescent="0.35">
      <c r="A1290" s="1" t="s">
        <v>5171</v>
      </c>
      <c r="B1290" s="1" t="s">
        <v>2350</v>
      </c>
      <c r="C1290" s="1" t="s">
        <v>2670</v>
      </c>
      <c r="D1290" s="1" t="s">
        <v>9256</v>
      </c>
      <c r="E1290" s="1" t="str">
        <f>"1240"</f>
        <v>1240</v>
      </c>
      <c r="F1290" s="1" t="str">
        <f>"015403690"</f>
        <v>015403690</v>
      </c>
      <c r="G1290" s="1" t="s">
        <v>1103</v>
      </c>
      <c r="H1290" s="1" t="s">
        <v>16</v>
      </c>
      <c r="I1290" s="4" t="str">
        <f>"1"</f>
        <v>1</v>
      </c>
      <c r="J1290" s="2" t="str">
        <f>"342"</f>
        <v>342</v>
      </c>
      <c r="K1290" s="3">
        <v>46057</v>
      </c>
      <c r="L1290" s="3">
        <v>46120</v>
      </c>
      <c r="M1290" s="1" t="s">
        <v>9255</v>
      </c>
      <c r="N1290" s="1" t="s">
        <v>9248</v>
      </c>
    </row>
    <row r="1291" spans="1:14" s="1" customFormat="1" x14ac:dyDescent="0.35">
      <c r="A1291" s="1" t="s">
        <v>5171</v>
      </c>
      <c r="B1291" s="1" t="s">
        <v>2350</v>
      </c>
      <c r="C1291" s="1" t="s">
        <v>2670</v>
      </c>
      <c r="D1291" s="1" t="s">
        <v>9254</v>
      </c>
      <c r="E1291" s="1" t="str">
        <f>"1240"</f>
        <v>1240</v>
      </c>
      <c r="F1291" s="1" t="str">
        <f>"015403690"</f>
        <v>015403690</v>
      </c>
      <c r="G1291" s="1" t="s">
        <v>1103</v>
      </c>
      <c r="H1291" s="1" t="s">
        <v>16</v>
      </c>
      <c r="I1291" s="4" t="str">
        <f>"1"</f>
        <v>1</v>
      </c>
      <c r="J1291" s="2" t="str">
        <f>"342"</f>
        <v>342</v>
      </c>
      <c r="K1291" s="3">
        <v>46057</v>
      </c>
      <c r="L1291" s="3">
        <v>46120</v>
      </c>
      <c r="M1291" s="1" t="s">
        <v>9253</v>
      </c>
      <c r="N1291" s="1" t="s">
        <v>9248</v>
      </c>
    </row>
    <row r="1292" spans="1:14" s="1" customFormat="1" x14ac:dyDescent="0.35">
      <c r="A1292" s="1" t="s">
        <v>5171</v>
      </c>
      <c r="B1292" s="1" t="s">
        <v>2350</v>
      </c>
      <c r="C1292" s="1" t="s">
        <v>2670</v>
      </c>
      <c r="D1292" s="1" t="s">
        <v>9252</v>
      </c>
      <c r="E1292" s="1" t="str">
        <f>"1240"</f>
        <v>1240</v>
      </c>
      <c r="F1292" s="1" t="str">
        <f>"015403690"</f>
        <v>015403690</v>
      </c>
      <c r="G1292" s="1" t="s">
        <v>1103</v>
      </c>
      <c r="H1292" s="1" t="s">
        <v>16</v>
      </c>
      <c r="I1292" s="4" t="str">
        <f>"1"</f>
        <v>1</v>
      </c>
      <c r="J1292" s="2" t="str">
        <f>"342"</f>
        <v>342</v>
      </c>
      <c r="K1292" s="3">
        <v>46057</v>
      </c>
      <c r="L1292" s="3">
        <v>46120</v>
      </c>
      <c r="M1292" s="1" t="s">
        <v>9251</v>
      </c>
      <c r="N1292" s="1" t="s">
        <v>9248</v>
      </c>
    </row>
    <row r="1293" spans="1:14" s="1" customFormat="1" x14ac:dyDescent="0.35">
      <c r="A1293" s="1" t="s">
        <v>5171</v>
      </c>
      <c r="B1293" s="1" t="s">
        <v>2350</v>
      </c>
      <c r="C1293" s="1" t="s">
        <v>2670</v>
      </c>
      <c r="D1293" s="1" t="s">
        <v>9250</v>
      </c>
      <c r="E1293" s="1" t="str">
        <f>"1240"</f>
        <v>1240</v>
      </c>
      <c r="F1293" s="1" t="str">
        <f>"015403690"</f>
        <v>015403690</v>
      </c>
      <c r="G1293" s="1" t="s">
        <v>1103</v>
      </c>
      <c r="H1293" s="1" t="s">
        <v>16</v>
      </c>
      <c r="I1293" s="4" t="str">
        <f>"1"</f>
        <v>1</v>
      </c>
      <c r="J1293" s="2" t="str">
        <f>"342"</f>
        <v>342</v>
      </c>
      <c r="K1293" s="3">
        <v>46057</v>
      </c>
      <c r="L1293" s="3">
        <v>46120</v>
      </c>
      <c r="M1293" s="1" t="s">
        <v>9249</v>
      </c>
      <c r="N1293" s="1" t="s">
        <v>9248</v>
      </c>
    </row>
    <row r="1294" spans="1:14" s="1" customFormat="1" x14ac:dyDescent="0.35">
      <c r="A1294" s="1" t="s">
        <v>5230</v>
      </c>
      <c r="B1294" s="1" t="s">
        <v>2350</v>
      </c>
      <c r="C1294" s="1" t="s">
        <v>9247</v>
      </c>
      <c r="D1294" s="1" t="s">
        <v>9246</v>
      </c>
      <c r="E1294" s="1" t="str">
        <f>"2320"</f>
        <v>2320</v>
      </c>
      <c r="F1294" s="1" t="str">
        <f>"015187332"</f>
        <v>015187332</v>
      </c>
      <c r="G1294" s="1" t="s">
        <v>414</v>
      </c>
      <c r="H1294" s="1" t="s">
        <v>16</v>
      </c>
      <c r="I1294" s="4" t="str">
        <f>"1"</f>
        <v>1</v>
      </c>
      <c r="J1294" s="2" t="str">
        <f>"143579"</f>
        <v>143579</v>
      </c>
      <c r="K1294" s="3">
        <v>46121</v>
      </c>
      <c r="L1294" s="3">
        <v>46121</v>
      </c>
      <c r="M1294" s="1" t="s">
        <v>5469</v>
      </c>
      <c r="N1294" s="1" t="s">
        <v>9245</v>
      </c>
    </row>
    <row r="1295" spans="1:14" s="1" customFormat="1" x14ac:dyDescent="0.35">
      <c r="A1295" s="1" t="s">
        <v>0</v>
      </c>
      <c r="B1295" s="1" t="s">
        <v>2350</v>
      </c>
      <c r="C1295" s="1" t="s">
        <v>2601</v>
      </c>
      <c r="D1295" s="1" t="s">
        <v>9244</v>
      </c>
      <c r="E1295" s="1" t="str">
        <f>"2330"</f>
        <v>2330</v>
      </c>
      <c r="F1295" s="1" t="s">
        <v>70</v>
      </c>
      <c r="G1295" s="1" t="s">
        <v>71</v>
      </c>
      <c r="H1295" s="1" t="s">
        <v>16</v>
      </c>
      <c r="I1295" s="4" t="str">
        <f>"1"</f>
        <v>1</v>
      </c>
      <c r="J1295" s="2" t="str">
        <f>"100"</f>
        <v>100</v>
      </c>
      <c r="K1295" s="3">
        <v>46121</v>
      </c>
      <c r="L1295" s="3">
        <v>46121</v>
      </c>
      <c r="M1295" s="1" t="s">
        <v>8835</v>
      </c>
      <c r="N1295" s="1" t="s">
        <v>9243</v>
      </c>
    </row>
    <row r="1296" spans="1:14" s="1" customFormat="1" x14ac:dyDescent="0.35">
      <c r="A1296" s="1" t="s">
        <v>5171</v>
      </c>
      <c r="B1296" s="1" t="s">
        <v>2350</v>
      </c>
      <c r="C1296" s="1" t="s">
        <v>2601</v>
      </c>
      <c r="D1296" s="1" t="s">
        <v>9242</v>
      </c>
      <c r="E1296" s="1" t="str">
        <f>"5855"</f>
        <v>5855</v>
      </c>
      <c r="F1296" s="1" t="s">
        <v>5542</v>
      </c>
      <c r="G1296" s="1" t="s">
        <v>5541</v>
      </c>
      <c r="H1296" s="1" t="s">
        <v>16</v>
      </c>
      <c r="I1296" s="4" t="str">
        <f>"1"</f>
        <v>1</v>
      </c>
      <c r="J1296" s="2" t="str">
        <f>"21000"</f>
        <v>21000</v>
      </c>
      <c r="K1296" s="3">
        <v>46121</v>
      </c>
      <c r="L1296" s="3">
        <v>46121</v>
      </c>
      <c r="N1296" s="1" t="s">
        <v>9241</v>
      </c>
    </row>
    <row r="1297" spans="1:14" s="1" customFormat="1" x14ac:dyDescent="0.35">
      <c r="A1297" s="1" t="s">
        <v>5171</v>
      </c>
      <c r="B1297" s="1" t="s">
        <v>2350</v>
      </c>
      <c r="C1297" s="1" t="s">
        <v>2646</v>
      </c>
      <c r="D1297" s="1" t="s">
        <v>9240</v>
      </c>
      <c r="E1297" s="1" t="str">
        <f>"8140"</f>
        <v>8140</v>
      </c>
      <c r="F1297" s="1" t="s">
        <v>609</v>
      </c>
      <c r="G1297" s="1" t="s">
        <v>610</v>
      </c>
      <c r="H1297" s="1" t="s">
        <v>16</v>
      </c>
      <c r="I1297" s="4" t="str">
        <f>"80"</f>
        <v>80</v>
      </c>
      <c r="J1297" s="2" t="str">
        <f>"13"</f>
        <v>13</v>
      </c>
      <c r="K1297" s="3">
        <v>46096</v>
      </c>
      <c r="L1297" s="3">
        <v>46121</v>
      </c>
      <c r="M1297" s="1" t="s">
        <v>9239</v>
      </c>
      <c r="N1297" s="1" t="s">
        <v>9238</v>
      </c>
    </row>
    <row r="1298" spans="1:14" s="1" customFormat="1" x14ac:dyDescent="0.35">
      <c r="A1298" s="1" t="s">
        <v>5171</v>
      </c>
      <c r="B1298" s="1" t="s">
        <v>2350</v>
      </c>
      <c r="C1298" s="1" t="s">
        <v>2570</v>
      </c>
      <c r="D1298" s="1" t="s">
        <v>9237</v>
      </c>
      <c r="E1298" s="1" t="str">
        <f>"7025"</f>
        <v>7025</v>
      </c>
      <c r="F1298" s="1" t="s">
        <v>248</v>
      </c>
      <c r="G1298" s="1" t="s">
        <v>249</v>
      </c>
      <c r="H1298" s="1" t="s">
        <v>16</v>
      </c>
      <c r="I1298" s="4" t="str">
        <f>"10"</f>
        <v>10</v>
      </c>
      <c r="J1298" s="2">
        <v>89.99</v>
      </c>
      <c r="K1298" s="3">
        <v>46112</v>
      </c>
      <c r="L1298" s="3">
        <v>46123</v>
      </c>
      <c r="M1298" s="1" t="s">
        <v>9236</v>
      </c>
      <c r="N1298" s="1" t="s">
        <v>9235</v>
      </c>
    </row>
    <row r="1299" spans="1:14" s="1" customFormat="1" x14ac:dyDescent="0.35">
      <c r="A1299" s="1" t="s">
        <v>5171</v>
      </c>
      <c r="B1299" s="1" t="s">
        <v>2350</v>
      </c>
      <c r="C1299" s="1" t="s">
        <v>2354</v>
      </c>
      <c r="D1299" s="1" t="s">
        <v>9234</v>
      </c>
      <c r="E1299" s="1" t="str">
        <f>"6117"</f>
        <v>6117</v>
      </c>
      <c r="F1299" s="1" t="s">
        <v>9231</v>
      </c>
      <c r="G1299" s="1" t="s">
        <v>9230</v>
      </c>
      <c r="H1299" s="1" t="s">
        <v>16</v>
      </c>
      <c r="I1299" s="4" t="str">
        <f>"1"</f>
        <v>1</v>
      </c>
      <c r="J1299" s="2" t="str">
        <f>"350"</f>
        <v>350</v>
      </c>
      <c r="K1299" s="3">
        <v>46125</v>
      </c>
      <c r="L1299" s="3">
        <v>46126</v>
      </c>
      <c r="M1299" s="1" t="s">
        <v>5167</v>
      </c>
      <c r="N1299" s="1" t="s">
        <v>9233</v>
      </c>
    </row>
    <row r="1300" spans="1:14" s="1" customFormat="1" x14ac:dyDescent="0.35">
      <c r="A1300" s="1" t="s">
        <v>5171</v>
      </c>
      <c r="B1300" s="1" t="s">
        <v>2350</v>
      </c>
      <c r="C1300" s="1" t="s">
        <v>2456</v>
      </c>
      <c r="D1300" s="1" t="s">
        <v>9232</v>
      </c>
      <c r="E1300" s="1" t="str">
        <f>"6117"</f>
        <v>6117</v>
      </c>
      <c r="F1300" s="1" t="s">
        <v>9231</v>
      </c>
      <c r="G1300" s="1" t="s">
        <v>9230</v>
      </c>
      <c r="H1300" s="1" t="s">
        <v>16</v>
      </c>
      <c r="I1300" s="4" t="str">
        <f>"1"</f>
        <v>1</v>
      </c>
      <c r="J1300" s="2" t="str">
        <f>"350"</f>
        <v>350</v>
      </c>
      <c r="K1300" s="3">
        <v>46125</v>
      </c>
      <c r="L1300" s="3">
        <v>46126</v>
      </c>
      <c r="M1300" s="1" t="s">
        <v>9229</v>
      </c>
      <c r="N1300" s="1" t="s">
        <v>9228</v>
      </c>
    </row>
    <row r="1301" spans="1:14" s="1" customFormat="1" x14ac:dyDescent="0.35">
      <c r="A1301" s="1" t="s">
        <v>5171</v>
      </c>
      <c r="B1301" s="1" t="s">
        <v>2350</v>
      </c>
      <c r="C1301" s="1" t="s">
        <v>2461</v>
      </c>
      <c r="D1301" s="1" t="s">
        <v>9227</v>
      </c>
      <c r="E1301" s="1" t="str">
        <f>"5855"</f>
        <v>5855</v>
      </c>
      <c r="F1301" s="1" t="str">
        <f>"015330555"</f>
        <v>015330555</v>
      </c>
      <c r="G1301" s="1" t="s">
        <v>462</v>
      </c>
      <c r="H1301" s="1" t="s">
        <v>16</v>
      </c>
      <c r="I1301" s="4" t="str">
        <f>"42"</f>
        <v>42</v>
      </c>
      <c r="J1301" s="2" t="str">
        <f>"1800"</f>
        <v>1800</v>
      </c>
      <c r="K1301" s="3">
        <v>46113</v>
      </c>
      <c r="L1301" s="3">
        <v>46126</v>
      </c>
      <c r="M1301" s="1" t="s">
        <v>9226</v>
      </c>
      <c r="N1301" s="1" t="s">
        <v>9225</v>
      </c>
    </row>
    <row r="1302" spans="1:14" s="1" customFormat="1" x14ac:dyDescent="0.35">
      <c r="A1302" s="1" t="s">
        <v>5171</v>
      </c>
      <c r="B1302" s="1" t="s">
        <v>2350</v>
      </c>
      <c r="C1302" s="1" t="s">
        <v>2639</v>
      </c>
      <c r="D1302" s="1" t="s">
        <v>9224</v>
      </c>
      <c r="E1302" s="1" t="str">
        <f>"2310"</f>
        <v>2310</v>
      </c>
      <c r="F1302" s="1" t="str">
        <f>"016231545"</f>
        <v>016231545</v>
      </c>
      <c r="G1302" s="1" t="s">
        <v>4907</v>
      </c>
      <c r="H1302" s="1" t="s">
        <v>16</v>
      </c>
      <c r="I1302" s="4" t="str">
        <f>"1"</f>
        <v>1</v>
      </c>
      <c r="J1302" s="2" t="str">
        <f>"32000"</f>
        <v>32000</v>
      </c>
      <c r="K1302" s="3">
        <v>46050</v>
      </c>
      <c r="L1302" s="3">
        <v>46127</v>
      </c>
      <c r="M1302" s="1" t="s">
        <v>9223</v>
      </c>
      <c r="N1302" s="1" t="s">
        <v>9222</v>
      </c>
    </row>
    <row r="1303" spans="1:14" s="1" customFormat="1" x14ac:dyDescent="0.35">
      <c r="A1303" s="1" t="s">
        <v>5171</v>
      </c>
      <c r="B1303" s="1" t="s">
        <v>2350</v>
      </c>
      <c r="C1303" s="1" t="s">
        <v>2646</v>
      </c>
      <c r="D1303" s="1" t="s">
        <v>9221</v>
      </c>
      <c r="E1303" s="1" t="str">
        <f>"3805"</f>
        <v>3805</v>
      </c>
      <c r="F1303" s="1" t="s">
        <v>384</v>
      </c>
      <c r="G1303" s="1" t="s">
        <v>385</v>
      </c>
      <c r="H1303" s="1" t="s">
        <v>16</v>
      </c>
      <c r="I1303" s="4" t="str">
        <f>"1"</f>
        <v>1</v>
      </c>
      <c r="J1303" s="2" t="str">
        <f>"5625"</f>
        <v>5625</v>
      </c>
      <c r="K1303" s="3">
        <v>46096</v>
      </c>
      <c r="L1303" s="3">
        <v>46127</v>
      </c>
      <c r="M1303" s="1" t="s">
        <v>9220</v>
      </c>
      <c r="N1303" s="1" t="s">
        <v>9219</v>
      </c>
    </row>
    <row r="1304" spans="1:14" s="1" customFormat="1" x14ac:dyDescent="0.35">
      <c r="A1304" s="1" t="s">
        <v>5171</v>
      </c>
      <c r="B1304" s="1" t="s">
        <v>2350</v>
      </c>
      <c r="C1304" s="1" t="s">
        <v>2646</v>
      </c>
      <c r="D1304" s="1" t="s">
        <v>9218</v>
      </c>
      <c r="E1304" s="1" t="str">
        <f>"6350"</f>
        <v>6350</v>
      </c>
      <c r="F1304" s="1" t="str">
        <f>"015621768"</f>
        <v>015621768</v>
      </c>
      <c r="G1304" s="1" t="s">
        <v>9217</v>
      </c>
      <c r="H1304" s="1" t="s">
        <v>16</v>
      </c>
      <c r="I1304" s="4" t="str">
        <f>"1"</f>
        <v>1</v>
      </c>
      <c r="J1304" s="2" t="str">
        <f>"20000"</f>
        <v>20000</v>
      </c>
      <c r="K1304" s="3">
        <v>46105</v>
      </c>
      <c r="L1304" s="3">
        <v>46127</v>
      </c>
      <c r="M1304" s="1" t="s">
        <v>9216</v>
      </c>
      <c r="N1304" s="1" t="s">
        <v>9215</v>
      </c>
    </row>
    <row r="1305" spans="1:14" s="1" customFormat="1" x14ac:dyDescent="0.35">
      <c r="A1305" s="1" t="s">
        <v>5171</v>
      </c>
      <c r="B1305" s="1" t="s">
        <v>2350</v>
      </c>
      <c r="C1305" s="1" t="s">
        <v>2351</v>
      </c>
      <c r="D1305" s="1" t="s">
        <v>9214</v>
      </c>
      <c r="E1305" s="1" t="str">
        <f>"2340"</f>
        <v>2340</v>
      </c>
      <c r="F1305" s="1" t="str">
        <f>"013954293"</f>
        <v>013954293</v>
      </c>
      <c r="G1305" s="1" t="s">
        <v>2482</v>
      </c>
      <c r="H1305" s="1" t="s">
        <v>16</v>
      </c>
      <c r="I1305" s="4" t="str">
        <f>"3"</f>
        <v>3</v>
      </c>
      <c r="J1305" s="2">
        <v>5694.11</v>
      </c>
      <c r="K1305" s="3">
        <v>46128</v>
      </c>
      <c r="L1305" s="3">
        <v>46129</v>
      </c>
      <c r="M1305" s="1" t="s">
        <v>5167</v>
      </c>
      <c r="N1305" s="1" t="s">
        <v>9213</v>
      </c>
    </row>
    <row r="1306" spans="1:14" s="1" customFormat="1" x14ac:dyDescent="0.35">
      <c r="A1306" s="1" t="s">
        <v>5171</v>
      </c>
      <c r="B1306" s="1" t="s">
        <v>2350</v>
      </c>
      <c r="C1306" s="1" t="s">
        <v>8866</v>
      </c>
      <c r="D1306" s="1" t="s">
        <v>9212</v>
      </c>
      <c r="E1306" s="1" t="str">
        <f>"5855"</f>
        <v>5855</v>
      </c>
      <c r="F1306" s="1" t="str">
        <f>"015356166"</f>
        <v>015356166</v>
      </c>
      <c r="G1306" s="1" t="s">
        <v>1379</v>
      </c>
      <c r="H1306" s="1" t="s">
        <v>16</v>
      </c>
      <c r="I1306" s="4" t="str">
        <f>"6"</f>
        <v>6</v>
      </c>
      <c r="J1306" s="2" t="str">
        <f>"898"</f>
        <v>898</v>
      </c>
      <c r="K1306" s="3">
        <v>46122</v>
      </c>
      <c r="L1306" s="3">
        <v>46129</v>
      </c>
      <c r="M1306" s="1" t="s">
        <v>9211</v>
      </c>
      <c r="N1306" s="1" t="s">
        <v>9210</v>
      </c>
    </row>
    <row r="1307" spans="1:14" s="1" customFormat="1" x14ac:dyDescent="0.35">
      <c r="A1307" s="1" t="s">
        <v>5171</v>
      </c>
      <c r="B1307" s="1" t="s">
        <v>2350</v>
      </c>
      <c r="C1307" s="1" t="s">
        <v>2601</v>
      </c>
      <c r="D1307" s="1" t="s">
        <v>9209</v>
      </c>
      <c r="E1307" s="1" t="str">
        <f>"5855"</f>
        <v>5855</v>
      </c>
      <c r="F1307" s="1" t="s">
        <v>5542</v>
      </c>
      <c r="G1307" s="1" t="s">
        <v>5541</v>
      </c>
      <c r="H1307" s="1" t="s">
        <v>16</v>
      </c>
      <c r="I1307" s="4" t="str">
        <f>"1"</f>
        <v>1</v>
      </c>
      <c r="J1307" s="2" t="str">
        <f>"21000"</f>
        <v>21000</v>
      </c>
      <c r="K1307" s="3">
        <v>46121</v>
      </c>
      <c r="L1307" s="3">
        <v>46129</v>
      </c>
      <c r="M1307" s="1" t="s">
        <v>9208</v>
      </c>
      <c r="N1307" s="1" t="s">
        <v>9207</v>
      </c>
    </row>
    <row r="1308" spans="1:14" s="1" customFormat="1" x14ac:dyDescent="0.35">
      <c r="A1308" s="1" t="s">
        <v>5171</v>
      </c>
      <c r="B1308" s="1" t="s">
        <v>2350</v>
      </c>
      <c r="C1308" s="1" t="s">
        <v>8962</v>
      </c>
      <c r="D1308" s="1" t="s">
        <v>9206</v>
      </c>
      <c r="E1308" s="1" t="str">
        <f>"1385"</f>
        <v>1385</v>
      </c>
      <c r="F1308" s="1" t="str">
        <f>"015744707"</f>
        <v>015744707</v>
      </c>
      <c r="G1308" s="1" t="s">
        <v>2463</v>
      </c>
      <c r="H1308" s="1" t="s">
        <v>16</v>
      </c>
      <c r="I1308" s="4" t="str">
        <f>"1"</f>
        <v>1</v>
      </c>
      <c r="J1308" s="2" t="str">
        <f>"10000"</f>
        <v>10000</v>
      </c>
      <c r="K1308" s="3">
        <v>46132</v>
      </c>
      <c r="L1308" s="3">
        <v>46132</v>
      </c>
      <c r="M1308" s="1" t="s">
        <v>5167</v>
      </c>
      <c r="N1308" s="1" t="s">
        <v>9205</v>
      </c>
    </row>
    <row r="1309" spans="1:14" s="1" customFormat="1" x14ac:dyDescent="0.35">
      <c r="A1309" s="1" t="s">
        <v>5216</v>
      </c>
      <c r="B1309" s="1" t="s">
        <v>2350</v>
      </c>
      <c r="C1309" s="1" t="s">
        <v>2354</v>
      </c>
      <c r="D1309" s="1" t="s">
        <v>9204</v>
      </c>
      <c r="E1309" s="1" t="str">
        <f>"4240"</f>
        <v>4240</v>
      </c>
      <c r="F1309" s="1" t="str">
        <f>"015311165"</f>
        <v>015311165</v>
      </c>
      <c r="G1309" s="1" t="s">
        <v>5630</v>
      </c>
      <c r="H1309" s="1" t="s">
        <v>215</v>
      </c>
      <c r="I1309" s="4" t="str">
        <f>"4"</f>
        <v>4</v>
      </c>
      <c r="J1309" s="2">
        <v>63059.38</v>
      </c>
      <c r="K1309" s="3">
        <v>46132</v>
      </c>
      <c r="L1309" s="3">
        <v>46133</v>
      </c>
      <c r="M1309" s="1" t="s">
        <v>9203</v>
      </c>
      <c r="N1309" s="1" t="s">
        <v>9202</v>
      </c>
    </row>
    <row r="1310" spans="1:14" s="1" customFormat="1" x14ac:dyDescent="0.35">
      <c r="A1310" s="1" t="s">
        <v>5171</v>
      </c>
      <c r="B1310" s="1" t="s">
        <v>2350</v>
      </c>
      <c r="C1310" s="1" t="s">
        <v>2354</v>
      </c>
      <c r="D1310" s="1" t="s">
        <v>9201</v>
      </c>
      <c r="E1310" s="1" t="str">
        <f>"7830"</f>
        <v>7830</v>
      </c>
      <c r="F1310" s="1" t="s">
        <v>1871</v>
      </c>
      <c r="G1310" s="1" t="s">
        <v>1872</v>
      </c>
      <c r="H1310" s="1" t="s">
        <v>16</v>
      </c>
      <c r="I1310" s="4" t="str">
        <f>"1"</f>
        <v>1</v>
      </c>
      <c r="J1310" s="2">
        <v>2732.42</v>
      </c>
      <c r="K1310" s="3">
        <v>46132</v>
      </c>
      <c r="L1310" s="3">
        <v>46133</v>
      </c>
      <c r="M1310" s="1" t="s">
        <v>9200</v>
      </c>
      <c r="N1310" s="1" t="s">
        <v>9199</v>
      </c>
    </row>
    <row r="1311" spans="1:14" s="1" customFormat="1" x14ac:dyDescent="0.35">
      <c r="A1311" s="1" t="s">
        <v>5171</v>
      </c>
      <c r="B1311" s="1" t="s">
        <v>2350</v>
      </c>
      <c r="C1311" s="1" t="s">
        <v>2354</v>
      </c>
      <c r="D1311" s="1" t="s">
        <v>9198</v>
      </c>
      <c r="E1311" s="1" t="str">
        <f>"1385"</f>
        <v>1385</v>
      </c>
      <c r="F1311" s="1" t="str">
        <f>"016274491"</f>
        <v>016274491</v>
      </c>
      <c r="G1311" s="1" t="s">
        <v>2146</v>
      </c>
      <c r="H1311" s="1" t="s">
        <v>16</v>
      </c>
      <c r="I1311" s="4" t="str">
        <f>"2"</f>
        <v>2</v>
      </c>
      <c r="J1311" s="2">
        <v>11556.33</v>
      </c>
      <c r="K1311" s="3">
        <v>46133</v>
      </c>
      <c r="L1311" s="3">
        <v>46133</v>
      </c>
      <c r="N1311" s="1" t="s">
        <v>9197</v>
      </c>
    </row>
    <row r="1312" spans="1:14" s="1" customFormat="1" x14ac:dyDescent="0.35">
      <c r="A1312" s="1" t="s">
        <v>5171</v>
      </c>
      <c r="B1312" s="1" t="s">
        <v>2350</v>
      </c>
      <c r="C1312" s="1" t="s">
        <v>2354</v>
      </c>
      <c r="D1312" s="1" t="s">
        <v>9196</v>
      </c>
      <c r="E1312" s="1" t="str">
        <f>"8465"</f>
        <v>8465</v>
      </c>
      <c r="F1312" s="1" t="str">
        <f>"016647321"</f>
        <v>016647321</v>
      </c>
      <c r="G1312" s="1" t="s">
        <v>1753</v>
      </c>
      <c r="H1312" s="1" t="s">
        <v>16</v>
      </c>
      <c r="I1312" s="4" t="str">
        <f>"2"</f>
        <v>2</v>
      </c>
      <c r="J1312" s="2">
        <v>299.10000000000002</v>
      </c>
      <c r="K1312" s="3">
        <v>46132</v>
      </c>
      <c r="L1312" s="3">
        <v>46133</v>
      </c>
      <c r="M1312" s="1" t="s">
        <v>9195</v>
      </c>
      <c r="N1312" s="1" t="s">
        <v>9194</v>
      </c>
    </row>
    <row r="1313" spans="1:14" s="1" customFormat="1" x14ac:dyDescent="0.35">
      <c r="A1313" s="1" t="s">
        <v>5171</v>
      </c>
      <c r="B1313" s="1" t="s">
        <v>2350</v>
      </c>
      <c r="C1313" s="1" t="s">
        <v>2354</v>
      </c>
      <c r="D1313" s="1" t="s">
        <v>9193</v>
      </c>
      <c r="E1313" s="1" t="str">
        <f>"8465"</f>
        <v>8465</v>
      </c>
      <c r="F1313" s="1" t="str">
        <f>"016105633"</f>
        <v>016105633</v>
      </c>
      <c r="G1313" s="1" t="s">
        <v>2198</v>
      </c>
      <c r="H1313" s="1" t="s">
        <v>16</v>
      </c>
      <c r="I1313" s="4" t="str">
        <f>"7"</f>
        <v>7</v>
      </c>
      <c r="J1313" s="2">
        <v>350.73</v>
      </c>
      <c r="K1313" s="3">
        <v>46132</v>
      </c>
      <c r="L1313" s="3">
        <v>46133</v>
      </c>
      <c r="M1313" s="1" t="s">
        <v>9192</v>
      </c>
      <c r="N1313" s="1" t="s">
        <v>2411</v>
      </c>
    </row>
    <row r="1314" spans="1:14" s="1" customFormat="1" x14ac:dyDescent="0.35">
      <c r="A1314" s="1" t="s">
        <v>5171</v>
      </c>
      <c r="B1314" s="1" t="s">
        <v>2350</v>
      </c>
      <c r="C1314" s="1" t="s">
        <v>2354</v>
      </c>
      <c r="D1314" s="1" t="s">
        <v>9191</v>
      </c>
      <c r="E1314" s="1" t="str">
        <f>"8465"</f>
        <v>8465</v>
      </c>
      <c r="F1314" s="1" t="str">
        <f>"015987693"</f>
        <v>015987693</v>
      </c>
      <c r="G1314" s="1" t="s">
        <v>653</v>
      </c>
      <c r="H1314" s="1" t="s">
        <v>16</v>
      </c>
      <c r="I1314" s="4" t="str">
        <f>"6"</f>
        <v>6</v>
      </c>
      <c r="J1314" s="2">
        <v>638.64</v>
      </c>
      <c r="K1314" s="3">
        <v>46133</v>
      </c>
      <c r="L1314" s="3">
        <v>46134</v>
      </c>
      <c r="M1314" s="1" t="s">
        <v>9190</v>
      </c>
      <c r="N1314" s="1" t="s">
        <v>2415</v>
      </c>
    </row>
    <row r="1315" spans="1:14" s="1" customFormat="1" x14ac:dyDescent="0.35">
      <c r="A1315" s="1" t="s">
        <v>5171</v>
      </c>
      <c r="B1315" s="1" t="s">
        <v>2350</v>
      </c>
      <c r="C1315" s="1" t="s">
        <v>2439</v>
      </c>
      <c r="D1315" s="1" t="s">
        <v>9189</v>
      </c>
      <c r="E1315" s="1" t="str">
        <f>"7021"</f>
        <v>7021</v>
      </c>
      <c r="F1315" s="1" t="str">
        <f>"016753066"</f>
        <v>016753066</v>
      </c>
      <c r="G1315" s="1" t="s">
        <v>4767</v>
      </c>
      <c r="H1315" s="1" t="s">
        <v>16</v>
      </c>
      <c r="I1315" s="4" t="str">
        <f>"3"</f>
        <v>3</v>
      </c>
      <c r="J1315" s="2" t="str">
        <f>"1300"</f>
        <v>1300</v>
      </c>
      <c r="K1315" s="3">
        <v>46133</v>
      </c>
      <c r="L1315" s="3">
        <v>46135</v>
      </c>
      <c r="M1315" s="1" t="s">
        <v>9188</v>
      </c>
      <c r="N1315" s="1" t="s">
        <v>9187</v>
      </c>
    </row>
    <row r="1316" spans="1:14" s="1" customFormat="1" x14ac:dyDescent="0.35">
      <c r="A1316" s="1" t="s">
        <v>5171</v>
      </c>
      <c r="B1316" s="1" t="s">
        <v>2350</v>
      </c>
      <c r="C1316" s="1" t="s">
        <v>2659</v>
      </c>
      <c r="D1316" s="1" t="s">
        <v>9186</v>
      </c>
      <c r="E1316" s="1" t="str">
        <f>"6650"</f>
        <v>6650</v>
      </c>
      <c r="F1316" s="1" t="s">
        <v>2750</v>
      </c>
      <c r="G1316" s="1" t="s">
        <v>2751</v>
      </c>
      <c r="H1316" s="1" t="s">
        <v>16</v>
      </c>
      <c r="I1316" s="4" t="str">
        <f>"15"</f>
        <v>15</v>
      </c>
      <c r="J1316" s="2" t="str">
        <f>"203"</f>
        <v>203</v>
      </c>
      <c r="K1316" s="3">
        <v>46132</v>
      </c>
      <c r="L1316" s="3">
        <v>46135</v>
      </c>
      <c r="M1316" s="1" t="s">
        <v>9185</v>
      </c>
      <c r="N1316" s="1" t="s">
        <v>8899</v>
      </c>
    </row>
    <row r="1317" spans="1:14" s="1" customFormat="1" x14ac:dyDescent="0.35">
      <c r="A1317" s="1" t="s">
        <v>5171</v>
      </c>
      <c r="B1317" s="1" t="s">
        <v>2350</v>
      </c>
      <c r="C1317" s="1" t="s">
        <v>2351</v>
      </c>
      <c r="D1317" s="1" t="s">
        <v>9184</v>
      </c>
      <c r="E1317" s="1" t="str">
        <f>"5855"</f>
        <v>5855</v>
      </c>
      <c r="F1317" s="1" t="str">
        <f>"016187613"</f>
        <v>016187613</v>
      </c>
      <c r="G1317" s="1" t="s">
        <v>9183</v>
      </c>
      <c r="H1317" s="1" t="s">
        <v>16</v>
      </c>
      <c r="I1317" s="4" t="str">
        <f>"1"</f>
        <v>1</v>
      </c>
      <c r="J1317" s="2" t="str">
        <f>"1050000"</f>
        <v>1050000</v>
      </c>
      <c r="K1317" s="3">
        <v>46135</v>
      </c>
      <c r="L1317" s="3">
        <v>46136</v>
      </c>
      <c r="M1317" s="1" t="s">
        <v>9182</v>
      </c>
      <c r="N1317" s="1" t="s">
        <v>9181</v>
      </c>
    </row>
    <row r="1318" spans="1:14" s="1" customFormat="1" x14ac:dyDescent="0.35">
      <c r="A1318" s="1" t="s">
        <v>5171</v>
      </c>
      <c r="B1318" s="1" t="s">
        <v>2350</v>
      </c>
      <c r="C1318" s="1" t="s">
        <v>2351</v>
      </c>
      <c r="D1318" s="1" t="s">
        <v>9184</v>
      </c>
      <c r="E1318" s="1" t="str">
        <f>"5855"</f>
        <v>5855</v>
      </c>
      <c r="F1318" s="1" t="str">
        <f>"016187613"</f>
        <v>016187613</v>
      </c>
      <c r="G1318" s="1" t="s">
        <v>9183</v>
      </c>
      <c r="H1318" s="1" t="s">
        <v>16</v>
      </c>
      <c r="I1318" s="4" t="str">
        <f>"1"</f>
        <v>1</v>
      </c>
      <c r="J1318" s="2" t="str">
        <f>"1050000"</f>
        <v>1050000</v>
      </c>
      <c r="K1318" s="3">
        <v>46135</v>
      </c>
      <c r="L1318" s="3">
        <v>46136</v>
      </c>
      <c r="M1318" s="1" t="s">
        <v>9182</v>
      </c>
      <c r="N1318" s="1" t="s">
        <v>9181</v>
      </c>
    </row>
    <row r="1319" spans="1:14" s="1" customFormat="1" x14ac:dyDescent="0.35">
      <c r="A1319" s="1" t="s">
        <v>5171</v>
      </c>
      <c r="B1319" s="1" t="s">
        <v>2350</v>
      </c>
      <c r="C1319" s="1" t="s">
        <v>2354</v>
      </c>
      <c r="D1319" s="1" t="s">
        <v>9180</v>
      </c>
      <c r="E1319" s="1" t="str">
        <f>"1385"</f>
        <v>1385</v>
      </c>
      <c r="F1319" s="1" t="str">
        <f>"016274491"</f>
        <v>016274491</v>
      </c>
      <c r="G1319" s="1" t="s">
        <v>2146</v>
      </c>
      <c r="H1319" s="1" t="s">
        <v>16</v>
      </c>
      <c r="I1319" s="4" t="str">
        <f>"2"</f>
        <v>2</v>
      </c>
      <c r="J1319" s="2">
        <v>11556.33</v>
      </c>
      <c r="K1319" s="3">
        <v>46133</v>
      </c>
      <c r="L1319" s="3">
        <v>46137</v>
      </c>
      <c r="M1319" s="1" t="s">
        <v>9179</v>
      </c>
      <c r="N1319" s="1" t="s">
        <v>9178</v>
      </c>
    </row>
    <row r="1320" spans="1:14" s="1" customFormat="1" x14ac:dyDescent="0.35">
      <c r="A1320" s="1" t="s">
        <v>5171</v>
      </c>
      <c r="B1320" s="1" t="s">
        <v>2350</v>
      </c>
      <c r="C1320" s="1" t="s">
        <v>2601</v>
      </c>
      <c r="D1320" s="1" t="s">
        <v>9177</v>
      </c>
      <c r="E1320" s="1" t="str">
        <f>"1385"</f>
        <v>1385</v>
      </c>
      <c r="F1320" s="1" t="str">
        <f>"016274491"</f>
        <v>016274491</v>
      </c>
      <c r="G1320" s="1" t="s">
        <v>2146</v>
      </c>
      <c r="H1320" s="1" t="s">
        <v>16</v>
      </c>
      <c r="I1320" s="4" t="str">
        <f>"2"</f>
        <v>2</v>
      </c>
      <c r="J1320" s="2">
        <v>11556.33</v>
      </c>
      <c r="K1320" s="3">
        <v>46133</v>
      </c>
      <c r="L1320" s="3">
        <v>46137</v>
      </c>
      <c r="M1320" s="1" t="s">
        <v>9176</v>
      </c>
      <c r="N1320" s="1" t="s">
        <v>9175</v>
      </c>
    </row>
    <row r="1321" spans="1:14" s="1" customFormat="1" x14ac:dyDescent="0.35">
      <c r="A1321" s="1" t="s">
        <v>5171</v>
      </c>
      <c r="B1321" s="1" t="s">
        <v>2350</v>
      </c>
      <c r="C1321" s="1" t="s">
        <v>2659</v>
      </c>
      <c r="D1321" s="1" t="s">
        <v>9174</v>
      </c>
      <c r="E1321" s="1" t="str">
        <f>"5410"</f>
        <v>5410</v>
      </c>
      <c r="F1321" s="1" t="str">
        <f>"014518080"</f>
        <v>014518080</v>
      </c>
      <c r="G1321" s="1" t="s">
        <v>9173</v>
      </c>
      <c r="H1321" s="1" t="s">
        <v>16</v>
      </c>
      <c r="I1321" s="4" t="str">
        <f>"1"</f>
        <v>1</v>
      </c>
      <c r="J1321" s="2">
        <v>112715.04</v>
      </c>
      <c r="K1321" s="3">
        <v>46136</v>
      </c>
      <c r="L1321" s="3">
        <v>46137</v>
      </c>
      <c r="M1321" s="1" t="s">
        <v>5167</v>
      </c>
      <c r="N1321" s="1" t="s">
        <v>9172</v>
      </c>
    </row>
    <row r="1322" spans="1:14" s="1" customFormat="1" x14ac:dyDescent="0.35">
      <c r="A1322" s="1" t="s">
        <v>5171</v>
      </c>
      <c r="B1322" s="1" t="s">
        <v>2350</v>
      </c>
      <c r="C1322" s="1" t="s">
        <v>2670</v>
      </c>
      <c r="D1322" s="1" t="s">
        <v>9171</v>
      </c>
      <c r="E1322" s="1" t="str">
        <f>"1385"</f>
        <v>1385</v>
      </c>
      <c r="F1322" s="1" t="str">
        <f>"016274491"</f>
        <v>016274491</v>
      </c>
      <c r="G1322" s="1" t="s">
        <v>2146</v>
      </c>
      <c r="H1322" s="1" t="s">
        <v>16</v>
      </c>
      <c r="I1322" s="4" t="str">
        <f>"2"</f>
        <v>2</v>
      </c>
      <c r="J1322" s="2">
        <v>11556.33</v>
      </c>
      <c r="K1322" s="3">
        <v>46133</v>
      </c>
      <c r="L1322" s="3">
        <v>46137</v>
      </c>
      <c r="M1322" s="1" t="s">
        <v>9170</v>
      </c>
      <c r="N1322" s="1" t="s">
        <v>9169</v>
      </c>
    </row>
    <row r="1323" spans="1:14" s="1" customFormat="1" x14ac:dyDescent="0.35">
      <c r="A1323" s="1" t="s">
        <v>5171</v>
      </c>
      <c r="B1323" s="1" t="s">
        <v>2350</v>
      </c>
      <c r="C1323" s="1" t="s">
        <v>2629</v>
      </c>
      <c r="D1323" s="1" t="s">
        <v>9168</v>
      </c>
      <c r="E1323" s="1" t="str">
        <f>"6310"</f>
        <v>6310</v>
      </c>
      <c r="F1323" s="1" t="s">
        <v>2371</v>
      </c>
      <c r="G1323" s="1" t="s">
        <v>2372</v>
      </c>
      <c r="H1323" s="1" t="s">
        <v>16</v>
      </c>
      <c r="I1323" s="4" t="str">
        <f>"1"</f>
        <v>1</v>
      </c>
      <c r="J1323" s="2" t="str">
        <f>"769"</f>
        <v>769</v>
      </c>
      <c r="K1323" s="3">
        <v>46096</v>
      </c>
      <c r="L1323" s="3">
        <v>46139</v>
      </c>
      <c r="M1323" s="1" t="s">
        <v>9167</v>
      </c>
      <c r="N1323" s="1" t="s">
        <v>9166</v>
      </c>
    </row>
    <row r="1324" spans="1:14" s="1" customFormat="1" x14ac:dyDescent="0.35">
      <c r="A1324" s="1" t="s">
        <v>5171</v>
      </c>
      <c r="B1324" s="1" t="s">
        <v>2350</v>
      </c>
      <c r="C1324" s="1" t="s">
        <v>2665</v>
      </c>
      <c r="D1324" s="1" t="s">
        <v>9165</v>
      </c>
      <c r="E1324" s="1" t="str">
        <f>"2360"</f>
        <v>2360</v>
      </c>
      <c r="F1324" s="1" t="str">
        <f>"016651491"</f>
        <v>016651491</v>
      </c>
      <c r="G1324" s="1" t="s">
        <v>2021</v>
      </c>
      <c r="H1324" s="1" t="s">
        <v>16</v>
      </c>
      <c r="I1324" s="4" t="str">
        <f>"1"</f>
        <v>1</v>
      </c>
      <c r="J1324" s="2" t="str">
        <f>"17125"</f>
        <v>17125</v>
      </c>
      <c r="K1324" s="3">
        <v>46098</v>
      </c>
      <c r="L1324" s="3">
        <v>46139</v>
      </c>
      <c r="M1324" s="1" t="s">
        <v>9164</v>
      </c>
      <c r="N1324" s="1" t="s">
        <v>9163</v>
      </c>
    </row>
    <row r="1325" spans="1:14" s="1" customFormat="1" x14ac:dyDescent="0.35">
      <c r="A1325" s="1" t="s">
        <v>5171</v>
      </c>
      <c r="B1325" s="1" t="s">
        <v>2350</v>
      </c>
      <c r="C1325" s="1" t="s">
        <v>2629</v>
      </c>
      <c r="D1325" s="1" t="s">
        <v>9162</v>
      </c>
      <c r="E1325" s="1" t="str">
        <f>"2320"</f>
        <v>2320</v>
      </c>
      <c r="F1325" s="1" t="str">
        <f>"010907892"</f>
        <v>010907892</v>
      </c>
      <c r="G1325" s="1" t="s">
        <v>271</v>
      </c>
      <c r="H1325" s="1" t="s">
        <v>16</v>
      </c>
      <c r="I1325" s="4" t="str">
        <f>"1"</f>
        <v>1</v>
      </c>
      <c r="J1325" s="2" t="str">
        <f>"23000"</f>
        <v>23000</v>
      </c>
      <c r="K1325" s="3">
        <v>46138</v>
      </c>
      <c r="L1325" s="3">
        <v>46140</v>
      </c>
      <c r="M1325" s="1" t="s">
        <v>9161</v>
      </c>
      <c r="N1325" s="1" t="s">
        <v>9160</v>
      </c>
    </row>
    <row r="1326" spans="1:14" s="1" customFormat="1" x14ac:dyDescent="0.35">
      <c r="A1326" s="1" t="s">
        <v>5171</v>
      </c>
      <c r="B1326" s="1" t="s">
        <v>2350</v>
      </c>
      <c r="C1326" s="1" t="s">
        <v>8981</v>
      </c>
      <c r="D1326" s="1" t="s">
        <v>9159</v>
      </c>
      <c r="E1326" s="1" t="str">
        <f>"8465"</f>
        <v>8465</v>
      </c>
      <c r="F1326" s="1" t="str">
        <f>"001656838"</f>
        <v>001656838</v>
      </c>
      <c r="G1326" s="1" t="s">
        <v>8979</v>
      </c>
      <c r="H1326" s="1" t="s">
        <v>16</v>
      </c>
      <c r="I1326" s="4" t="str">
        <f>"50"</f>
        <v>50</v>
      </c>
      <c r="J1326" s="2">
        <v>25.96</v>
      </c>
      <c r="K1326" s="3">
        <v>46141</v>
      </c>
      <c r="L1326" s="3">
        <v>46141</v>
      </c>
      <c r="M1326" s="1" t="s">
        <v>5469</v>
      </c>
      <c r="N1326" s="1" t="s">
        <v>9158</v>
      </c>
    </row>
    <row r="1327" spans="1:14" s="1" customFormat="1" x14ac:dyDescent="0.35">
      <c r="A1327" s="1" t="s">
        <v>0</v>
      </c>
      <c r="B1327" s="1" t="s">
        <v>2350</v>
      </c>
      <c r="C1327" s="1" t="s">
        <v>2354</v>
      </c>
      <c r="D1327" s="1" t="s">
        <v>9157</v>
      </c>
      <c r="E1327" s="1" t="str">
        <f>"1240"</f>
        <v>1240</v>
      </c>
      <c r="F1327" s="1" t="s">
        <v>1800</v>
      </c>
      <c r="G1327" s="1" t="s">
        <v>1801</v>
      </c>
      <c r="H1327" s="1" t="s">
        <v>16</v>
      </c>
      <c r="I1327" s="4" t="str">
        <f>"3"</f>
        <v>3</v>
      </c>
      <c r="J1327" s="2" t="str">
        <f>"2499"</f>
        <v>2499</v>
      </c>
      <c r="K1327" s="3">
        <v>46142</v>
      </c>
      <c r="L1327" s="3">
        <v>46142</v>
      </c>
      <c r="M1327" s="1" t="s">
        <v>9009</v>
      </c>
      <c r="N1327" s="1" t="s">
        <v>9156</v>
      </c>
    </row>
    <row r="1328" spans="1:14" s="1" customFormat="1" x14ac:dyDescent="0.35">
      <c r="A1328" s="1" t="s">
        <v>5171</v>
      </c>
      <c r="B1328" s="1" t="s">
        <v>2350</v>
      </c>
      <c r="C1328" s="1" t="s">
        <v>2354</v>
      </c>
      <c r="D1328" s="1" t="s">
        <v>9155</v>
      </c>
      <c r="E1328" s="1" t="str">
        <f>"7830"</f>
        <v>7830</v>
      </c>
      <c r="F1328" s="1" t="s">
        <v>1871</v>
      </c>
      <c r="G1328" s="1" t="s">
        <v>1872</v>
      </c>
      <c r="H1328" s="1" t="s">
        <v>16</v>
      </c>
      <c r="I1328" s="4" t="str">
        <f>"1"</f>
        <v>1</v>
      </c>
      <c r="J1328" s="2" t="str">
        <f>"2626"</f>
        <v>2626</v>
      </c>
      <c r="K1328" s="3">
        <v>46132</v>
      </c>
      <c r="L1328" s="3">
        <v>46142</v>
      </c>
      <c r="M1328" s="1" t="s">
        <v>9154</v>
      </c>
      <c r="N1328" s="1" t="s">
        <v>9153</v>
      </c>
    </row>
    <row r="1329" spans="1:14" s="1" customFormat="1" x14ac:dyDescent="0.35">
      <c r="A1329" s="1" t="s">
        <v>5171</v>
      </c>
      <c r="B1329" s="1" t="s">
        <v>2350</v>
      </c>
      <c r="C1329" s="1" t="s">
        <v>2475</v>
      </c>
      <c r="D1329" s="1" t="s">
        <v>9152</v>
      </c>
      <c r="E1329" s="1" t="str">
        <f>"1550"</f>
        <v>1550</v>
      </c>
      <c r="F1329" s="1" t="str">
        <f>"016141192"</f>
        <v>016141192</v>
      </c>
      <c r="G1329" s="1" t="s">
        <v>203</v>
      </c>
      <c r="H1329" s="1" t="s">
        <v>16</v>
      </c>
      <c r="I1329" s="4" t="str">
        <f>"2"</f>
        <v>2</v>
      </c>
      <c r="J1329" s="2" t="str">
        <f>"738194"</f>
        <v>738194</v>
      </c>
      <c r="K1329" s="3">
        <v>46142</v>
      </c>
      <c r="L1329" s="3">
        <v>46142</v>
      </c>
      <c r="N1329" s="1" t="s">
        <v>9151</v>
      </c>
    </row>
    <row r="1330" spans="1:14" s="1" customFormat="1" x14ac:dyDescent="0.35">
      <c r="A1330" s="1" t="s">
        <v>5171</v>
      </c>
      <c r="B1330" s="1" t="s">
        <v>2350</v>
      </c>
      <c r="C1330" s="1" t="s">
        <v>2475</v>
      </c>
      <c r="D1330" s="1" t="s">
        <v>9150</v>
      </c>
      <c r="E1330" s="1" t="str">
        <f>"6545"</f>
        <v>6545</v>
      </c>
      <c r="F1330" s="1" t="str">
        <f>"015300929"</f>
        <v>015300929</v>
      </c>
      <c r="G1330" s="1" t="s">
        <v>236</v>
      </c>
      <c r="H1330" s="1" t="s">
        <v>215</v>
      </c>
      <c r="I1330" s="4" t="str">
        <f>"1"</f>
        <v>1</v>
      </c>
      <c r="J1330" s="2">
        <v>48.71</v>
      </c>
      <c r="K1330" s="3">
        <v>46142</v>
      </c>
      <c r="L1330" s="3">
        <v>46142</v>
      </c>
      <c r="M1330" s="1" t="s">
        <v>5469</v>
      </c>
      <c r="N1330" s="1" t="s">
        <v>9149</v>
      </c>
    </row>
    <row r="1331" spans="1:14" s="1" customFormat="1" x14ac:dyDescent="0.35">
      <c r="A1331" s="1" t="s">
        <v>5171</v>
      </c>
      <c r="B1331" s="1" t="s">
        <v>2350</v>
      </c>
      <c r="C1331" s="1" t="s">
        <v>2475</v>
      </c>
      <c r="D1331" s="1" t="s">
        <v>9148</v>
      </c>
      <c r="E1331" s="1" t="str">
        <f>"2360"</f>
        <v>2360</v>
      </c>
      <c r="F1331" s="1" t="str">
        <f>"016204061"</f>
        <v>016204061</v>
      </c>
      <c r="G1331" s="1" t="s">
        <v>2021</v>
      </c>
      <c r="H1331" s="1" t="s">
        <v>16</v>
      </c>
      <c r="I1331" s="4" t="str">
        <f>"1"</f>
        <v>1</v>
      </c>
      <c r="J1331" s="2" t="str">
        <f>"93349"</f>
        <v>93349</v>
      </c>
      <c r="K1331" s="3">
        <v>46142</v>
      </c>
      <c r="L1331" s="3">
        <v>46142</v>
      </c>
      <c r="N1331" s="1" t="s">
        <v>9147</v>
      </c>
    </row>
    <row r="1332" spans="1:14" s="1" customFormat="1" x14ac:dyDescent="0.35">
      <c r="A1332" s="1" t="s">
        <v>5171</v>
      </c>
      <c r="B1332" s="1" t="s">
        <v>2350</v>
      </c>
      <c r="C1332" s="1" t="s">
        <v>2354</v>
      </c>
      <c r="D1332" s="1" t="s">
        <v>9146</v>
      </c>
      <c r="E1332" s="1" t="str">
        <f>"1240"</f>
        <v>1240</v>
      </c>
      <c r="F1332" s="1" t="s">
        <v>1800</v>
      </c>
      <c r="G1332" s="1" t="s">
        <v>1801</v>
      </c>
      <c r="H1332" s="1" t="s">
        <v>16</v>
      </c>
      <c r="I1332" s="4" t="str">
        <f>"4"</f>
        <v>4</v>
      </c>
      <c r="J1332" s="2" t="str">
        <f>"2499"</f>
        <v>2499</v>
      </c>
      <c r="K1332" s="3">
        <v>46142</v>
      </c>
      <c r="L1332" s="3">
        <v>46143</v>
      </c>
      <c r="M1332" s="1" t="s">
        <v>9145</v>
      </c>
      <c r="N1332" s="1" t="s">
        <v>9144</v>
      </c>
    </row>
    <row r="1333" spans="1:14" s="1" customFormat="1" x14ac:dyDescent="0.35">
      <c r="A1333" s="1" t="s">
        <v>5171</v>
      </c>
      <c r="B1333" s="1" t="s">
        <v>2350</v>
      </c>
      <c r="C1333" s="1" t="s">
        <v>2419</v>
      </c>
      <c r="D1333" s="1" t="s">
        <v>9143</v>
      </c>
      <c r="E1333" s="1" t="str">
        <f>"3810"</f>
        <v>3810</v>
      </c>
      <c r="F1333" s="1" t="s">
        <v>5506</v>
      </c>
      <c r="G1333" s="1" t="s">
        <v>5505</v>
      </c>
      <c r="H1333" s="1" t="s">
        <v>16</v>
      </c>
      <c r="I1333" s="4" t="str">
        <f>"1"</f>
        <v>1</v>
      </c>
      <c r="J1333" s="2" t="str">
        <f>"54995"</f>
        <v>54995</v>
      </c>
      <c r="K1333" s="3">
        <v>46126</v>
      </c>
      <c r="L1333" s="3">
        <v>46143</v>
      </c>
      <c r="M1333" s="1" t="s">
        <v>9142</v>
      </c>
      <c r="N1333" s="1" t="s">
        <v>9141</v>
      </c>
    </row>
    <row r="1334" spans="1:14" s="1" customFormat="1" x14ac:dyDescent="0.35">
      <c r="A1334" s="1" t="s">
        <v>5171</v>
      </c>
      <c r="B1334" s="1" t="s">
        <v>2350</v>
      </c>
      <c r="C1334" s="1" t="s">
        <v>2629</v>
      </c>
      <c r="D1334" s="1" t="s">
        <v>9140</v>
      </c>
      <c r="E1334" s="1" t="str">
        <f>"1005"</f>
        <v>1005</v>
      </c>
      <c r="F1334" s="1" t="str">
        <f>"014536655"</f>
        <v>014536655</v>
      </c>
      <c r="G1334" s="1" t="s">
        <v>1979</v>
      </c>
      <c r="H1334" s="1" t="s">
        <v>16</v>
      </c>
      <c r="I1334" s="4" t="str">
        <f>"12"</f>
        <v>12</v>
      </c>
      <c r="J1334" s="2">
        <v>4.9400000000000004</v>
      </c>
      <c r="K1334" s="3">
        <v>46119</v>
      </c>
      <c r="L1334" s="3">
        <v>46143</v>
      </c>
      <c r="M1334" s="1" t="s">
        <v>9139</v>
      </c>
      <c r="N1334" s="1" t="s">
        <v>9138</v>
      </c>
    </row>
    <row r="1335" spans="1:14" s="1" customFormat="1" x14ac:dyDescent="0.35">
      <c r="A1335" s="1" t="s">
        <v>5230</v>
      </c>
      <c r="B1335" s="1" t="s">
        <v>2350</v>
      </c>
      <c r="C1335" s="1" t="s">
        <v>2646</v>
      </c>
      <c r="D1335" s="1" t="s">
        <v>9137</v>
      </c>
      <c r="E1335" s="1" t="str">
        <f>"2330"</f>
        <v>2330</v>
      </c>
      <c r="F1335" s="1" t="s">
        <v>70</v>
      </c>
      <c r="G1335" s="1" t="s">
        <v>71</v>
      </c>
      <c r="H1335" s="1" t="s">
        <v>16</v>
      </c>
      <c r="I1335" s="4" t="str">
        <f>"3"</f>
        <v>3</v>
      </c>
      <c r="J1335" s="2" t="str">
        <f>"9295"</f>
        <v>9295</v>
      </c>
      <c r="K1335" s="3">
        <v>46144</v>
      </c>
      <c r="L1335" s="3">
        <v>46144</v>
      </c>
      <c r="M1335" s="1" t="s">
        <v>5469</v>
      </c>
      <c r="N1335" s="1" t="s">
        <v>9136</v>
      </c>
    </row>
    <row r="1336" spans="1:14" s="1" customFormat="1" x14ac:dyDescent="0.35">
      <c r="A1336" s="1" t="s">
        <v>5171</v>
      </c>
      <c r="B1336" s="1" t="s">
        <v>2350</v>
      </c>
      <c r="C1336" s="1" t="s">
        <v>2354</v>
      </c>
      <c r="D1336" s="1" t="s">
        <v>9135</v>
      </c>
      <c r="E1336" s="1" t="str">
        <f>"8465"</f>
        <v>8465</v>
      </c>
      <c r="F1336" s="1" t="str">
        <f>"016779156"</f>
        <v>016779156</v>
      </c>
      <c r="G1336" s="1" t="s">
        <v>653</v>
      </c>
      <c r="H1336" s="1" t="s">
        <v>16</v>
      </c>
      <c r="I1336" s="4" t="str">
        <f>"2"</f>
        <v>2</v>
      </c>
      <c r="J1336" s="2" t="str">
        <f>"685"</f>
        <v>685</v>
      </c>
      <c r="K1336" s="3">
        <v>46133</v>
      </c>
      <c r="L1336" s="3">
        <v>46144</v>
      </c>
      <c r="M1336" s="1" t="s">
        <v>9134</v>
      </c>
      <c r="N1336" s="1" t="s">
        <v>2415</v>
      </c>
    </row>
    <row r="1337" spans="1:14" s="1" customFormat="1" x14ac:dyDescent="0.35">
      <c r="A1337" s="1" t="s">
        <v>5171</v>
      </c>
      <c r="B1337" s="1" t="s">
        <v>2350</v>
      </c>
      <c r="C1337" s="1" t="s">
        <v>2354</v>
      </c>
      <c r="D1337" s="1" t="s">
        <v>9133</v>
      </c>
      <c r="E1337" s="1" t="str">
        <f>"8465"</f>
        <v>8465</v>
      </c>
      <c r="F1337" s="1" t="str">
        <f>"016205997"</f>
        <v>016205997</v>
      </c>
      <c r="G1337" s="1" t="s">
        <v>653</v>
      </c>
      <c r="H1337" s="1" t="s">
        <v>16</v>
      </c>
      <c r="I1337" s="4" t="str">
        <f>"4"</f>
        <v>4</v>
      </c>
      <c r="J1337" s="2" t="str">
        <f>"1200"</f>
        <v>1200</v>
      </c>
      <c r="K1337" s="3">
        <v>46133</v>
      </c>
      <c r="L1337" s="3">
        <v>46144</v>
      </c>
      <c r="M1337" s="1" t="s">
        <v>9132</v>
      </c>
      <c r="N1337" s="1" t="s">
        <v>2415</v>
      </c>
    </row>
    <row r="1338" spans="1:14" s="1" customFormat="1" x14ac:dyDescent="0.35">
      <c r="A1338" s="1" t="s">
        <v>5171</v>
      </c>
      <c r="B1338" s="1" t="s">
        <v>2350</v>
      </c>
      <c r="C1338" s="1" t="s">
        <v>2475</v>
      </c>
      <c r="D1338" s="1" t="s">
        <v>9131</v>
      </c>
      <c r="E1338" s="1" t="str">
        <f>"1550"</f>
        <v>1550</v>
      </c>
      <c r="F1338" s="1" t="str">
        <f>"016141192"</f>
        <v>016141192</v>
      </c>
      <c r="G1338" s="1" t="s">
        <v>203</v>
      </c>
      <c r="H1338" s="1" t="s">
        <v>16</v>
      </c>
      <c r="I1338" s="4" t="str">
        <f>"2"</f>
        <v>2</v>
      </c>
      <c r="J1338" s="2" t="str">
        <f>"738194"</f>
        <v>738194</v>
      </c>
      <c r="K1338" s="3">
        <v>46142</v>
      </c>
      <c r="L1338" s="3">
        <v>46145</v>
      </c>
      <c r="M1338" s="1" t="s">
        <v>5167</v>
      </c>
      <c r="N1338" s="1" t="s">
        <v>9130</v>
      </c>
    </row>
    <row r="1339" spans="1:14" s="1" customFormat="1" x14ac:dyDescent="0.35">
      <c r="A1339" s="1" t="s">
        <v>0</v>
      </c>
      <c r="B1339" s="1" t="s">
        <v>2350</v>
      </c>
      <c r="C1339" s="1" t="s">
        <v>2696</v>
      </c>
      <c r="D1339" s="1" t="s">
        <v>9129</v>
      </c>
      <c r="E1339" s="1" t="str">
        <f>"3940"</f>
        <v>3940</v>
      </c>
      <c r="F1339" s="1" t="str">
        <f>"014754983"</f>
        <v>014754983</v>
      </c>
      <c r="G1339" s="1" t="s">
        <v>470</v>
      </c>
      <c r="H1339" s="1" t="s">
        <v>16</v>
      </c>
      <c r="I1339" s="4" t="str">
        <f>"1"</f>
        <v>1</v>
      </c>
      <c r="J1339" s="2">
        <v>309.49</v>
      </c>
      <c r="K1339" s="3">
        <v>46147</v>
      </c>
      <c r="L1339" s="3">
        <v>46147</v>
      </c>
      <c r="M1339" s="1" t="s">
        <v>9110</v>
      </c>
      <c r="N1339" s="1" t="s">
        <v>9128</v>
      </c>
    </row>
    <row r="1340" spans="1:14" s="1" customFormat="1" x14ac:dyDescent="0.35">
      <c r="A1340" s="1" t="s">
        <v>0</v>
      </c>
      <c r="B1340" s="1" t="s">
        <v>2350</v>
      </c>
      <c r="C1340" s="1" t="s">
        <v>2696</v>
      </c>
      <c r="D1340" s="1" t="s">
        <v>9127</v>
      </c>
      <c r="E1340" s="1" t="str">
        <f>"5110"</f>
        <v>5110</v>
      </c>
      <c r="F1340" s="1" t="str">
        <f>"002899657"</f>
        <v>002899657</v>
      </c>
      <c r="G1340" s="1" t="s">
        <v>9126</v>
      </c>
      <c r="H1340" s="1" t="s">
        <v>16</v>
      </c>
      <c r="I1340" s="4" t="str">
        <f>"3"</f>
        <v>3</v>
      </c>
      <c r="J1340" s="2">
        <v>9.5299999999999994</v>
      </c>
      <c r="K1340" s="3">
        <v>46147</v>
      </c>
      <c r="L1340" s="3">
        <v>46147</v>
      </c>
      <c r="M1340" s="1" t="s">
        <v>9110</v>
      </c>
      <c r="N1340" s="1" t="s">
        <v>2705</v>
      </c>
    </row>
    <row r="1341" spans="1:14" s="1" customFormat="1" x14ac:dyDescent="0.35">
      <c r="A1341" s="1" t="s">
        <v>0</v>
      </c>
      <c r="B1341" s="1" t="s">
        <v>2350</v>
      </c>
      <c r="C1341" s="1" t="s">
        <v>2696</v>
      </c>
      <c r="D1341" s="1" t="s">
        <v>9125</v>
      </c>
      <c r="E1341" s="1" t="str">
        <f>"6605"</f>
        <v>6605</v>
      </c>
      <c r="F1341" s="1" t="str">
        <f>"015620628"</f>
        <v>015620628</v>
      </c>
      <c r="G1341" s="1" t="s">
        <v>9124</v>
      </c>
      <c r="H1341" s="1" t="s">
        <v>16</v>
      </c>
      <c r="I1341" s="4" t="str">
        <f>"1"</f>
        <v>1</v>
      </c>
      <c r="J1341" s="2">
        <v>41.18</v>
      </c>
      <c r="K1341" s="3">
        <v>46147</v>
      </c>
      <c r="L1341" s="3">
        <v>46147</v>
      </c>
      <c r="M1341" s="1" t="s">
        <v>9110</v>
      </c>
      <c r="N1341" s="1" t="s">
        <v>9123</v>
      </c>
    </row>
    <row r="1342" spans="1:14" s="1" customFormat="1" x14ac:dyDescent="0.35">
      <c r="A1342" s="1" t="s">
        <v>0</v>
      </c>
      <c r="B1342" s="1" t="s">
        <v>2350</v>
      </c>
      <c r="C1342" s="1" t="s">
        <v>2696</v>
      </c>
      <c r="D1342" s="1" t="s">
        <v>9122</v>
      </c>
      <c r="E1342" s="1" t="str">
        <f>"4940"</f>
        <v>4940</v>
      </c>
      <c r="F1342" s="1" t="str">
        <f>"015277531"</f>
        <v>015277531</v>
      </c>
      <c r="G1342" s="1" t="s">
        <v>9112</v>
      </c>
      <c r="H1342" s="1" t="s">
        <v>16</v>
      </c>
      <c r="I1342" s="4" t="str">
        <f>"4"</f>
        <v>4</v>
      </c>
      <c r="J1342" s="2">
        <v>195.59</v>
      </c>
      <c r="K1342" s="3">
        <v>46147</v>
      </c>
      <c r="L1342" s="3">
        <v>46147</v>
      </c>
      <c r="M1342" s="1" t="s">
        <v>9110</v>
      </c>
      <c r="N1342" s="1" t="s">
        <v>2705</v>
      </c>
    </row>
    <row r="1343" spans="1:14" s="1" customFormat="1" x14ac:dyDescent="0.35">
      <c r="A1343" s="1" t="s">
        <v>0</v>
      </c>
      <c r="B1343" s="1" t="s">
        <v>2350</v>
      </c>
      <c r="C1343" s="1" t="s">
        <v>2696</v>
      </c>
      <c r="D1343" s="1" t="s">
        <v>9121</v>
      </c>
      <c r="E1343" s="1" t="str">
        <f>"4240"</f>
        <v>4240</v>
      </c>
      <c r="F1343" s="1" t="str">
        <f>"000222946"</f>
        <v>000222946</v>
      </c>
      <c r="G1343" s="1" t="s">
        <v>3503</v>
      </c>
      <c r="H1343" s="1" t="s">
        <v>16</v>
      </c>
      <c r="I1343" s="4" t="str">
        <f>"1"</f>
        <v>1</v>
      </c>
      <c r="J1343" s="2">
        <v>11.25</v>
      </c>
      <c r="K1343" s="3">
        <v>46147</v>
      </c>
      <c r="L1343" s="3">
        <v>46147</v>
      </c>
      <c r="M1343" s="1" t="s">
        <v>9110</v>
      </c>
      <c r="N1343" s="1" t="s">
        <v>9114</v>
      </c>
    </row>
    <row r="1344" spans="1:14" s="1" customFormat="1" x14ac:dyDescent="0.35">
      <c r="A1344" s="1" t="s">
        <v>0</v>
      </c>
      <c r="B1344" s="1" t="s">
        <v>2350</v>
      </c>
      <c r="C1344" s="1" t="s">
        <v>2696</v>
      </c>
      <c r="D1344" s="1" t="s">
        <v>9120</v>
      </c>
      <c r="E1344" s="1" t="str">
        <f>"7025"</f>
        <v>7025</v>
      </c>
      <c r="F1344" s="1" t="s">
        <v>1293</v>
      </c>
      <c r="G1344" s="1" t="s">
        <v>1294</v>
      </c>
      <c r="H1344" s="1" t="s">
        <v>16</v>
      </c>
      <c r="I1344" s="4" t="str">
        <f>"1"</f>
        <v>1</v>
      </c>
      <c r="J1344" s="2" t="str">
        <f>"400"</f>
        <v>400</v>
      </c>
      <c r="K1344" s="3">
        <v>46147</v>
      </c>
      <c r="L1344" s="3">
        <v>46147</v>
      </c>
      <c r="M1344" s="1" t="s">
        <v>9110</v>
      </c>
      <c r="N1344" s="1" t="s">
        <v>9119</v>
      </c>
    </row>
    <row r="1345" spans="1:14" s="1" customFormat="1" x14ac:dyDescent="0.35">
      <c r="A1345" s="1" t="s">
        <v>0</v>
      </c>
      <c r="B1345" s="1" t="s">
        <v>2350</v>
      </c>
      <c r="C1345" s="1" t="s">
        <v>2696</v>
      </c>
      <c r="D1345" s="1" t="s">
        <v>9118</v>
      </c>
      <c r="E1345" s="1" t="str">
        <f>"5120"</f>
        <v>5120</v>
      </c>
      <c r="F1345" s="1" t="str">
        <f>"005373375"</f>
        <v>005373375</v>
      </c>
      <c r="G1345" s="1" t="s">
        <v>9117</v>
      </c>
      <c r="H1345" s="1" t="s">
        <v>16</v>
      </c>
      <c r="I1345" s="4" t="str">
        <f>"1"</f>
        <v>1</v>
      </c>
      <c r="J1345" s="2">
        <v>13.82</v>
      </c>
      <c r="K1345" s="3">
        <v>46147</v>
      </c>
      <c r="L1345" s="3">
        <v>46147</v>
      </c>
      <c r="M1345" s="1" t="s">
        <v>9110</v>
      </c>
      <c r="N1345" s="1" t="s">
        <v>9116</v>
      </c>
    </row>
    <row r="1346" spans="1:14" s="1" customFormat="1" x14ac:dyDescent="0.35">
      <c r="A1346" s="1" t="s">
        <v>0</v>
      </c>
      <c r="B1346" s="1" t="s">
        <v>2350</v>
      </c>
      <c r="C1346" s="1" t="s">
        <v>2696</v>
      </c>
      <c r="D1346" s="1" t="s">
        <v>9115</v>
      </c>
      <c r="E1346" s="1" t="str">
        <f>"4240"</f>
        <v>4240</v>
      </c>
      <c r="F1346" s="1" t="str">
        <f>"000222946"</f>
        <v>000222946</v>
      </c>
      <c r="G1346" s="1" t="s">
        <v>3503</v>
      </c>
      <c r="H1346" s="1" t="s">
        <v>16</v>
      </c>
      <c r="I1346" s="4" t="str">
        <f>"1"</f>
        <v>1</v>
      </c>
      <c r="J1346" s="2">
        <v>11.25</v>
      </c>
      <c r="K1346" s="3">
        <v>46147</v>
      </c>
      <c r="L1346" s="3">
        <v>46147</v>
      </c>
      <c r="M1346" s="1" t="s">
        <v>9110</v>
      </c>
      <c r="N1346" s="1" t="s">
        <v>9114</v>
      </c>
    </row>
    <row r="1347" spans="1:14" s="1" customFormat="1" x14ac:dyDescent="0.35">
      <c r="A1347" s="1" t="s">
        <v>0</v>
      </c>
      <c r="B1347" s="1" t="s">
        <v>2350</v>
      </c>
      <c r="C1347" s="1" t="s">
        <v>2696</v>
      </c>
      <c r="D1347" s="1" t="s">
        <v>9113</v>
      </c>
      <c r="E1347" s="1" t="str">
        <f>"4940"</f>
        <v>4940</v>
      </c>
      <c r="F1347" s="1" t="str">
        <f>"015277531"</f>
        <v>015277531</v>
      </c>
      <c r="G1347" s="1" t="s">
        <v>9112</v>
      </c>
      <c r="H1347" s="1" t="s">
        <v>16</v>
      </c>
      <c r="I1347" s="4" t="str">
        <f>"4"</f>
        <v>4</v>
      </c>
      <c r="J1347" s="2">
        <v>195.59</v>
      </c>
      <c r="K1347" s="3">
        <v>46147</v>
      </c>
      <c r="L1347" s="3">
        <v>46147</v>
      </c>
      <c r="M1347" s="1" t="s">
        <v>9110</v>
      </c>
      <c r="N1347" s="1" t="s">
        <v>2705</v>
      </c>
    </row>
    <row r="1348" spans="1:14" s="1" customFormat="1" x14ac:dyDescent="0.35">
      <c r="A1348" s="1" t="s">
        <v>0</v>
      </c>
      <c r="B1348" s="1" t="s">
        <v>2350</v>
      </c>
      <c r="C1348" s="1" t="s">
        <v>2696</v>
      </c>
      <c r="D1348" s="1" t="s">
        <v>9111</v>
      </c>
      <c r="E1348" s="1" t="str">
        <f>"3805"</f>
        <v>3805</v>
      </c>
      <c r="F1348" s="1" t="str">
        <f>"015524487"</f>
        <v>015524487</v>
      </c>
      <c r="G1348" s="1" t="s">
        <v>6632</v>
      </c>
      <c r="H1348" s="1" t="s">
        <v>16</v>
      </c>
      <c r="I1348" s="4" t="str">
        <f>"1"</f>
        <v>1</v>
      </c>
      <c r="J1348" s="2" t="str">
        <f>"42630"</f>
        <v>42630</v>
      </c>
      <c r="K1348" s="3">
        <v>46147</v>
      </c>
      <c r="L1348" s="3">
        <v>46147</v>
      </c>
      <c r="M1348" s="1" t="s">
        <v>9110</v>
      </c>
      <c r="N1348" s="1" t="s">
        <v>9109</v>
      </c>
    </row>
    <row r="1349" spans="1:14" s="1" customFormat="1" x14ac:dyDescent="0.35">
      <c r="A1349" s="1" t="s">
        <v>5216</v>
      </c>
      <c r="B1349" s="1" t="s">
        <v>2350</v>
      </c>
      <c r="C1349" s="1" t="s">
        <v>2696</v>
      </c>
      <c r="D1349" s="1" t="s">
        <v>9108</v>
      </c>
      <c r="E1349" s="1" t="str">
        <f>"3750"</f>
        <v>3750</v>
      </c>
      <c r="F1349" s="1" t="s">
        <v>996</v>
      </c>
      <c r="G1349" s="1" t="s">
        <v>997</v>
      </c>
      <c r="H1349" s="1" t="s">
        <v>16</v>
      </c>
      <c r="I1349" s="4" t="str">
        <f>"1"</f>
        <v>1</v>
      </c>
      <c r="J1349" s="2" t="str">
        <f>"10660"</f>
        <v>10660</v>
      </c>
      <c r="K1349" s="3">
        <v>46147</v>
      </c>
      <c r="L1349" s="3">
        <v>46148</v>
      </c>
      <c r="M1349" s="1" t="s">
        <v>5224</v>
      </c>
      <c r="N1349" s="1" t="s">
        <v>9107</v>
      </c>
    </row>
    <row r="1350" spans="1:14" s="1" customFormat="1" x14ac:dyDescent="0.35">
      <c r="A1350" s="1" t="s">
        <v>5171</v>
      </c>
      <c r="B1350" s="1" t="s">
        <v>2350</v>
      </c>
      <c r="C1350" s="1" t="s">
        <v>2639</v>
      </c>
      <c r="D1350" s="1" t="s">
        <v>9106</v>
      </c>
      <c r="E1350" s="1" t="str">
        <f>"6230"</f>
        <v>6230</v>
      </c>
      <c r="F1350" s="1" t="str">
        <f>"015308890"</f>
        <v>015308890</v>
      </c>
      <c r="G1350" s="1" t="s">
        <v>3215</v>
      </c>
      <c r="H1350" s="1" t="s">
        <v>16</v>
      </c>
      <c r="I1350" s="4" t="str">
        <f>"1"</f>
        <v>1</v>
      </c>
      <c r="J1350" s="2" t="str">
        <f>"12000"</f>
        <v>12000</v>
      </c>
      <c r="K1350" s="3">
        <v>46083</v>
      </c>
      <c r="L1350" s="3">
        <v>46148</v>
      </c>
      <c r="M1350" s="1" t="s">
        <v>9105</v>
      </c>
      <c r="N1350" s="1" t="s">
        <v>9102</v>
      </c>
    </row>
    <row r="1351" spans="1:14" s="1" customFormat="1" x14ac:dyDescent="0.35">
      <c r="A1351" s="1" t="s">
        <v>5171</v>
      </c>
      <c r="B1351" s="1" t="s">
        <v>2350</v>
      </c>
      <c r="C1351" s="1" t="s">
        <v>2639</v>
      </c>
      <c r="D1351" s="1" t="s">
        <v>9104</v>
      </c>
      <c r="E1351" s="1" t="str">
        <f>"6230"</f>
        <v>6230</v>
      </c>
      <c r="F1351" s="1" t="str">
        <f>"016422435"</f>
        <v>016422435</v>
      </c>
      <c r="G1351" s="1" t="s">
        <v>8277</v>
      </c>
      <c r="H1351" s="1" t="s">
        <v>16</v>
      </c>
      <c r="I1351" s="4" t="str">
        <f>"1"</f>
        <v>1</v>
      </c>
      <c r="J1351" s="2">
        <v>19359.59</v>
      </c>
      <c r="K1351" s="3">
        <v>46083</v>
      </c>
      <c r="L1351" s="3">
        <v>46148</v>
      </c>
      <c r="M1351" s="1" t="s">
        <v>9103</v>
      </c>
      <c r="N1351" s="1" t="s">
        <v>9102</v>
      </c>
    </row>
    <row r="1352" spans="1:14" s="1" customFormat="1" x14ac:dyDescent="0.35">
      <c r="A1352" s="1" t="s">
        <v>5171</v>
      </c>
      <c r="B1352" s="1" t="s">
        <v>2350</v>
      </c>
      <c r="C1352" s="1" t="s">
        <v>2475</v>
      </c>
      <c r="D1352" s="1" t="s">
        <v>9101</v>
      </c>
      <c r="E1352" s="1" t="str">
        <f>"8465"</f>
        <v>8465</v>
      </c>
      <c r="F1352" s="1" t="str">
        <f>"016733364"</f>
        <v>016733364</v>
      </c>
      <c r="G1352" s="1" t="s">
        <v>653</v>
      </c>
      <c r="H1352" s="1" t="s">
        <v>458</v>
      </c>
      <c r="I1352" s="4" t="str">
        <f>"31"</f>
        <v>31</v>
      </c>
      <c r="J1352" s="2">
        <v>376.9</v>
      </c>
      <c r="K1352" s="3">
        <v>46148</v>
      </c>
      <c r="L1352" s="3">
        <v>46149</v>
      </c>
      <c r="M1352" s="1" t="s">
        <v>5167</v>
      </c>
      <c r="N1352" s="1" t="s">
        <v>9100</v>
      </c>
    </row>
    <row r="1353" spans="1:14" s="1" customFormat="1" x14ac:dyDescent="0.35">
      <c r="A1353" s="1" t="s">
        <v>5171</v>
      </c>
      <c r="B1353" s="1" t="s">
        <v>2350</v>
      </c>
      <c r="C1353" s="1" t="s">
        <v>2639</v>
      </c>
      <c r="D1353" s="1" t="s">
        <v>9099</v>
      </c>
      <c r="E1353" s="1" t="str">
        <f>"6115"</f>
        <v>6115</v>
      </c>
      <c r="F1353" s="1" t="s">
        <v>1106</v>
      </c>
      <c r="G1353" s="1" t="s">
        <v>1107</v>
      </c>
      <c r="H1353" s="1" t="s">
        <v>16</v>
      </c>
      <c r="I1353" s="4" t="str">
        <f>"1"</f>
        <v>1</v>
      </c>
      <c r="J1353" s="2" t="str">
        <f>"9700"</f>
        <v>9700</v>
      </c>
      <c r="K1353" s="3">
        <v>46077</v>
      </c>
      <c r="L1353" s="3">
        <v>46149</v>
      </c>
      <c r="M1353" s="1" t="s">
        <v>9098</v>
      </c>
      <c r="N1353" s="1" t="s">
        <v>9097</v>
      </c>
    </row>
    <row r="1354" spans="1:14" s="1" customFormat="1" x14ac:dyDescent="0.35">
      <c r="A1354" s="1" t="s">
        <v>5171</v>
      </c>
      <c r="B1354" s="1" t="s">
        <v>2350</v>
      </c>
      <c r="C1354" s="1" t="s">
        <v>2646</v>
      </c>
      <c r="D1354" s="1" t="s">
        <v>9096</v>
      </c>
      <c r="E1354" s="1" t="str">
        <f>"2320"</f>
        <v>2320</v>
      </c>
      <c r="F1354" s="1" t="str">
        <f>"013469317"</f>
        <v>013469317</v>
      </c>
      <c r="G1354" s="1" t="s">
        <v>414</v>
      </c>
      <c r="H1354" s="1" t="s">
        <v>16</v>
      </c>
      <c r="I1354" s="4" t="str">
        <f>"1"</f>
        <v>1</v>
      </c>
      <c r="J1354" s="2" t="str">
        <f>"94171"</f>
        <v>94171</v>
      </c>
      <c r="K1354" s="3">
        <v>46105</v>
      </c>
      <c r="L1354" s="3">
        <v>46149</v>
      </c>
      <c r="M1354" s="1" t="s">
        <v>9095</v>
      </c>
      <c r="N1354" s="1" t="s">
        <v>9094</v>
      </c>
    </row>
    <row r="1355" spans="1:14" s="1" customFormat="1" x14ac:dyDescent="0.35">
      <c r="A1355" s="1" t="s">
        <v>5171</v>
      </c>
      <c r="B1355" s="1" t="s">
        <v>2350</v>
      </c>
      <c r="C1355" s="1" t="s">
        <v>2646</v>
      </c>
      <c r="D1355" s="1" t="s">
        <v>9093</v>
      </c>
      <c r="E1355" s="1" t="str">
        <f>"2320"</f>
        <v>2320</v>
      </c>
      <c r="F1355" s="1" t="str">
        <f>"014476343"</f>
        <v>014476343</v>
      </c>
      <c r="G1355" s="1" t="s">
        <v>271</v>
      </c>
      <c r="H1355" s="1" t="s">
        <v>16</v>
      </c>
      <c r="I1355" s="4" t="str">
        <f>"1"</f>
        <v>1</v>
      </c>
      <c r="J1355" s="2" t="str">
        <f>"176428"</f>
        <v>176428</v>
      </c>
      <c r="K1355" s="3">
        <v>46105</v>
      </c>
      <c r="L1355" s="3">
        <v>46149</v>
      </c>
      <c r="M1355" s="1" t="s">
        <v>9092</v>
      </c>
      <c r="N1355" s="1" t="s">
        <v>9091</v>
      </c>
    </row>
    <row r="1356" spans="1:14" s="1" customFormat="1" x14ac:dyDescent="0.35">
      <c r="A1356" s="1" t="s">
        <v>5216</v>
      </c>
      <c r="B1356" s="1" t="s">
        <v>2350</v>
      </c>
      <c r="C1356" s="1" t="s">
        <v>2442</v>
      </c>
      <c r="D1356" s="1" t="s">
        <v>9090</v>
      </c>
      <c r="E1356" s="1" t="str">
        <f>"1240"</f>
        <v>1240</v>
      </c>
      <c r="F1356" s="1" t="str">
        <f>"015065920"</f>
        <v>015065920</v>
      </c>
      <c r="G1356" s="1" t="s">
        <v>175</v>
      </c>
      <c r="H1356" s="1" t="s">
        <v>16</v>
      </c>
      <c r="I1356" s="4" t="str">
        <f>"6"</f>
        <v>6</v>
      </c>
      <c r="J1356" s="2">
        <v>1185.0999999999999</v>
      </c>
      <c r="K1356" s="3">
        <v>46149</v>
      </c>
      <c r="L1356" s="3">
        <v>46150</v>
      </c>
      <c r="M1356" s="1" t="s">
        <v>5214</v>
      </c>
      <c r="N1356" s="1" t="s">
        <v>9089</v>
      </c>
    </row>
    <row r="1357" spans="1:14" s="1" customFormat="1" x14ac:dyDescent="0.35">
      <c r="A1357" s="1" t="s">
        <v>5171</v>
      </c>
      <c r="B1357" s="1" t="s">
        <v>2350</v>
      </c>
      <c r="C1357" s="1" t="s">
        <v>2659</v>
      </c>
      <c r="D1357" s="1" t="s">
        <v>9088</v>
      </c>
      <c r="E1357" s="1" t="str">
        <f>"3930"</f>
        <v>3930</v>
      </c>
      <c r="F1357" s="1" t="s">
        <v>1476</v>
      </c>
      <c r="G1357" s="1" t="s">
        <v>1477</v>
      </c>
      <c r="H1357" s="1" t="s">
        <v>16</v>
      </c>
      <c r="I1357" s="4" t="str">
        <f>"1"</f>
        <v>1</v>
      </c>
      <c r="J1357" s="2" t="str">
        <f>"25579"</f>
        <v>25579</v>
      </c>
      <c r="K1357" s="3">
        <v>46149</v>
      </c>
      <c r="L1357" s="3">
        <v>46151</v>
      </c>
      <c r="M1357" s="1" t="s">
        <v>9087</v>
      </c>
      <c r="N1357" s="1" t="s">
        <v>9086</v>
      </c>
    </row>
    <row r="1358" spans="1:14" s="1" customFormat="1" x14ac:dyDescent="0.35">
      <c r="A1358" s="1" t="s">
        <v>5171</v>
      </c>
      <c r="B1358" s="1" t="s">
        <v>2350</v>
      </c>
      <c r="C1358" s="1" t="s">
        <v>2696</v>
      </c>
      <c r="D1358" s="1" t="s">
        <v>9085</v>
      </c>
      <c r="E1358" s="1" t="str">
        <f>"7810"</f>
        <v>7810</v>
      </c>
      <c r="F1358" s="1" t="s">
        <v>2712</v>
      </c>
      <c r="G1358" s="1" t="s">
        <v>2713</v>
      </c>
      <c r="H1358" s="1" t="s">
        <v>16</v>
      </c>
      <c r="I1358" s="4" t="str">
        <f>"1"</f>
        <v>1</v>
      </c>
      <c r="J1358" s="2" t="str">
        <f>"1429"</f>
        <v>1429</v>
      </c>
      <c r="K1358" s="3">
        <v>46147</v>
      </c>
      <c r="L1358" s="3">
        <v>46151</v>
      </c>
      <c r="M1358" s="1" t="s">
        <v>9084</v>
      </c>
      <c r="N1358" s="1" t="s">
        <v>2714</v>
      </c>
    </row>
    <row r="1359" spans="1:14" s="1" customFormat="1" x14ac:dyDescent="0.35">
      <c r="A1359" s="1" t="s">
        <v>5171</v>
      </c>
      <c r="B1359" s="1" t="s">
        <v>2350</v>
      </c>
      <c r="C1359" s="1" t="s">
        <v>2696</v>
      </c>
      <c r="D1359" s="1" t="s">
        <v>9083</v>
      </c>
      <c r="E1359" s="1" t="str">
        <f>"1240"</f>
        <v>1240</v>
      </c>
      <c r="F1359" s="1" t="str">
        <f>"015171751"</f>
        <v>015171751</v>
      </c>
      <c r="G1359" s="1" t="s">
        <v>7304</v>
      </c>
      <c r="H1359" s="1" t="s">
        <v>16</v>
      </c>
      <c r="I1359" s="4" t="str">
        <f>"2"</f>
        <v>2</v>
      </c>
      <c r="J1359" s="2" t="str">
        <f>"280"</f>
        <v>280</v>
      </c>
      <c r="K1359" s="3">
        <v>46153</v>
      </c>
      <c r="L1359" s="3">
        <v>46154</v>
      </c>
      <c r="M1359" s="1" t="s">
        <v>5167</v>
      </c>
      <c r="N1359" s="1" t="s">
        <v>9082</v>
      </c>
    </row>
    <row r="1360" spans="1:14" s="1" customFormat="1" x14ac:dyDescent="0.35">
      <c r="A1360" s="1" t="s">
        <v>5171</v>
      </c>
      <c r="B1360" s="1" t="s">
        <v>2350</v>
      </c>
      <c r="C1360" s="1" t="s">
        <v>2475</v>
      </c>
      <c r="D1360" s="1" t="s">
        <v>9081</v>
      </c>
      <c r="E1360" s="1" t="str">
        <f>"2340"</f>
        <v>2340</v>
      </c>
      <c r="F1360" s="1" t="s">
        <v>61</v>
      </c>
      <c r="G1360" s="1" t="s">
        <v>62</v>
      </c>
      <c r="H1360" s="1" t="s">
        <v>16</v>
      </c>
      <c r="I1360" s="4" t="str">
        <f>"1"</f>
        <v>1</v>
      </c>
      <c r="J1360" s="2" t="str">
        <f>"13803"</f>
        <v>13803</v>
      </c>
      <c r="K1360" s="3">
        <v>46128</v>
      </c>
      <c r="L1360" s="3">
        <v>46156</v>
      </c>
      <c r="M1360" s="1" t="s">
        <v>9080</v>
      </c>
      <c r="N1360" s="1" t="s">
        <v>2483</v>
      </c>
    </row>
    <row r="1361" spans="1:14" s="1" customFormat="1" x14ac:dyDescent="0.35">
      <c r="A1361" s="1" t="s">
        <v>5171</v>
      </c>
      <c r="B1361" s="1" t="s">
        <v>2350</v>
      </c>
      <c r="C1361" s="1" t="s">
        <v>2475</v>
      </c>
      <c r="D1361" s="1" t="s">
        <v>9079</v>
      </c>
      <c r="E1361" s="1" t="str">
        <f>"2340"</f>
        <v>2340</v>
      </c>
      <c r="F1361" s="1" t="s">
        <v>61</v>
      </c>
      <c r="G1361" s="1" t="s">
        <v>62</v>
      </c>
      <c r="H1361" s="1" t="s">
        <v>16</v>
      </c>
      <c r="I1361" s="4" t="str">
        <f>"1"</f>
        <v>1</v>
      </c>
      <c r="J1361" s="2" t="str">
        <f>"10299"</f>
        <v>10299</v>
      </c>
      <c r="K1361" s="3">
        <v>46128</v>
      </c>
      <c r="L1361" s="3">
        <v>46156</v>
      </c>
      <c r="M1361" s="1" t="s">
        <v>9078</v>
      </c>
      <c r="N1361" s="1" t="s">
        <v>2483</v>
      </c>
    </row>
    <row r="1362" spans="1:14" s="1" customFormat="1" x14ac:dyDescent="0.35">
      <c r="A1362" s="1" t="s">
        <v>5171</v>
      </c>
      <c r="B1362" s="1" t="s">
        <v>2350</v>
      </c>
      <c r="C1362" s="1" t="s">
        <v>2601</v>
      </c>
      <c r="D1362" s="1" t="s">
        <v>9077</v>
      </c>
      <c r="E1362" s="1" t="str">
        <f>"6760"</f>
        <v>6760</v>
      </c>
      <c r="F1362" s="1" t="str">
        <f>"017026103"</f>
        <v>017026103</v>
      </c>
      <c r="G1362" s="1" t="s">
        <v>9076</v>
      </c>
      <c r="H1362" s="1" t="s">
        <v>16</v>
      </c>
      <c r="I1362" s="4" t="str">
        <f>"1"</f>
        <v>1</v>
      </c>
      <c r="J1362" s="2">
        <v>10900.95</v>
      </c>
      <c r="K1362" s="3">
        <v>46150</v>
      </c>
      <c r="L1362" s="3">
        <v>46156</v>
      </c>
      <c r="M1362" s="1" t="s">
        <v>9075</v>
      </c>
      <c r="N1362" s="1" t="s">
        <v>9074</v>
      </c>
    </row>
    <row r="1363" spans="1:14" s="1" customFormat="1" x14ac:dyDescent="0.35">
      <c r="A1363" s="1" t="s">
        <v>5171</v>
      </c>
      <c r="B1363" s="1" t="s">
        <v>2350</v>
      </c>
      <c r="C1363" s="1" t="s">
        <v>2696</v>
      </c>
      <c r="D1363" s="1" t="s">
        <v>9073</v>
      </c>
      <c r="E1363" s="1" t="str">
        <f>"3930"</f>
        <v>3930</v>
      </c>
      <c r="F1363" s="1" t="s">
        <v>1476</v>
      </c>
      <c r="G1363" s="1" t="s">
        <v>1477</v>
      </c>
      <c r="H1363" s="1" t="s">
        <v>16</v>
      </c>
      <c r="I1363" s="4" t="str">
        <f>"1"</f>
        <v>1</v>
      </c>
      <c r="J1363" s="2" t="str">
        <f>"25579"</f>
        <v>25579</v>
      </c>
      <c r="K1363" s="3">
        <v>46147</v>
      </c>
      <c r="L1363" s="3">
        <v>46157</v>
      </c>
      <c r="M1363" s="1" t="s">
        <v>9072</v>
      </c>
      <c r="N1363" s="1" t="s">
        <v>9071</v>
      </c>
    </row>
    <row r="1364" spans="1:14" s="1" customFormat="1" x14ac:dyDescent="0.35">
      <c r="A1364" s="1" t="s">
        <v>5171</v>
      </c>
      <c r="B1364" s="1" t="s">
        <v>2350</v>
      </c>
      <c r="C1364" s="1" t="s">
        <v>2696</v>
      </c>
      <c r="D1364" s="1" t="s">
        <v>9070</v>
      </c>
      <c r="E1364" s="1" t="str">
        <f>"3930"</f>
        <v>3930</v>
      </c>
      <c r="F1364" s="1" t="s">
        <v>1476</v>
      </c>
      <c r="G1364" s="1" t="s">
        <v>1477</v>
      </c>
      <c r="H1364" s="1" t="s">
        <v>16</v>
      </c>
      <c r="I1364" s="4" t="str">
        <f>"1"</f>
        <v>1</v>
      </c>
      <c r="J1364" s="2" t="str">
        <f>"37984"</f>
        <v>37984</v>
      </c>
      <c r="K1364" s="3">
        <v>46147</v>
      </c>
      <c r="L1364" s="3">
        <v>46157</v>
      </c>
      <c r="M1364" s="1" t="s">
        <v>9069</v>
      </c>
      <c r="N1364" s="1" t="s">
        <v>9068</v>
      </c>
    </row>
    <row r="1365" spans="1:14" s="1" customFormat="1" x14ac:dyDescent="0.35">
      <c r="A1365" s="1" t="s">
        <v>5171</v>
      </c>
      <c r="B1365" s="1" t="s">
        <v>2350</v>
      </c>
      <c r="C1365" s="1" t="s">
        <v>2456</v>
      </c>
      <c r="D1365" s="1" t="s">
        <v>9067</v>
      </c>
      <c r="E1365" s="1" t="str">
        <f>"2330"</f>
        <v>2330</v>
      </c>
      <c r="F1365" s="1" t="s">
        <v>70</v>
      </c>
      <c r="G1365" s="1" t="s">
        <v>71</v>
      </c>
      <c r="H1365" s="1" t="s">
        <v>16</v>
      </c>
      <c r="I1365" s="4" t="str">
        <f>"3"</f>
        <v>3</v>
      </c>
      <c r="J1365" s="2" t="str">
        <f>"9295"</f>
        <v>9295</v>
      </c>
      <c r="K1365" s="3">
        <v>46146</v>
      </c>
      <c r="L1365" s="3">
        <v>46158</v>
      </c>
      <c r="M1365" s="1" t="s">
        <v>9066</v>
      </c>
      <c r="N1365" s="1" t="s">
        <v>9065</v>
      </c>
    </row>
    <row r="1366" spans="1:14" s="1" customFormat="1" x14ac:dyDescent="0.35">
      <c r="A1366" s="1" t="s">
        <v>5171</v>
      </c>
      <c r="B1366" s="1" t="s">
        <v>2350</v>
      </c>
      <c r="C1366" s="1" t="s">
        <v>2456</v>
      </c>
      <c r="D1366" s="1" t="s">
        <v>9064</v>
      </c>
      <c r="E1366" s="1" t="str">
        <f>"2330"</f>
        <v>2330</v>
      </c>
      <c r="F1366" s="1" t="s">
        <v>70</v>
      </c>
      <c r="G1366" s="1" t="s">
        <v>71</v>
      </c>
      <c r="H1366" s="1" t="s">
        <v>16</v>
      </c>
      <c r="I1366" s="4" t="str">
        <f>"1"</f>
        <v>1</v>
      </c>
      <c r="J1366" s="2" t="str">
        <f>"6111"</f>
        <v>6111</v>
      </c>
      <c r="K1366" s="3">
        <v>46146</v>
      </c>
      <c r="L1366" s="3">
        <v>46158</v>
      </c>
      <c r="M1366" s="1" t="s">
        <v>9063</v>
      </c>
      <c r="N1366" s="1" t="s">
        <v>9062</v>
      </c>
    </row>
    <row r="1367" spans="1:14" s="1" customFormat="1" x14ac:dyDescent="0.35">
      <c r="A1367" s="1" t="s">
        <v>5171</v>
      </c>
      <c r="B1367" s="1" t="s">
        <v>2350</v>
      </c>
      <c r="C1367" s="1" t="s">
        <v>2456</v>
      </c>
      <c r="D1367" s="1" t="s">
        <v>9061</v>
      </c>
      <c r="E1367" s="1" t="str">
        <f>"2330"</f>
        <v>2330</v>
      </c>
      <c r="F1367" s="1" t="s">
        <v>70</v>
      </c>
      <c r="G1367" s="1" t="s">
        <v>71</v>
      </c>
      <c r="H1367" s="1" t="s">
        <v>16</v>
      </c>
      <c r="I1367" s="4" t="str">
        <f>"1"</f>
        <v>1</v>
      </c>
      <c r="J1367" s="2" t="str">
        <f>"10000"</f>
        <v>10000</v>
      </c>
      <c r="K1367" s="3">
        <v>46146</v>
      </c>
      <c r="L1367" s="3">
        <v>46158</v>
      </c>
      <c r="M1367" s="1" t="s">
        <v>9060</v>
      </c>
      <c r="N1367" s="1" t="s">
        <v>9059</v>
      </c>
    </row>
    <row r="1368" spans="1:14" s="1" customFormat="1" x14ac:dyDescent="0.35">
      <c r="A1368" s="1" t="s">
        <v>5171</v>
      </c>
      <c r="B1368" s="1" t="s">
        <v>2350</v>
      </c>
      <c r="C1368" s="1" t="s">
        <v>2475</v>
      </c>
      <c r="D1368" s="1" t="s">
        <v>9058</v>
      </c>
      <c r="E1368" s="1" t="str">
        <f>"2330"</f>
        <v>2330</v>
      </c>
      <c r="F1368" s="1" t="s">
        <v>70</v>
      </c>
      <c r="G1368" s="1" t="s">
        <v>71</v>
      </c>
      <c r="H1368" s="1" t="s">
        <v>16</v>
      </c>
      <c r="I1368" s="4" t="str">
        <f>"2"</f>
        <v>2</v>
      </c>
      <c r="J1368" s="2" t="str">
        <f>"9295"</f>
        <v>9295</v>
      </c>
      <c r="K1368" s="3">
        <v>46145</v>
      </c>
      <c r="L1368" s="3">
        <v>46158</v>
      </c>
      <c r="M1368" s="1" t="s">
        <v>9057</v>
      </c>
      <c r="N1368" s="1" t="s">
        <v>9056</v>
      </c>
    </row>
    <row r="1369" spans="1:14" s="1" customFormat="1" x14ac:dyDescent="0.35">
      <c r="A1369" s="1" t="s">
        <v>5171</v>
      </c>
      <c r="B1369" s="1" t="s">
        <v>2350</v>
      </c>
      <c r="C1369" s="1" t="s">
        <v>2475</v>
      </c>
      <c r="D1369" s="1" t="s">
        <v>9055</v>
      </c>
      <c r="E1369" s="1" t="str">
        <f>"2330"</f>
        <v>2330</v>
      </c>
      <c r="F1369" s="1" t="s">
        <v>70</v>
      </c>
      <c r="G1369" s="1" t="s">
        <v>71</v>
      </c>
      <c r="H1369" s="1" t="s">
        <v>16</v>
      </c>
      <c r="I1369" s="4" t="str">
        <f>"1"</f>
        <v>1</v>
      </c>
      <c r="J1369" s="2" t="str">
        <f>"7500"</f>
        <v>7500</v>
      </c>
      <c r="K1369" s="3">
        <v>46145</v>
      </c>
      <c r="L1369" s="3">
        <v>46158</v>
      </c>
      <c r="M1369" s="1" t="s">
        <v>9054</v>
      </c>
      <c r="N1369" s="1" t="s">
        <v>9053</v>
      </c>
    </row>
    <row r="1370" spans="1:14" s="1" customFormat="1" x14ac:dyDescent="0.35">
      <c r="A1370" s="1" t="s">
        <v>5171</v>
      </c>
      <c r="B1370" s="1" t="s">
        <v>2350</v>
      </c>
      <c r="C1370" s="1" t="s">
        <v>2475</v>
      </c>
      <c r="D1370" s="1" t="s">
        <v>9052</v>
      </c>
      <c r="E1370" s="1" t="str">
        <f>"4940"</f>
        <v>4940</v>
      </c>
      <c r="F1370" s="1" t="str">
        <f>"015998421"</f>
        <v>015998421</v>
      </c>
      <c r="G1370" s="1" t="s">
        <v>1312</v>
      </c>
      <c r="H1370" s="1" t="s">
        <v>16</v>
      </c>
      <c r="I1370" s="4" t="str">
        <f>"1"</f>
        <v>1</v>
      </c>
      <c r="J1370" s="2" t="str">
        <f>"16000"</f>
        <v>16000</v>
      </c>
      <c r="K1370" s="3">
        <v>46149</v>
      </c>
      <c r="L1370" s="3">
        <v>46158</v>
      </c>
      <c r="M1370" s="1" t="s">
        <v>9051</v>
      </c>
      <c r="N1370" s="1" t="s">
        <v>9050</v>
      </c>
    </row>
    <row r="1371" spans="1:14" s="1" customFormat="1" x14ac:dyDescent="0.35">
      <c r="A1371" s="1" t="s">
        <v>5171</v>
      </c>
      <c r="B1371" s="1" t="s">
        <v>2350</v>
      </c>
      <c r="C1371" s="1" t="s">
        <v>2543</v>
      </c>
      <c r="D1371" s="1" t="s">
        <v>9049</v>
      </c>
      <c r="E1371" s="1" t="str">
        <f>"2330"</f>
        <v>2330</v>
      </c>
      <c r="F1371" s="1" t="s">
        <v>70</v>
      </c>
      <c r="G1371" s="1" t="s">
        <v>71</v>
      </c>
      <c r="H1371" s="1" t="s">
        <v>16</v>
      </c>
      <c r="I1371" s="4" t="str">
        <f>"1"</f>
        <v>1</v>
      </c>
      <c r="J1371" s="2" t="str">
        <f>"6111"</f>
        <v>6111</v>
      </c>
      <c r="K1371" s="3">
        <v>46146</v>
      </c>
      <c r="L1371" s="3">
        <v>46158</v>
      </c>
      <c r="M1371" s="1" t="s">
        <v>9048</v>
      </c>
      <c r="N1371" s="1" t="s">
        <v>9047</v>
      </c>
    </row>
    <row r="1372" spans="1:14" s="1" customFormat="1" x14ac:dyDescent="0.35">
      <c r="A1372" s="1" t="s">
        <v>5171</v>
      </c>
      <c r="B1372" s="1" t="s">
        <v>2350</v>
      </c>
      <c r="C1372" s="1" t="s">
        <v>2543</v>
      </c>
      <c r="D1372" s="1" t="s">
        <v>9046</v>
      </c>
      <c r="E1372" s="1" t="str">
        <f>"2330"</f>
        <v>2330</v>
      </c>
      <c r="F1372" s="1" t="s">
        <v>70</v>
      </c>
      <c r="G1372" s="1" t="s">
        <v>71</v>
      </c>
      <c r="H1372" s="1" t="s">
        <v>16</v>
      </c>
      <c r="I1372" s="4" t="str">
        <f>"2"</f>
        <v>2</v>
      </c>
      <c r="J1372" s="2" t="str">
        <f>"9295"</f>
        <v>9295</v>
      </c>
      <c r="K1372" s="3">
        <v>46146</v>
      </c>
      <c r="L1372" s="3">
        <v>46158</v>
      </c>
      <c r="M1372" s="1" t="s">
        <v>9045</v>
      </c>
      <c r="N1372" s="1" t="s">
        <v>9044</v>
      </c>
    </row>
    <row r="1373" spans="1:14" s="1" customFormat="1" x14ac:dyDescent="0.35">
      <c r="A1373" s="1" t="s">
        <v>5230</v>
      </c>
      <c r="B1373" s="1" t="s">
        <v>2350</v>
      </c>
      <c r="C1373" s="1" t="s">
        <v>2354</v>
      </c>
      <c r="D1373" s="1" t="s">
        <v>9043</v>
      </c>
      <c r="E1373" s="1" t="str">
        <f>"1005"</f>
        <v>1005</v>
      </c>
      <c r="F1373" s="1" t="str">
        <f>"017071744"</f>
        <v>017071744</v>
      </c>
      <c r="G1373" s="1" t="s">
        <v>3040</v>
      </c>
      <c r="H1373" s="1" t="s">
        <v>16</v>
      </c>
      <c r="I1373" s="4" t="str">
        <f>"4"</f>
        <v>4</v>
      </c>
      <c r="J1373" s="2">
        <v>109.89</v>
      </c>
      <c r="K1373" s="3">
        <v>46159</v>
      </c>
      <c r="L1373" s="3">
        <v>46159</v>
      </c>
      <c r="N1373" s="1" t="s">
        <v>9038</v>
      </c>
    </row>
    <row r="1374" spans="1:14" s="1" customFormat="1" x14ac:dyDescent="0.35">
      <c r="A1374" s="1" t="s">
        <v>5230</v>
      </c>
      <c r="B1374" s="1" t="s">
        <v>2350</v>
      </c>
      <c r="C1374" s="1" t="s">
        <v>2354</v>
      </c>
      <c r="D1374" s="1" t="s">
        <v>9042</v>
      </c>
      <c r="E1374" s="1" t="str">
        <f>"8415"</f>
        <v>8415</v>
      </c>
      <c r="F1374" s="1" t="str">
        <f>"015435040"</f>
        <v>015435040</v>
      </c>
      <c r="G1374" s="1" t="s">
        <v>2386</v>
      </c>
      <c r="H1374" s="1" t="s">
        <v>16</v>
      </c>
      <c r="I1374" s="4" t="str">
        <f>"31"</f>
        <v>31</v>
      </c>
      <c r="J1374" s="2">
        <v>94.15</v>
      </c>
      <c r="K1374" s="3">
        <v>46159</v>
      </c>
      <c r="L1374" s="3">
        <v>46159</v>
      </c>
      <c r="N1374" s="1" t="s">
        <v>9038</v>
      </c>
    </row>
    <row r="1375" spans="1:14" s="1" customFormat="1" x14ac:dyDescent="0.35">
      <c r="A1375" s="1" t="s">
        <v>5230</v>
      </c>
      <c r="B1375" s="1" t="s">
        <v>2350</v>
      </c>
      <c r="C1375" s="1" t="s">
        <v>2354</v>
      </c>
      <c r="D1375" s="1" t="s">
        <v>9041</v>
      </c>
      <c r="E1375" s="1" t="str">
        <f>"8415"</f>
        <v>8415</v>
      </c>
      <c r="F1375" s="1" t="str">
        <f>"015437004"</f>
        <v>015437004</v>
      </c>
      <c r="G1375" s="1" t="s">
        <v>2403</v>
      </c>
      <c r="H1375" s="1" t="s">
        <v>16</v>
      </c>
      <c r="I1375" s="4" t="str">
        <f>"6"</f>
        <v>6</v>
      </c>
      <c r="J1375" s="2">
        <v>108.14</v>
      </c>
      <c r="K1375" s="3">
        <v>46159</v>
      </c>
      <c r="L1375" s="3">
        <v>46159</v>
      </c>
      <c r="N1375" s="1" t="s">
        <v>9038</v>
      </c>
    </row>
    <row r="1376" spans="1:14" s="1" customFormat="1" x14ac:dyDescent="0.35">
      <c r="A1376" s="1" t="s">
        <v>5230</v>
      </c>
      <c r="B1376" s="1" t="s">
        <v>2350</v>
      </c>
      <c r="C1376" s="1" t="s">
        <v>2354</v>
      </c>
      <c r="D1376" s="1" t="s">
        <v>9040</v>
      </c>
      <c r="E1376" s="1" t="str">
        <f>"8415"</f>
        <v>8415</v>
      </c>
      <c r="F1376" s="1" t="str">
        <f>"015437104"</f>
        <v>015437104</v>
      </c>
      <c r="G1376" s="1" t="s">
        <v>2167</v>
      </c>
      <c r="H1376" s="1" t="s">
        <v>16</v>
      </c>
      <c r="I1376" s="4" t="str">
        <f>"9"</f>
        <v>9</v>
      </c>
      <c r="J1376" s="2">
        <v>72.94</v>
      </c>
      <c r="K1376" s="3">
        <v>46159</v>
      </c>
      <c r="L1376" s="3">
        <v>46159</v>
      </c>
      <c r="N1376" s="1" t="s">
        <v>9038</v>
      </c>
    </row>
    <row r="1377" spans="1:14" s="1" customFormat="1" x14ac:dyDescent="0.35">
      <c r="A1377" s="1" t="s">
        <v>5230</v>
      </c>
      <c r="B1377" s="1" t="s">
        <v>2350</v>
      </c>
      <c r="C1377" s="1" t="s">
        <v>2354</v>
      </c>
      <c r="D1377" s="1" t="s">
        <v>9039</v>
      </c>
      <c r="E1377" s="1" t="str">
        <f>"8415"</f>
        <v>8415</v>
      </c>
      <c r="F1377" s="1" t="str">
        <f>"015437090"</f>
        <v>015437090</v>
      </c>
      <c r="G1377" s="1" t="s">
        <v>2167</v>
      </c>
      <c r="H1377" s="1" t="s">
        <v>16</v>
      </c>
      <c r="I1377" s="4" t="str">
        <f>"10"</f>
        <v>10</v>
      </c>
      <c r="J1377" s="2">
        <v>72.94</v>
      </c>
      <c r="K1377" s="3">
        <v>46159</v>
      </c>
      <c r="L1377" s="3">
        <v>46159</v>
      </c>
      <c r="N1377" s="1" t="s">
        <v>9038</v>
      </c>
    </row>
    <row r="1378" spans="1:14" s="1" customFormat="1" x14ac:dyDescent="0.35">
      <c r="A1378" s="1" t="s">
        <v>5171</v>
      </c>
      <c r="B1378" s="1" t="s">
        <v>2350</v>
      </c>
      <c r="C1378" s="1" t="s">
        <v>2442</v>
      </c>
      <c r="D1378" s="1" t="s">
        <v>9037</v>
      </c>
      <c r="E1378" s="1" t="str">
        <f>"1240"</f>
        <v>1240</v>
      </c>
      <c r="F1378" s="1" t="str">
        <f>"015065920"</f>
        <v>015065920</v>
      </c>
      <c r="G1378" s="1" t="s">
        <v>175</v>
      </c>
      <c r="H1378" s="1" t="s">
        <v>16</v>
      </c>
      <c r="I1378" s="4" t="str">
        <f>"4"</f>
        <v>4</v>
      </c>
      <c r="J1378" s="2">
        <v>1185.0999999999999</v>
      </c>
      <c r="K1378" s="3">
        <v>46150</v>
      </c>
      <c r="L1378" s="3">
        <v>46159</v>
      </c>
      <c r="M1378" s="1" t="s">
        <v>5167</v>
      </c>
      <c r="N1378" s="1" t="s">
        <v>9036</v>
      </c>
    </row>
    <row r="1379" spans="1:14" s="1" customFormat="1" x14ac:dyDescent="0.35">
      <c r="A1379" s="1" t="s">
        <v>5171</v>
      </c>
      <c r="B1379" s="1" t="s">
        <v>2350</v>
      </c>
      <c r="C1379" s="1" t="s">
        <v>2475</v>
      </c>
      <c r="D1379" s="1" t="s">
        <v>9035</v>
      </c>
      <c r="E1379" s="1" t="str">
        <f>"1550"</f>
        <v>1550</v>
      </c>
      <c r="F1379" s="1" t="str">
        <f>"015732115"</f>
        <v>015732115</v>
      </c>
      <c r="G1379" s="1" t="s">
        <v>203</v>
      </c>
      <c r="H1379" s="1" t="s">
        <v>16</v>
      </c>
      <c r="I1379" s="4" t="str">
        <f>"1"</f>
        <v>1</v>
      </c>
      <c r="J1379" s="2" t="str">
        <f>"34667"</f>
        <v>34667</v>
      </c>
      <c r="K1379" s="3">
        <v>46159</v>
      </c>
      <c r="L1379" s="3">
        <v>46160</v>
      </c>
      <c r="M1379" s="1" t="s">
        <v>5167</v>
      </c>
      <c r="N1379" s="1" t="s">
        <v>9034</v>
      </c>
    </row>
    <row r="1380" spans="1:14" s="1" customFormat="1" x14ac:dyDescent="0.35">
      <c r="A1380" s="1" t="s">
        <v>5171</v>
      </c>
      <c r="B1380" s="1" t="s">
        <v>2350</v>
      </c>
      <c r="C1380" s="1" t="s">
        <v>2696</v>
      </c>
      <c r="D1380" s="1" t="s">
        <v>9033</v>
      </c>
      <c r="E1380" s="1" t="str">
        <f>"4910"</f>
        <v>4910</v>
      </c>
      <c r="F1380" s="1" t="s">
        <v>2425</v>
      </c>
      <c r="G1380" s="1" t="s">
        <v>2426</v>
      </c>
      <c r="H1380" s="1" t="s">
        <v>16</v>
      </c>
      <c r="I1380" s="4" t="str">
        <f>"1"</f>
        <v>1</v>
      </c>
      <c r="J1380" s="2">
        <v>9707.36</v>
      </c>
      <c r="K1380" s="3">
        <v>46147</v>
      </c>
      <c r="L1380" s="3">
        <v>46161</v>
      </c>
      <c r="M1380" s="1" t="s">
        <v>9032</v>
      </c>
      <c r="N1380" s="1" t="s">
        <v>2701</v>
      </c>
    </row>
    <row r="1381" spans="1:14" s="1" customFormat="1" x14ac:dyDescent="0.35">
      <c r="A1381" s="1" t="s">
        <v>5171</v>
      </c>
      <c r="B1381" s="1" t="s">
        <v>2350</v>
      </c>
      <c r="C1381" s="1" t="s">
        <v>2475</v>
      </c>
      <c r="D1381" s="1" t="s">
        <v>9031</v>
      </c>
      <c r="E1381" s="1" t="str">
        <f>"6130"</f>
        <v>6130</v>
      </c>
      <c r="F1381" s="1" t="s">
        <v>4848</v>
      </c>
      <c r="G1381" s="1" t="s">
        <v>4849</v>
      </c>
      <c r="H1381" s="1" t="s">
        <v>16</v>
      </c>
      <c r="I1381" s="4" t="str">
        <f>"3"</f>
        <v>3</v>
      </c>
      <c r="J1381" s="2">
        <v>554.61</v>
      </c>
      <c r="K1381" s="3">
        <v>46159</v>
      </c>
      <c r="L1381" s="3">
        <v>46162</v>
      </c>
      <c r="M1381" s="1" t="s">
        <v>9030</v>
      </c>
      <c r="N1381" s="1" t="s">
        <v>9029</v>
      </c>
    </row>
    <row r="1382" spans="1:14" s="1" customFormat="1" x14ac:dyDescent="0.35">
      <c r="A1382" s="1" t="s">
        <v>5171</v>
      </c>
      <c r="B1382" s="1" t="s">
        <v>2350</v>
      </c>
      <c r="C1382" s="1" t="s">
        <v>2475</v>
      </c>
      <c r="D1382" s="1" t="s">
        <v>9028</v>
      </c>
      <c r="E1382" s="1" t="str">
        <f>"4240"</f>
        <v>4240</v>
      </c>
      <c r="F1382" s="1" t="str">
        <f>"016308327"</f>
        <v>016308327</v>
      </c>
      <c r="G1382" s="1" t="s">
        <v>561</v>
      </c>
      <c r="H1382" s="1" t="s">
        <v>16</v>
      </c>
      <c r="I1382" s="4" t="str">
        <f>"90"</f>
        <v>90</v>
      </c>
      <c r="J1382" s="2">
        <v>48.01</v>
      </c>
      <c r="K1382" s="3">
        <v>46159</v>
      </c>
      <c r="L1382" s="3">
        <v>46162</v>
      </c>
      <c r="M1382" s="1" t="s">
        <v>9027</v>
      </c>
      <c r="N1382" s="1" t="s">
        <v>9026</v>
      </c>
    </row>
    <row r="1383" spans="1:14" s="1" customFormat="1" x14ac:dyDescent="0.35">
      <c r="A1383" s="1" t="s">
        <v>5171</v>
      </c>
      <c r="B1383" s="1" t="s">
        <v>2350</v>
      </c>
      <c r="C1383" s="1" t="s">
        <v>2646</v>
      </c>
      <c r="D1383" s="1" t="s">
        <v>9025</v>
      </c>
      <c r="E1383" s="1" t="str">
        <f>"5180"</f>
        <v>5180</v>
      </c>
      <c r="F1383" s="1" t="s">
        <v>88</v>
      </c>
      <c r="G1383" s="1" t="s">
        <v>89</v>
      </c>
      <c r="H1383" s="1" t="s">
        <v>16</v>
      </c>
      <c r="I1383" s="4" t="str">
        <f>"1"</f>
        <v>1</v>
      </c>
      <c r="J1383" s="2">
        <v>38.21</v>
      </c>
      <c r="K1383" s="3">
        <v>46105</v>
      </c>
      <c r="L1383" s="3">
        <v>46162</v>
      </c>
      <c r="M1383" s="1" t="s">
        <v>9024</v>
      </c>
      <c r="N1383" s="1" t="s">
        <v>9021</v>
      </c>
    </row>
    <row r="1384" spans="1:14" s="1" customFormat="1" x14ac:dyDescent="0.35">
      <c r="A1384" s="1" t="s">
        <v>5171</v>
      </c>
      <c r="B1384" s="1" t="s">
        <v>2350</v>
      </c>
      <c r="C1384" s="1" t="s">
        <v>2646</v>
      </c>
      <c r="D1384" s="1" t="s">
        <v>9023</v>
      </c>
      <c r="E1384" s="1" t="str">
        <f>"5180"</f>
        <v>5180</v>
      </c>
      <c r="F1384" s="1" t="s">
        <v>88</v>
      </c>
      <c r="G1384" s="1" t="s">
        <v>89</v>
      </c>
      <c r="H1384" s="1" t="s">
        <v>16</v>
      </c>
      <c r="I1384" s="4" t="str">
        <f>"3"</f>
        <v>3</v>
      </c>
      <c r="J1384" s="2">
        <v>197.59</v>
      </c>
      <c r="K1384" s="3">
        <v>46105</v>
      </c>
      <c r="L1384" s="3">
        <v>46162</v>
      </c>
      <c r="M1384" s="1" t="s">
        <v>9022</v>
      </c>
      <c r="N1384" s="1" t="s">
        <v>9021</v>
      </c>
    </row>
    <row r="1385" spans="1:14" s="1" customFormat="1" x14ac:dyDescent="0.35">
      <c r="A1385" s="1" t="s">
        <v>5171</v>
      </c>
      <c r="B1385" s="1" t="s">
        <v>2350</v>
      </c>
      <c r="C1385" s="1" t="s">
        <v>2354</v>
      </c>
      <c r="D1385" s="1" t="s">
        <v>9020</v>
      </c>
      <c r="E1385" s="1" t="str">
        <f>"1240"</f>
        <v>1240</v>
      </c>
      <c r="F1385" s="1" t="str">
        <f>"015871372"</f>
        <v>015871372</v>
      </c>
      <c r="G1385" s="1" t="s">
        <v>7273</v>
      </c>
      <c r="H1385" s="1" t="s">
        <v>16</v>
      </c>
      <c r="I1385" s="4" t="str">
        <f>"5"</f>
        <v>5</v>
      </c>
      <c r="J1385" s="2">
        <v>602.34</v>
      </c>
      <c r="K1385" s="3">
        <v>46162</v>
      </c>
      <c r="L1385" s="3">
        <v>46163</v>
      </c>
      <c r="M1385" s="1" t="s">
        <v>5167</v>
      </c>
      <c r="N1385" s="1" t="s">
        <v>9019</v>
      </c>
    </row>
    <row r="1386" spans="1:14" s="1" customFormat="1" x14ac:dyDescent="0.35">
      <c r="A1386" s="1" t="s">
        <v>5171</v>
      </c>
      <c r="B1386" s="1" t="s">
        <v>2350</v>
      </c>
      <c r="C1386" s="1" t="s">
        <v>2354</v>
      </c>
      <c r="D1386" s="1" t="s">
        <v>9018</v>
      </c>
      <c r="E1386" s="1" t="str">
        <f>"6545"</f>
        <v>6545</v>
      </c>
      <c r="F1386" s="1" t="str">
        <f>"016092699"</f>
        <v>016092699</v>
      </c>
      <c r="G1386" s="1" t="s">
        <v>4527</v>
      </c>
      <c r="H1386" s="1" t="s">
        <v>458</v>
      </c>
      <c r="I1386" s="4" t="str">
        <f>"2"</f>
        <v>2</v>
      </c>
      <c r="J1386" s="2">
        <v>8495.23</v>
      </c>
      <c r="K1386" s="3">
        <v>46162</v>
      </c>
      <c r="L1386" s="3">
        <v>46164</v>
      </c>
      <c r="M1386" s="1" t="s">
        <v>9017</v>
      </c>
      <c r="N1386" s="1" t="s">
        <v>9016</v>
      </c>
    </row>
    <row r="1387" spans="1:14" s="1" customFormat="1" x14ac:dyDescent="0.35">
      <c r="A1387" s="1" t="s">
        <v>5171</v>
      </c>
      <c r="B1387" s="1" t="s">
        <v>2350</v>
      </c>
      <c r="C1387" s="1" t="s">
        <v>2475</v>
      </c>
      <c r="D1387" s="1" t="s">
        <v>9015</v>
      </c>
      <c r="E1387" s="1" t="str">
        <f>"1940"</f>
        <v>1940</v>
      </c>
      <c r="F1387" s="1" t="s">
        <v>1503</v>
      </c>
      <c r="G1387" s="1" t="s">
        <v>1504</v>
      </c>
      <c r="H1387" s="1" t="s">
        <v>16</v>
      </c>
      <c r="I1387" s="4" t="str">
        <f>"6"</f>
        <v>6</v>
      </c>
      <c r="J1387" s="2">
        <v>24770.79</v>
      </c>
      <c r="K1387" s="3">
        <v>46164</v>
      </c>
      <c r="L1387" s="3">
        <v>46165</v>
      </c>
      <c r="M1387" s="1" t="s">
        <v>5167</v>
      </c>
      <c r="N1387" s="1" t="s">
        <v>9014</v>
      </c>
    </row>
    <row r="1388" spans="1:14" s="1" customFormat="1" x14ac:dyDescent="0.35">
      <c r="A1388" s="1" t="s">
        <v>5171</v>
      </c>
      <c r="B1388" s="1" t="s">
        <v>2350</v>
      </c>
      <c r="C1388" s="1" t="s">
        <v>2601</v>
      </c>
      <c r="D1388" s="1" t="s">
        <v>9013</v>
      </c>
      <c r="E1388" s="1" t="str">
        <f>"5830"</f>
        <v>5830</v>
      </c>
      <c r="F1388" s="1" t="str">
        <f>"016520929"</f>
        <v>016520929</v>
      </c>
      <c r="G1388" s="1" t="s">
        <v>1767</v>
      </c>
      <c r="H1388" s="1" t="s">
        <v>16</v>
      </c>
      <c r="I1388" s="4" t="str">
        <f>"1"</f>
        <v>1</v>
      </c>
      <c r="J1388" s="2" t="str">
        <f>"25000"</f>
        <v>25000</v>
      </c>
      <c r="K1388" s="3">
        <v>46134</v>
      </c>
      <c r="L1388" s="3">
        <v>46168</v>
      </c>
      <c r="M1388" s="1" t="s">
        <v>9012</v>
      </c>
      <c r="N1388" s="1" t="s">
        <v>9011</v>
      </c>
    </row>
    <row r="1389" spans="1:14" s="1" customFormat="1" x14ac:dyDescent="0.35">
      <c r="A1389" s="1" t="s">
        <v>0</v>
      </c>
      <c r="B1389" s="1" t="s">
        <v>2350</v>
      </c>
      <c r="C1389" s="1" t="s">
        <v>2670</v>
      </c>
      <c r="D1389" s="1" t="s">
        <v>9010</v>
      </c>
      <c r="E1389" s="1" t="str">
        <f>"5855"</f>
        <v>5855</v>
      </c>
      <c r="F1389" s="1" t="str">
        <f>"015675510"</f>
        <v>015675510</v>
      </c>
      <c r="G1389" s="1" t="s">
        <v>1770</v>
      </c>
      <c r="H1389" s="1" t="s">
        <v>16</v>
      </c>
      <c r="I1389" s="4" t="str">
        <f>"20"</f>
        <v>20</v>
      </c>
      <c r="J1389" s="2" t="str">
        <f>"10756"</f>
        <v>10756</v>
      </c>
      <c r="K1389" s="3">
        <v>46169</v>
      </c>
      <c r="L1389" s="3">
        <v>46169</v>
      </c>
      <c r="M1389" s="1" t="s">
        <v>9009</v>
      </c>
      <c r="N1389" s="1" t="s">
        <v>9008</v>
      </c>
    </row>
    <row r="1390" spans="1:14" s="1" customFormat="1" x14ac:dyDescent="0.35">
      <c r="A1390" s="1" t="s">
        <v>0</v>
      </c>
      <c r="B1390" s="1" t="s">
        <v>2350</v>
      </c>
      <c r="C1390" s="1" t="s">
        <v>2670</v>
      </c>
      <c r="D1390" s="1" t="s">
        <v>9007</v>
      </c>
      <c r="E1390" s="1" t="str">
        <f>"5855"</f>
        <v>5855</v>
      </c>
      <c r="F1390" s="1" t="str">
        <f>"015481555"</f>
        <v>015481555</v>
      </c>
      <c r="G1390" s="1" t="s">
        <v>175</v>
      </c>
      <c r="H1390" s="1" t="s">
        <v>16</v>
      </c>
      <c r="I1390" s="4" t="str">
        <f>"1"</f>
        <v>1</v>
      </c>
      <c r="J1390" s="2">
        <v>9366.36</v>
      </c>
      <c r="K1390" s="3">
        <v>46169</v>
      </c>
      <c r="L1390" s="3">
        <v>46169</v>
      </c>
      <c r="M1390" s="1" t="s">
        <v>9006</v>
      </c>
      <c r="N1390" s="1" t="s">
        <v>9005</v>
      </c>
    </row>
    <row r="1391" spans="1:14" s="1" customFormat="1" x14ac:dyDescent="0.35">
      <c r="A1391" s="1" t="s">
        <v>5171</v>
      </c>
      <c r="B1391" s="1" t="s">
        <v>2350</v>
      </c>
      <c r="C1391" s="1" t="s">
        <v>2475</v>
      </c>
      <c r="D1391" s="1" t="s">
        <v>9004</v>
      </c>
      <c r="E1391" s="1" t="str">
        <f>"2320"</f>
        <v>2320</v>
      </c>
      <c r="F1391" s="1" t="str">
        <f>"013469317"</f>
        <v>013469317</v>
      </c>
      <c r="G1391" s="1" t="s">
        <v>414</v>
      </c>
      <c r="H1391" s="1" t="s">
        <v>16</v>
      </c>
      <c r="I1391" s="4" t="str">
        <f>"1"</f>
        <v>1</v>
      </c>
      <c r="J1391" s="2" t="str">
        <f>"94171"</f>
        <v>94171</v>
      </c>
      <c r="K1391" s="3">
        <v>46166</v>
      </c>
      <c r="L1391" s="3">
        <v>46169</v>
      </c>
      <c r="M1391" s="1" t="s">
        <v>9003</v>
      </c>
      <c r="N1391" s="1" t="s">
        <v>9002</v>
      </c>
    </row>
    <row r="1392" spans="1:14" s="1" customFormat="1" x14ac:dyDescent="0.35">
      <c r="A1392" s="1" t="s">
        <v>5171</v>
      </c>
      <c r="B1392" s="1" t="s">
        <v>2350</v>
      </c>
      <c r="C1392" s="1" t="s">
        <v>2475</v>
      </c>
      <c r="D1392" s="1" t="s">
        <v>9001</v>
      </c>
      <c r="E1392" s="1" t="str">
        <f>"1550"</f>
        <v>1550</v>
      </c>
      <c r="F1392" s="1" t="str">
        <f>"016817889"</f>
        <v>016817889</v>
      </c>
      <c r="G1392" s="1" t="s">
        <v>1417</v>
      </c>
      <c r="H1392" s="1" t="s">
        <v>215</v>
      </c>
      <c r="I1392" s="4" t="str">
        <f>"1"</f>
        <v>1</v>
      </c>
      <c r="J1392" s="2">
        <v>19550.3</v>
      </c>
      <c r="K1392" s="3">
        <v>46168</v>
      </c>
      <c r="L1392" s="3">
        <v>46169</v>
      </c>
      <c r="M1392" s="1" t="s">
        <v>5167</v>
      </c>
      <c r="N1392" s="1" t="s">
        <v>9000</v>
      </c>
    </row>
    <row r="1393" spans="1:14" s="1" customFormat="1" x14ac:dyDescent="0.35">
      <c r="A1393" s="1" t="s">
        <v>5171</v>
      </c>
      <c r="B1393" s="1" t="s">
        <v>2350</v>
      </c>
      <c r="C1393" s="1" t="s">
        <v>2570</v>
      </c>
      <c r="D1393" s="1" t="s">
        <v>8999</v>
      </c>
      <c r="E1393" s="1" t="str">
        <f>"1550"</f>
        <v>1550</v>
      </c>
      <c r="F1393" s="1" t="str">
        <f>"016817889"</f>
        <v>016817889</v>
      </c>
      <c r="G1393" s="1" t="s">
        <v>1417</v>
      </c>
      <c r="H1393" s="1" t="s">
        <v>215</v>
      </c>
      <c r="I1393" s="4" t="str">
        <f>"3"</f>
        <v>3</v>
      </c>
      <c r="J1393" s="2">
        <v>19550.3</v>
      </c>
      <c r="K1393" s="3">
        <v>46165</v>
      </c>
      <c r="L1393" s="3">
        <v>46169</v>
      </c>
      <c r="M1393" s="1" t="s">
        <v>8998</v>
      </c>
      <c r="N1393" s="1" t="s">
        <v>8997</v>
      </c>
    </row>
    <row r="1394" spans="1:14" s="1" customFormat="1" x14ac:dyDescent="0.35">
      <c r="A1394" s="1" t="s">
        <v>0</v>
      </c>
      <c r="B1394" s="1" t="s">
        <v>2350</v>
      </c>
      <c r="C1394" s="1" t="s">
        <v>2523</v>
      </c>
      <c r="D1394" s="1" t="s">
        <v>8996</v>
      </c>
      <c r="E1394" s="1" t="str">
        <f>"1240"</f>
        <v>1240</v>
      </c>
      <c r="F1394" s="1" t="str">
        <f>"014111265"</f>
        <v>014111265</v>
      </c>
      <c r="G1394" s="1" t="s">
        <v>1103</v>
      </c>
      <c r="H1394" s="1" t="s">
        <v>16</v>
      </c>
      <c r="I1394" s="4" t="str">
        <f>"15"</f>
        <v>15</v>
      </c>
      <c r="J1394" s="2" t="str">
        <f>"339"</f>
        <v>339</v>
      </c>
      <c r="K1394" s="3">
        <v>46171</v>
      </c>
      <c r="L1394" s="3">
        <v>46171</v>
      </c>
      <c r="M1394" s="1" t="s">
        <v>8988</v>
      </c>
      <c r="N1394" s="1" t="s">
        <v>8995</v>
      </c>
    </row>
    <row r="1395" spans="1:14" s="1" customFormat="1" x14ac:dyDescent="0.35">
      <c r="A1395" s="1" t="s">
        <v>0</v>
      </c>
      <c r="B1395" s="1" t="s">
        <v>2350</v>
      </c>
      <c r="C1395" s="1" t="s">
        <v>2523</v>
      </c>
      <c r="D1395" s="1" t="s">
        <v>8994</v>
      </c>
      <c r="E1395" s="1" t="str">
        <f>"5855"</f>
        <v>5855</v>
      </c>
      <c r="F1395" s="1" t="str">
        <f>"015356166"</f>
        <v>015356166</v>
      </c>
      <c r="G1395" s="1" t="s">
        <v>1379</v>
      </c>
      <c r="H1395" s="1" t="s">
        <v>16</v>
      </c>
      <c r="I1395" s="4" t="str">
        <f>"1"</f>
        <v>1</v>
      </c>
      <c r="J1395" s="2" t="str">
        <f>"898"</f>
        <v>898</v>
      </c>
      <c r="K1395" s="3">
        <v>46171</v>
      </c>
      <c r="L1395" s="3">
        <v>46171</v>
      </c>
      <c r="M1395" s="1" t="s">
        <v>8988</v>
      </c>
      <c r="N1395" s="1" t="s">
        <v>8992</v>
      </c>
    </row>
    <row r="1396" spans="1:14" s="1" customFormat="1" x14ac:dyDescent="0.35">
      <c r="A1396" s="1" t="s">
        <v>0</v>
      </c>
      <c r="B1396" s="1" t="s">
        <v>2350</v>
      </c>
      <c r="C1396" s="1" t="s">
        <v>2523</v>
      </c>
      <c r="D1396" s="1" t="s">
        <v>8993</v>
      </c>
      <c r="E1396" s="1" t="str">
        <f>"5855"</f>
        <v>5855</v>
      </c>
      <c r="F1396" s="1" t="str">
        <f>"015356166"</f>
        <v>015356166</v>
      </c>
      <c r="G1396" s="1" t="s">
        <v>1379</v>
      </c>
      <c r="H1396" s="1" t="s">
        <v>16</v>
      </c>
      <c r="I1396" s="4" t="str">
        <f>"1"</f>
        <v>1</v>
      </c>
      <c r="J1396" s="2" t="str">
        <f>"898"</f>
        <v>898</v>
      </c>
      <c r="K1396" s="3">
        <v>46171</v>
      </c>
      <c r="L1396" s="3">
        <v>46171</v>
      </c>
      <c r="M1396" s="1" t="s">
        <v>8988</v>
      </c>
      <c r="N1396" s="1" t="s">
        <v>8992</v>
      </c>
    </row>
    <row r="1397" spans="1:14" s="1" customFormat="1" x14ac:dyDescent="0.35">
      <c r="A1397" s="1" t="s">
        <v>0</v>
      </c>
      <c r="B1397" s="1" t="s">
        <v>2350</v>
      </c>
      <c r="C1397" s="1" t="s">
        <v>2523</v>
      </c>
      <c r="D1397" s="1" t="s">
        <v>8991</v>
      </c>
      <c r="E1397" s="1" t="str">
        <f>"6545"</f>
        <v>6545</v>
      </c>
      <c r="F1397" s="1" t="str">
        <f>"015300929"</f>
        <v>015300929</v>
      </c>
      <c r="G1397" s="1" t="s">
        <v>236</v>
      </c>
      <c r="H1397" s="1" t="s">
        <v>215</v>
      </c>
      <c r="I1397" s="4" t="str">
        <f>"15"</f>
        <v>15</v>
      </c>
      <c r="J1397" s="2">
        <v>48.71</v>
      </c>
      <c r="K1397" s="3">
        <v>46171</v>
      </c>
      <c r="L1397" s="3">
        <v>46171</v>
      </c>
      <c r="M1397" s="1" t="s">
        <v>8988</v>
      </c>
      <c r="N1397" s="1" t="s">
        <v>8990</v>
      </c>
    </row>
    <row r="1398" spans="1:14" s="1" customFormat="1" x14ac:dyDescent="0.35">
      <c r="A1398" s="1" t="s">
        <v>0</v>
      </c>
      <c r="B1398" s="1" t="s">
        <v>2350</v>
      </c>
      <c r="C1398" s="1" t="s">
        <v>2523</v>
      </c>
      <c r="D1398" s="1" t="s">
        <v>8989</v>
      </c>
      <c r="E1398" s="1" t="str">
        <f>"6545"</f>
        <v>6545</v>
      </c>
      <c r="F1398" s="1" t="str">
        <f>"015300929"</f>
        <v>015300929</v>
      </c>
      <c r="G1398" s="1" t="s">
        <v>236</v>
      </c>
      <c r="H1398" s="1" t="s">
        <v>215</v>
      </c>
      <c r="I1398" s="4" t="str">
        <f>"20"</f>
        <v>20</v>
      </c>
      <c r="J1398" s="2">
        <v>48.71</v>
      </c>
      <c r="K1398" s="3">
        <v>46171</v>
      </c>
      <c r="L1398" s="3">
        <v>46171</v>
      </c>
      <c r="M1398" s="1" t="s">
        <v>8988</v>
      </c>
      <c r="N1398" s="1" t="s">
        <v>8987</v>
      </c>
    </row>
    <row r="1399" spans="1:14" s="1" customFormat="1" x14ac:dyDescent="0.35">
      <c r="A1399" s="1" t="s">
        <v>5171</v>
      </c>
      <c r="B1399" s="1" t="s">
        <v>2350</v>
      </c>
      <c r="C1399" s="1" t="s">
        <v>2354</v>
      </c>
      <c r="D1399" s="1" t="s">
        <v>8986</v>
      </c>
      <c r="E1399" s="1" t="str">
        <f>"8465"</f>
        <v>8465</v>
      </c>
      <c r="F1399" s="1" t="str">
        <f>"016105633"</f>
        <v>016105633</v>
      </c>
      <c r="G1399" s="1" t="s">
        <v>2198</v>
      </c>
      <c r="H1399" s="1" t="s">
        <v>16</v>
      </c>
      <c r="I1399" s="4" t="str">
        <f>"4"</f>
        <v>4</v>
      </c>
      <c r="J1399" s="2">
        <v>350.73</v>
      </c>
      <c r="K1399" s="3">
        <v>46159</v>
      </c>
      <c r="L1399" s="3">
        <v>46171</v>
      </c>
      <c r="M1399" s="1" t="s">
        <v>8985</v>
      </c>
      <c r="N1399" s="1" t="s">
        <v>8984</v>
      </c>
    </row>
    <row r="1400" spans="1:14" s="1" customFormat="1" x14ac:dyDescent="0.35">
      <c r="A1400" s="1" t="s">
        <v>5171</v>
      </c>
      <c r="B1400" s="1" t="s">
        <v>2350</v>
      </c>
      <c r="C1400" s="1" t="s">
        <v>2523</v>
      </c>
      <c r="D1400" s="1" t="s">
        <v>8983</v>
      </c>
      <c r="E1400" s="1" t="str">
        <f>"1240"</f>
        <v>1240</v>
      </c>
      <c r="F1400" s="1" t="str">
        <f>"014111265"</f>
        <v>014111265</v>
      </c>
      <c r="G1400" s="1" t="s">
        <v>1103</v>
      </c>
      <c r="H1400" s="1" t="s">
        <v>16</v>
      </c>
      <c r="I1400" s="4" t="str">
        <f>"15"</f>
        <v>15</v>
      </c>
      <c r="J1400" s="2" t="str">
        <f>"339"</f>
        <v>339</v>
      </c>
      <c r="K1400" s="3">
        <v>46171</v>
      </c>
      <c r="L1400" s="3">
        <v>46171</v>
      </c>
      <c r="N1400" s="1" t="s">
        <v>8982</v>
      </c>
    </row>
    <row r="1401" spans="1:14" s="1" customFormat="1" x14ac:dyDescent="0.35">
      <c r="A1401" s="1" t="s">
        <v>5171</v>
      </c>
      <c r="B1401" s="1" t="s">
        <v>2350</v>
      </c>
      <c r="C1401" s="1" t="s">
        <v>8981</v>
      </c>
      <c r="D1401" s="1" t="s">
        <v>8980</v>
      </c>
      <c r="E1401" s="1" t="str">
        <f>"8465"</f>
        <v>8465</v>
      </c>
      <c r="F1401" s="1" t="str">
        <f>"001656838"</f>
        <v>001656838</v>
      </c>
      <c r="G1401" s="1" t="s">
        <v>8979</v>
      </c>
      <c r="H1401" s="1" t="s">
        <v>16</v>
      </c>
      <c r="I1401" s="4" t="str">
        <f>"40"</f>
        <v>40</v>
      </c>
      <c r="J1401" s="2">
        <v>25.96</v>
      </c>
      <c r="K1401" s="3">
        <v>46141</v>
      </c>
      <c r="L1401" s="3">
        <v>46171</v>
      </c>
      <c r="M1401" s="1" t="s">
        <v>8978</v>
      </c>
      <c r="N1401" s="1" t="s">
        <v>8977</v>
      </c>
    </row>
    <row r="1402" spans="1:14" s="1" customFormat="1" x14ac:dyDescent="0.35">
      <c r="A1402" s="1" t="s">
        <v>5171</v>
      </c>
      <c r="B1402" s="1" t="s">
        <v>2350</v>
      </c>
      <c r="C1402" s="1" t="s">
        <v>2670</v>
      </c>
      <c r="D1402" s="1" t="s">
        <v>8976</v>
      </c>
      <c r="E1402" s="1" t="str">
        <f>"5855"</f>
        <v>5855</v>
      </c>
      <c r="F1402" s="1" t="str">
        <f>"015481555"</f>
        <v>015481555</v>
      </c>
      <c r="G1402" s="1" t="s">
        <v>175</v>
      </c>
      <c r="H1402" s="1" t="s">
        <v>16</v>
      </c>
      <c r="I1402" s="4" t="str">
        <f>"1"</f>
        <v>1</v>
      </c>
      <c r="J1402" s="2">
        <v>9366.36</v>
      </c>
      <c r="K1402" s="3">
        <v>46169</v>
      </c>
      <c r="L1402" s="3">
        <v>46171</v>
      </c>
      <c r="M1402" s="1" t="s">
        <v>8975</v>
      </c>
      <c r="N1402" s="1" t="s">
        <v>2683</v>
      </c>
    </row>
    <row r="1403" spans="1:14" s="1" customFormat="1" x14ac:dyDescent="0.35">
      <c r="A1403" s="1" t="s">
        <v>5171</v>
      </c>
      <c r="B1403" s="1" t="s">
        <v>2350</v>
      </c>
      <c r="C1403" s="1" t="s">
        <v>2354</v>
      </c>
      <c r="D1403" s="1" t="s">
        <v>8974</v>
      </c>
      <c r="E1403" s="1" t="str">
        <f>"1240"</f>
        <v>1240</v>
      </c>
      <c r="F1403" s="1" t="str">
        <f>"015879762"</f>
        <v>015879762</v>
      </c>
      <c r="G1403" s="1" t="s">
        <v>1103</v>
      </c>
      <c r="H1403" s="1" t="s">
        <v>16</v>
      </c>
      <c r="I1403" s="4" t="str">
        <f>"17"</f>
        <v>17</v>
      </c>
      <c r="J1403" s="2" t="str">
        <f>"655"</f>
        <v>655</v>
      </c>
      <c r="K1403" s="3">
        <v>46160</v>
      </c>
      <c r="L1403" s="3">
        <v>46172</v>
      </c>
      <c r="M1403" s="1" t="s">
        <v>8973</v>
      </c>
      <c r="N1403" s="1" t="s">
        <v>8972</v>
      </c>
    </row>
    <row r="1404" spans="1:14" s="1" customFormat="1" x14ac:dyDescent="0.35">
      <c r="A1404" s="1" t="s">
        <v>5171</v>
      </c>
      <c r="B1404" s="1" t="s">
        <v>2350</v>
      </c>
      <c r="C1404" s="1" t="s">
        <v>2670</v>
      </c>
      <c r="D1404" s="1" t="s">
        <v>8971</v>
      </c>
      <c r="E1404" s="1" t="str">
        <f>"1240"</f>
        <v>1240</v>
      </c>
      <c r="F1404" s="1" t="str">
        <f>"014907308"</f>
        <v>014907308</v>
      </c>
      <c r="G1404" s="1" t="s">
        <v>1103</v>
      </c>
      <c r="H1404" s="1" t="s">
        <v>16</v>
      </c>
      <c r="I1404" s="4" t="str">
        <f>"9"</f>
        <v>9</v>
      </c>
      <c r="J1404" s="2">
        <v>1559.17</v>
      </c>
      <c r="K1404" s="3">
        <v>46169</v>
      </c>
      <c r="L1404" s="3">
        <v>46172</v>
      </c>
      <c r="M1404" s="1" t="s">
        <v>8970</v>
      </c>
      <c r="N1404" s="1" t="s">
        <v>8969</v>
      </c>
    </row>
    <row r="1405" spans="1:14" s="1" customFormat="1" x14ac:dyDescent="0.35">
      <c r="A1405" s="1" t="s">
        <v>5216</v>
      </c>
      <c r="B1405" s="1" t="s">
        <v>2350</v>
      </c>
      <c r="C1405" s="1" t="s">
        <v>2442</v>
      </c>
      <c r="D1405" s="1" t="s">
        <v>8968</v>
      </c>
      <c r="E1405" s="1" t="str">
        <f>"8465"</f>
        <v>8465</v>
      </c>
      <c r="F1405" s="1" t="s">
        <v>1758</v>
      </c>
      <c r="G1405" s="1" t="s">
        <v>1759</v>
      </c>
      <c r="H1405" s="1" t="s">
        <v>16</v>
      </c>
      <c r="I1405" s="4" t="str">
        <f>"10"</f>
        <v>10</v>
      </c>
      <c r="J1405" s="2" t="str">
        <f>"150"</f>
        <v>150</v>
      </c>
      <c r="K1405" s="3">
        <v>46166</v>
      </c>
      <c r="L1405" s="3">
        <v>46174</v>
      </c>
      <c r="M1405" s="1" t="s">
        <v>8964</v>
      </c>
      <c r="N1405" s="1" t="s">
        <v>8967</v>
      </c>
    </row>
    <row r="1406" spans="1:14" s="1" customFormat="1" x14ac:dyDescent="0.35">
      <c r="A1406" s="1" t="s">
        <v>5216</v>
      </c>
      <c r="B1406" s="1" t="s">
        <v>2350</v>
      </c>
      <c r="C1406" s="1" t="s">
        <v>2442</v>
      </c>
      <c r="D1406" s="1" t="s">
        <v>8966</v>
      </c>
      <c r="E1406" s="1" t="str">
        <f>"8415"</f>
        <v>8415</v>
      </c>
      <c r="F1406" s="1" t="str">
        <f>"015435040"</f>
        <v>015435040</v>
      </c>
      <c r="G1406" s="1" t="s">
        <v>2386</v>
      </c>
      <c r="H1406" s="1" t="s">
        <v>16</v>
      </c>
      <c r="I1406" s="4" t="str">
        <f>"20"</f>
        <v>20</v>
      </c>
      <c r="J1406" s="2">
        <v>94.15</v>
      </c>
      <c r="K1406" s="3">
        <v>46166</v>
      </c>
      <c r="L1406" s="3">
        <v>46174</v>
      </c>
      <c r="M1406" s="1" t="s">
        <v>8964</v>
      </c>
      <c r="N1406" s="1" t="s">
        <v>8963</v>
      </c>
    </row>
    <row r="1407" spans="1:14" s="1" customFormat="1" x14ac:dyDescent="0.35">
      <c r="A1407" s="1" t="s">
        <v>5216</v>
      </c>
      <c r="B1407" s="1" t="s">
        <v>2350</v>
      </c>
      <c r="C1407" s="1" t="s">
        <v>2442</v>
      </c>
      <c r="D1407" s="1" t="s">
        <v>8965</v>
      </c>
      <c r="E1407" s="1" t="str">
        <f>"8415"</f>
        <v>8415</v>
      </c>
      <c r="F1407" s="1" t="str">
        <f>"015427648"</f>
        <v>015427648</v>
      </c>
      <c r="G1407" s="1" t="s">
        <v>2386</v>
      </c>
      <c r="H1407" s="1" t="s">
        <v>16</v>
      </c>
      <c r="I1407" s="4" t="str">
        <f>"20"</f>
        <v>20</v>
      </c>
      <c r="J1407" s="2">
        <v>144.38</v>
      </c>
      <c r="K1407" s="3">
        <v>46166</v>
      </c>
      <c r="L1407" s="3">
        <v>46174</v>
      </c>
      <c r="M1407" s="1" t="s">
        <v>8964</v>
      </c>
      <c r="N1407" s="1" t="s">
        <v>8963</v>
      </c>
    </row>
    <row r="1408" spans="1:14" s="1" customFormat="1" x14ac:dyDescent="0.35">
      <c r="A1408" s="1" t="s">
        <v>5171</v>
      </c>
      <c r="B1408" s="1" t="s">
        <v>2350</v>
      </c>
      <c r="C1408" s="1" t="s">
        <v>8962</v>
      </c>
      <c r="D1408" s="1" t="s">
        <v>8961</v>
      </c>
      <c r="E1408" s="1" t="str">
        <f>"1385"</f>
        <v>1385</v>
      </c>
      <c r="F1408" s="1" t="str">
        <f>"015744707"</f>
        <v>015744707</v>
      </c>
      <c r="G1408" s="1" t="s">
        <v>2463</v>
      </c>
      <c r="H1408" s="1" t="s">
        <v>16</v>
      </c>
      <c r="I1408" s="4" t="str">
        <f>"1"</f>
        <v>1</v>
      </c>
      <c r="J1408" s="2" t="str">
        <f>"10000"</f>
        <v>10000</v>
      </c>
      <c r="K1408" s="3">
        <v>46147</v>
      </c>
      <c r="L1408" s="3">
        <v>46174</v>
      </c>
      <c r="M1408" s="1" t="s">
        <v>8960</v>
      </c>
      <c r="N1408" s="1" t="s">
        <v>8959</v>
      </c>
    </row>
    <row r="1409" spans="1:14" s="1" customFormat="1" x14ac:dyDescent="0.35">
      <c r="A1409" s="1" t="s">
        <v>5171</v>
      </c>
      <c r="B1409" s="1" t="s">
        <v>2350</v>
      </c>
      <c r="C1409" s="1" t="s">
        <v>2659</v>
      </c>
      <c r="D1409" s="1" t="s">
        <v>8958</v>
      </c>
      <c r="E1409" s="1" t="str">
        <f>"8430"</f>
        <v>8430</v>
      </c>
      <c r="F1409" s="1" t="s">
        <v>522</v>
      </c>
      <c r="G1409" s="1" t="s">
        <v>523</v>
      </c>
      <c r="H1409" s="1" t="s">
        <v>311</v>
      </c>
      <c r="I1409" s="4" t="str">
        <f>"24"</f>
        <v>24</v>
      </c>
      <c r="J1409" s="2" t="str">
        <f>"25"</f>
        <v>25</v>
      </c>
      <c r="K1409" s="3">
        <v>46149</v>
      </c>
      <c r="L1409" s="3">
        <v>46174</v>
      </c>
      <c r="M1409" s="1" t="s">
        <v>8957</v>
      </c>
      <c r="N1409" s="1" t="s">
        <v>8954</v>
      </c>
    </row>
    <row r="1410" spans="1:14" s="1" customFormat="1" x14ac:dyDescent="0.35">
      <c r="A1410" s="1" t="s">
        <v>5171</v>
      </c>
      <c r="B1410" s="1" t="s">
        <v>2350</v>
      </c>
      <c r="C1410" s="1" t="s">
        <v>2659</v>
      </c>
      <c r="D1410" s="1" t="s">
        <v>8956</v>
      </c>
      <c r="E1410" s="1" t="str">
        <f>"8430"</f>
        <v>8430</v>
      </c>
      <c r="F1410" s="1" t="s">
        <v>522</v>
      </c>
      <c r="G1410" s="1" t="s">
        <v>523</v>
      </c>
      <c r="H1410" s="1" t="s">
        <v>311</v>
      </c>
      <c r="I1410" s="4" t="str">
        <f>"17"</f>
        <v>17</v>
      </c>
      <c r="J1410" s="2" t="str">
        <f>"25"</f>
        <v>25</v>
      </c>
      <c r="K1410" s="3">
        <v>46149</v>
      </c>
      <c r="L1410" s="3">
        <v>46174</v>
      </c>
      <c r="M1410" s="1" t="s">
        <v>8955</v>
      </c>
      <c r="N1410" s="1" t="s">
        <v>8954</v>
      </c>
    </row>
    <row r="1411" spans="1:14" s="1" customFormat="1" x14ac:dyDescent="0.35">
      <c r="A1411" s="1" t="s">
        <v>5171</v>
      </c>
      <c r="B1411" s="1" t="s">
        <v>2350</v>
      </c>
      <c r="C1411" s="1" t="s">
        <v>2475</v>
      </c>
      <c r="D1411" s="1" t="s">
        <v>8953</v>
      </c>
      <c r="E1411" s="1" t="str">
        <f>"1940"</f>
        <v>1940</v>
      </c>
      <c r="F1411" s="1" t="str">
        <f>"015991756"</f>
        <v>015991756</v>
      </c>
      <c r="G1411" s="1" t="s">
        <v>2479</v>
      </c>
      <c r="H1411" s="1" t="s">
        <v>16</v>
      </c>
      <c r="I1411" s="4" t="str">
        <f>"2"</f>
        <v>2</v>
      </c>
      <c r="J1411" s="2" t="str">
        <f>"10500"</f>
        <v>10500</v>
      </c>
      <c r="K1411" s="3">
        <v>46174</v>
      </c>
      <c r="L1411" s="3">
        <v>46176</v>
      </c>
      <c r="M1411" s="1" t="s">
        <v>8952</v>
      </c>
      <c r="N1411" s="1" t="s">
        <v>2480</v>
      </c>
    </row>
    <row r="1412" spans="1:14" s="1" customFormat="1" x14ac:dyDescent="0.35">
      <c r="A1412" s="1" t="s">
        <v>5171</v>
      </c>
      <c r="B1412" s="1" t="s">
        <v>2350</v>
      </c>
      <c r="C1412" s="1" t="s">
        <v>2696</v>
      </c>
      <c r="D1412" s="1" t="s">
        <v>8951</v>
      </c>
      <c r="E1412" s="1" t="str">
        <f>"7025"</f>
        <v>7025</v>
      </c>
      <c r="F1412" s="1" t="str">
        <f>"016227430"</f>
        <v>016227430</v>
      </c>
      <c r="G1412" s="1" t="s">
        <v>8950</v>
      </c>
      <c r="H1412" s="1" t="s">
        <v>16</v>
      </c>
      <c r="I1412" s="4" t="str">
        <f>"3"</f>
        <v>3</v>
      </c>
      <c r="J1412" s="2" t="str">
        <f>"10427"</f>
        <v>10427</v>
      </c>
      <c r="K1412" s="3">
        <v>46147</v>
      </c>
      <c r="L1412" s="3">
        <v>46176</v>
      </c>
      <c r="M1412" s="1" t="s">
        <v>8949</v>
      </c>
      <c r="N1412" s="1" t="s">
        <v>8884</v>
      </c>
    </row>
    <row r="1413" spans="1:14" s="1" customFormat="1" x14ac:dyDescent="0.35">
      <c r="A1413" s="1" t="s">
        <v>5171</v>
      </c>
      <c r="B1413" s="1" t="s">
        <v>2350</v>
      </c>
      <c r="C1413" s="1" t="s">
        <v>2696</v>
      </c>
      <c r="D1413" s="1" t="s">
        <v>8948</v>
      </c>
      <c r="E1413" s="1" t="str">
        <f>"6910"</f>
        <v>6910</v>
      </c>
      <c r="F1413" s="1" t="str">
        <f>"017080577"</f>
        <v>017080577</v>
      </c>
      <c r="G1413" s="1" t="s">
        <v>2653</v>
      </c>
      <c r="H1413" s="1" t="s">
        <v>458</v>
      </c>
      <c r="I1413" s="4" t="str">
        <f>"1"</f>
        <v>1</v>
      </c>
      <c r="J1413" s="2">
        <v>260.36</v>
      </c>
      <c r="K1413" s="3">
        <v>46153</v>
      </c>
      <c r="L1413" s="3">
        <v>46176</v>
      </c>
      <c r="M1413" s="1" t="s">
        <v>8947</v>
      </c>
      <c r="N1413" s="1" t="s">
        <v>8946</v>
      </c>
    </row>
    <row r="1414" spans="1:14" s="1" customFormat="1" x14ac:dyDescent="0.35">
      <c r="A1414" s="1" t="s">
        <v>5171</v>
      </c>
      <c r="B1414" s="1" t="s">
        <v>2350</v>
      </c>
      <c r="C1414" s="1" t="s">
        <v>2696</v>
      </c>
      <c r="D1414" s="1" t="s">
        <v>8945</v>
      </c>
      <c r="E1414" s="1" t="str">
        <f>"1730"</f>
        <v>1730</v>
      </c>
      <c r="F1414" s="1" t="str">
        <f>"012122915"</f>
        <v>012122915</v>
      </c>
      <c r="G1414" s="1" t="s">
        <v>8944</v>
      </c>
      <c r="H1414" s="1" t="s">
        <v>16</v>
      </c>
      <c r="I1414" s="4" t="str">
        <f>"1"</f>
        <v>1</v>
      </c>
      <c r="J1414" s="2">
        <v>93.13</v>
      </c>
      <c r="K1414" s="3">
        <v>46153</v>
      </c>
      <c r="L1414" s="3">
        <v>46176</v>
      </c>
      <c r="M1414" s="1" t="s">
        <v>8943</v>
      </c>
      <c r="N1414" s="1" t="s">
        <v>8942</v>
      </c>
    </row>
    <row r="1415" spans="1:14" s="1" customFormat="1" x14ac:dyDescent="0.35">
      <c r="A1415" s="1" t="s">
        <v>5171</v>
      </c>
      <c r="B1415" s="1" t="s">
        <v>2350</v>
      </c>
      <c r="C1415" s="1" t="s">
        <v>2696</v>
      </c>
      <c r="D1415" s="1" t="s">
        <v>8941</v>
      </c>
      <c r="E1415" s="1" t="str">
        <f>"1095"</f>
        <v>1095</v>
      </c>
      <c r="F1415" s="1" t="str">
        <f>"015652809"</f>
        <v>015652809</v>
      </c>
      <c r="G1415" s="1" t="s">
        <v>3286</v>
      </c>
      <c r="H1415" s="1" t="s">
        <v>16</v>
      </c>
      <c r="I1415" s="4" t="str">
        <f>"2"</f>
        <v>2</v>
      </c>
      <c r="J1415" s="2">
        <v>971.5</v>
      </c>
      <c r="K1415" s="3">
        <v>46153</v>
      </c>
      <c r="L1415" s="3">
        <v>46176</v>
      </c>
      <c r="M1415" s="1" t="s">
        <v>8940</v>
      </c>
      <c r="N1415" s="1" t="s">
        <v>8939</v>
      </c>
    </row>
    <row r="1416" spans="1:14" s="1" customFormat="1" x14ac:dyDescent="0.35">
      <c r="A1416" s="1" t="s">
        <v>5171</v>
      </c>
      <c r="B1416" s="1" t="s">
        <v>2350</v>
      </c>
      <c r="C1416" s="1" t="s">
        <v>2696</v>
      </c>
      <c r="D1416" s="1" t="s">
        <v>8938</v>
      </c>
      <c r="E1416" s="1" t="str">
        <f>"6515"</f>
        <v>6515</v>
      </c>
      <c r="F1416" s="1" t="str">
        <f>"015913550"</f>
        <v>015913550</v>
      </c>
      <c r="G1416" s="1" t="s">
        <v>8937</v>
      </c>
      <c r="H1416" s="1" t="s">
        <v>16</v>
      </c>
      <c r="I1416" s="4" t="str">
        <f>"4"</f>
        <v>4</v>
      </c>
      <c r="J1416" s="2">
        <v>5222.88</v>
      </c>
      <c r="K1416" s="3">
        <v>46153</v>
      </c>
      <c r="L1416" s="3">
        <v>46176</v>
      </c>
      <c r="M1416" s="1" t="s">
        <v>8936</v>
      </c>
      <c r="N1416" s="1" t="s">
        <v>8935</v>
      </c>
    </row>
    <row r="1417" spans="1:14" s="1" customFormat="1" x14ac:dyDescent="0.35">
      <c r="A1417" s="1" t="s">
        <v>5171</v>
      </c>
      <c r="B1417" s="1" t="s">
        <v>2350</v>
      </c>
      <c r="C1417" s="1" t="s">
        <v>2696</v>
      </c>
      <c r="D1417" s="1" t="s">
        <v>8934</v>
      </c>
      <c r="E1417" s="1" t="str">
        <f>"4130"</f>
        <v>4130</v>
      </c>
      <c r="F1417" s="1" t="str">
        <f>"014825062"</f>
        <v>014825062</v>
      </c>
      <c r="G1417" s="1" t="s">
        <v>8933</v>
      </c>
      <c r="H1417" s="1" t="s">
        <v>16</v>
      </c>
      <c r="I1417" s="4" t="str">
        <f>"4"</f>
        <v>4</v>
      </c>
      <c r="J1417" s="2">
        <v>93.69</v>
      </c>
      <c r="K1417" s="3">
        <v>46153</v>
      </c>
      <c r="L1417" s="3">
        <v>46176</v>
      </c>
      <c r="M1417" s="1" t="s">
        <v>8932</v>
      </c>
      <c r="N1417" s="1" t="s">
        <v>8931</v>
      </c>
    </row>
    <row r="1418" spans="1:14" s="1" customFormat="1" x14ac:dyDescent="0.35">
      <c r="A1418" s="1" t="s">
        <v>0</v>
      </c>
      <c r="B1418" s="1" t="s">
        <v>2350</v>
      </c>
      <c r="C1418" s="1" t="s">
        <v>2419</v>
      </c>
      <c r="D1418" s="1" t="s">
        <v>8930</v>
      </c>
      <c r="E1418" s="1" t="str">
        <f>"8465"</f>
        <v>8465</v>
      </c>
      <c r="F1418" s="1" t="str">
        <f>"015801313"</f>
        <v>015801313</v>
      </c>
      <c r="G1418" s="1" t="s">
        <v>4040</v>
      </c>
      <c r="H1418" s="1" t="s">
        <v>16</v>
      </c>
      <c r="I1418" s="4" t="str">
        <f>"3"</f>
        <v>3</v>
      </c>
      <c r="J1418" s="2">
        <v>3.39</v>
      </c>
      <c r="K1418" s="3">
        <v>46177</v>
      </c>
      <c r="L1418" s="3">
        <v>46178</v>
      </c>
      <c r="M1418" s="1" t="s">
        <v>8929</v>
      </c>
      <c r="N1418" s="1" t="s">
        <v>8928</v>
      </c>
    </row>
    <row r="1419" spans="1:14" s="1" customFormat="1" x14ac:dyDescent="0.35">
      <c r="A1419" s="1" t="s">
        <v>5171</v>
      </c>
      <c r="B1419" s="1" t="s">
        <v>2350</v>
      </c>
      <c r="C1419" s="1" t="s">
        <v>2439</v>
      </c>
      <c r="D1419" s="1" t="s">
        <v>8927</v>
      </c>
      <c r="E1419" s="1" t="str">
        <f>"7010"</f>
        <v>7010</v>
      </c>
      <c r="F1419" s="1" t="str">
        <f>"017141226"</f>
        <v>017141226</v>
      </c>
      <c r="G1419" s="1" t="s">
        <v>1422</v>
      </c>
      <c r="H1419" s="1" t="s">
        <v>16</v>
      </c>
      <c r="I1419" s="4" t="str">
        <f>"1"</f>
        <v>1</v>
      </c>
      <c r="J1419" s="2">
        <v>1634.86</v>
      </c>
      <c r="K1419" s="3">
        <v>46175</v>
      </c>
      <c r="L1419" s="3">
        <v>46178</v>
      </c>
      <c r="M1419" s="1" t="s">
        <v>5469</v>
      </c>
      <c r="N1419" s="1" t="s">
        <v>8926</v>
      </c>
    </row>
    <row r="1420" spans="1:14" s="1" customFormat="1" x14ac:dyDescent="0.35">
      <c r="A1420" s="1" t="s">
        <v>5171</v>
      </c>
      <c r="B1420" s="1" t="s">
        <v>2350</v>
      </c>
      <c r="C1420" s="1" t="s">
        <v>2601</v>
      </c>
      <c r="D1420" s="1" t="s">
        <v>8925</v>
      </c>
      <c r="E1420" s="1" t="str">
        <f>"6720"</f>
        <v>6720</v>
      </c>
      <c r="F1420" s="1" t="str">
        <f>"016497974"</f>
        <v>016497974</v>
      </c>
      <c r="G1420" s="1" t="s">
        <v>8924</v>
      </c>
      <c r="H1420" s="1" t="s">
        <v>215</v>
      </c>
      <c r="I1420" s="4" t="str">
        <f>"6"</f>
        <v>6</v>
      </c>
      <c r="J1420" s="2">
        <v>16699.84</v>
      </c>
      <c r="K1420" s="3">
        <v>46151</v>
      </c>
      <c r="L1420" s="3">
        <v>46178</v>
      </c>
      <c r="M1420" s="1" t="s">
        <v>8923</v>
      </c>
      <c r="N1420" s="1" t="s">
        <v>8922</v>
      </c>
    </row>
    <row r="1421" spans="1:14" s="1" customFormat="1" x14ac:dyDescent="0.35">
      <c r="A1421" s="1" t="s">
        <v>5171</v>
      </c>
      <c r="B1421" s="1" t="s">
        <v>2350</v>
      </c>
      <c r="C1421" s="1" t="s">
        <v>2475</v>
      </c>
      <c r="D1421" s="1" t="s">
        <v>8921</v>
      </c>
      <c r="E1421" s="1" t="str">
        <f>"2320"</f>
        <v>2320</v>
      </c>
      <c r="F1421" s="1" t="str">
        <f>"013469317"</f>
        <v>013469317</v>
      </c>
      <c r="G1421" s="1" t="s">
        <v>414</v>
      </c>
      <c r="H1421" s="1" t="s">
        <v>16</v>
      </c>
      <c r="I1421" s="4" t="str">
        <f>"1"</f>
        <v>1</v>
      </c>
      <c r="J1421" s="2" t="str">
        <f>"94171"</f>
        <v>94171</v>
      </c>
      <c r="K1421" s="3">
        <v>46177</v>
      </c>
      <c r="L1421" s="3">
        <v>46179</v>
      </c>
      <c r="M1421" s="1" t="s">
        <v>8920</v>
      </c>
      <c r="N1421" s="1" t="s">
        <v>8919</v>
      </c>
    </row>
    <row r="1422" spans="1:14" s="1" customFormat="1" x14ac:dyDescent="0.35">
      <c r="A1422" s="1" t="s">
        <v>5171</v>
      </c>
      <c r="B1422" s="1" t="s">
        <v>2350</v>
      </c>
      <c r="C1422" s="1" t="s">
        <v>8918</v>
      </c>
      <c r="D1422" s="1" t="s">
        <v>8917</v>
      </c>
      <c r="E1422" s="1" t="str">
        <f>"2320"</f>
        <v>2320</v>
      </c>
      <c r="F1422" s="1" t="str">
        <f>"013469317"</f>
        <v>013469317</v>
      </c>
      <c r="G1422" s="1" t="s">
        <v>414</v>
      </c>
      <c r="H1422" s="1" t="s">
        <v>16</v>
      </c>
      <c r="I1422" s="4" t="str">
        <f>"1"</f>
        <v>1</v>
      </c>
      <c r="J1422" s="2" t="str">
        <f>"94171"</f>
        <v>94171</v>
      </c>
      <c r="K1422" s="3">
        <v>46178</v>
      </c>
      <c r="L1422" s="3">
        <v>46179</v>
      </c>
      <c r="M1422" s="1" t="s">
        <v>5167</v>
      </c>
      <c r="N1422" s="1" t="s">
        <v>8916</v>
      </c>
    </row>
    <row r="1423" spans="1:14" s="1" customFormat="1" x14ac:dyDescent="0.35">
      <c r="A1423" s="1" t="s">
        <v>5171</v>
      </c>
      <c r="B1423" s="1" t="s">
        <v>2350</v>
      </c>
      <c r="C1423" s="1" t="s">
        <v>2670</v>
      </c>
      <c r="D1423" s="1" t="s">
        <v>8915</v>
      </c>
      <c r="E1423" s="1" t="str">
        <f>"5855"</f>
        <v>5855</v>
      </c>
      <c r="F1423" s="1" t="str">
        <f>"014199429"</f>
        <v>014199429</v>
      </c>
      <c r="G1423" s="1" t="s">
        <v>1770</v>
      </c>
      <c r="H1423" s="1" t="s">
        <v>16</v>
      </c>
      <c r="I1423" s="4" t="str">
        <f>"16"</f>
        <v>16</v>
      </c>
      <c r="J1423" s="2" t="str">
        <f>"13003"</f>
        <v>13003</v>
      </c>
      <c r="K1423" s="3">
        <v>46169</v>
      </c>
      <c r="L1423" s="3">
        <v>46179</v>
      </c>
      <c r="M1423" s="1" t="s">
        <v>8914</v>
      </c>
      <c r="N1423" s="1" t="s">
        <v>2680</v>
      </c>
    </row>
    <row r="1424" spans="1:14" s="1" customFormat="1" x14ac:dyDescent="0.35">
      <c r="A1424" s="1" t="s">
        <v>5216</v>
      </c>
      <c r="B1424" s="1" t="s">
        <v>2350</v>
      </c>
      <c r="C1424" s="1" t="s">
        <v>2670</v>
      </c>
      <c r="D1424" s="1" t="s">
        <v>8913</v>
      </c>
      <c r="E1424" s="1" t="str">
        <f>"6230"</f>
        <v>6230</v>
      </c>
      <c r="F1424" s="1" t="str">
        <f>"015659188"</f>
        <v>015659188</v>
      </c>
      <c r="G1424" s="1" t="s">
        <v>66</v>
      </c>
      <c r="H1424" s="1" t="s">
        <v>16</v>
      </c>
      <c r="I1424" s="4" t="str">
        <f>"2"</f>
        <v>2</v>
      </c>
      <c r="J1424" s="2">
        <v>1049.01</v>
      </c>
      <c r="K1424" s="3">
        <v>46178</v>
      </c>
      <c r="L1424" s="3">
        <v>46181</v>
      </c>
      <c r="M1424" s="1" t="s">
        <v>5224</v>
      </c>
      <c r="N1424" s="1" t="s">
        <v>8912</v>
      </c>
    </row>
    <row r="1425" spans="1:14" s="1" customFormat="1" x14ac:dyDescent="0.35">
      <c r="A1425" s="1" t="s">
        <v>5171</v>
      </c>
      <c r="B1425" s="1" t="s">
        <v>2350</v>
      </c>
      <c r="C1425" s="1" t="s">
        <v>2543</v>
      </c>
      <c r="D1425" s="1" t="s">
        <v>8911</v>
      </c>
      <c r="E1425" s="1" t="str">
        <f>"2320"</f>
        <v>2320</v>
      </c>
      <c r="F1425" s="1" t="str">
        <f>"014474938"</f>
        <v>014474938</v>
      </c>
      <c r="G1425" s="1" t="s">
        <v>360</v>
      </c>
      <c r="H1425" s="1" t="s">
        <v>16</v>
      </c>
      <c r="I1425" s="4" t="str">
        <f>"1"</f>
        <v>1</v>
      </c>
      <c r="J1425" s="2" t="str">
        <f>"230363"</f>
        <v>230363</v>
      </c>
      <c r="K1425" s="3">
        <v>46171</v>
      </c>
      <c r="L1425" s="3">
        <v>46182</v>
      </c>
      <c r="M1425" s="1" t="s">
        <v>8910</v>
      </c>
      <c r="N1425" s="1" t="s">
        <v>8909</v>
      </c>
    </row>
    <row r="1426" spans="1:14" s="1" customFormat="1" x14ac:dyDescent="0.35">
      <c r="A1426" s="1" t="s">
        <v>5171</v>
      </c>
      <c r="B1426" s="1" t="s">
        <v>2350</v>
      </c>
      <c r="C1426" s="1" t="s">
        <v>2475</v>
      </c>
      <c r="D1426" s="1" t="s">
        <v>8908</v>
      </c>
      <c r="E1426" s="1" t="str">
        <f>"6115"</f>
        <v>6115</v>
      </c>
      <c r="F1426" s="1" t="s">
        <v>1106</v>
      </c>
      <c r="G1426" s="1" t="s">
        <v>1107</v>
      </c>
      <c r="H1426" s="1" t="s">
        <v>16</v>
      </c>
      <c r="I1426" s="4" t="str">
        <f>"1"</f>
        <v>1</v>
      </c>
      <c r="J1426" s="2" t="str">
        <f>"40000"</f>
        <v>40000</v>
      </c>
      <c r="K1426" s="3">
        <v>46159</v>
      </c>
      <c r="L1426" s="3">
        <v>46184</v>
      </c>
      <c r="M1426" s="1" t="s">
        <v>8907</v>
      </c>
      <c r="N1426" s="1" t="s">
        <v>2491</v>
      </c>
    </row>
    <row r="1427" spans="1:14" s="1" customFormat="1" x14ac:dyDescent="0.35">
      <c r="A1427" s="1" t="s">
        <v>5171</v>
      </c>
      <c r="B1427" s="1" t="s">
        <v>2350</v>
      </c>
      <c r="C1427" s="1" t="s">
        <v>2589</v>
      </c>
      <c r="D1427" s="1" t="s">
        <v>8906</v>
      </c>
      <c r="E1427" s="1" t="str">
        <f>"1385"</f>
        <v>1385</v>
      </c>
      <c r="F1427" s="1" t="str">
        <f>"015785490"</f>
        <v>015785490</v>
      </c>
      <c r="G1427" s="1" t="s">
        <v>1687</v>
      </c>
      <c r="H1427" s="1" t="s">
        <v>16</v>
      </c>
      <c r="I1427" s="4" t="str">
        <f>"1"</f>
        <v>1</v>
      </c>
      <c r="J1427" s="2" t="str">
        <f>"213686"</f>
        <v>213686</v>
      </c>
      <c r="K1427" s="3">
        <v>46139</v>
      </c>
      <c r="L1427" s="3">
        <v>46184</v>
      </c>
      <c r="M1427" s="1" t="s">
        <v>8905</v>
      </c>
      <c r="N1427" s="1" t="s">
        <v>8904</v>
      </c>
    </row>
    <row r="1428" spans="1:14" s="1" customFormat="1" x14ac:dyDescent="0.35">
      <c r="A1428" s="1" t="s">
        <v>5171</v>
      </c>
      <c r="B1428" s="1" t="s">
        <v>2350</v>
      </c>
      <c r="C1428" s="1" t="s">
        <v>2659</v>
      </c>
      <c r="D1428" s="1" t="s">
        <v>8903</v>
      </c>
      <c r="E1428" s="1" t="str">
        <f>"2360"</f>
        <v>2360</v>
      </c>
      <c r="F1428" s="1" t="str">
        <f>"015900772"</f>
        <v>015900772</v>
      </c>
      <c r="G1428" s="1" t="s">
        <v>1695</v>
      </c>
      <c r="H1428" s="1" t="s">
        <v>16</v>
      </c>
      <c r="I1428" s="4" t="str">
        <f>"1"</f>
        <v>1</v>
      </c>
      <c r="J1428" s="2" t="str">
        <f>"232404"</f>
        <v>232404</v>
      </c>
      <c r="K1428" s="3">
        <v>46132</v>
      </c>
      <c r="L1428" s="3">
        <v>46184</v>
      </c>
      <c r="M1428" s="1" t="s">
        <v>8902</v>
      </c>
      <c r="N1428" s="1" t="s">
        <v>8899</v>
      </c>
    </row>
    <row r="1429" spans="1:14" s="1" customFormat="1" x14ac:dyDescent="0.35">
      <c r="A1429" s="1" t="s">
        <v>5171</v>
      </c>
      <c r="B1429" s="1" t="s">
        <v>2350</v>
      </c>
      <c r="C1429" s="1" t="s">
        <v>2659</v>
      </c>
      <c r="D1429" s="1" t="s">
        <v>8901</v>
      </c>
      <c r="E1429" s="1" t="str">
        <f>"2360"</f>
        <v>2360</v>
      </c>
      <c r="F1429" s="1" t="str">
        <f>"015900772"</f>
        <v>015900772</v>
      </c>
      <c r="G1429" s="1" t="s">
        <v>1695</v>
      </c>
      <c r="H1429" s="1" t="s">
        <v>16</v>
      </c>
      <c r="I1429" s="4" t="str">
        <f>"1"</f>
        <v>1</v>
      </c>
      <c r="J1429" s="2" t="str">
        <f>"232404"</f>
        <v>232404</v>
      </c>
      <c r="K1429" s="3">
        <v>46132</v>
      </c>
      <c r="L1429" s="3">
        <v>46184</v>
      </c>
      <c r="M1429" s="1" t="s">
        <v>8900</v>
      </c>
      <c r="N1429" s="1" t="s">
        <v>8899</v>
      </c>
    </row>
    <row r="1430" spans="1:14" s="1" customFormat="1" x14ac:dyDescent="0.35">
      <c r="A1430" s="1" t="s">
        <v>5171</v>
      </c>
      <c r="B1430" s="1" t="s">
        <v>2350</v>
      </c>
      <c r="C1430" s="1" t="s">
        <v>2646</v>
      </c>
      <c r="D1430" s="1" t="s">
        <v>8898</v>
      </c>
      <c r="E1430" s="1" t="str">
        <f>"8465"</f>
        <v>8465</v>
      </c>
      <c r="F1430" s="1" t="str">
        <f>"015245250"</f>
        <v>015245250</v>
      </c>
      <c r="G1430" s="1" t="s">
        <v>529</v>
      </c>
      <c r="H1430" s="1" t="s">
        <v>16</v>
      </c>
      <c r="I1430" s="4" t="str">
        <f>"3"</f>
        <v>3</v>
      </c>
      <c r="J1430" s="2">
        <v>75.150000000000006</v>
      </c>
      <c r="K1430" s="3">
        <v>46105</v>
      </c>
      <c r="L1430" s="3">
        <v>46185</v>
      </c>
      <c r="M1430" s="1" t="s">
        <v>8897</v>
      </c>
      <c r="N1430" s="1" t="s">
        <v>8896</v>
      </c>
    </row>
    <row r="1431" spans="1:14" s="1" customFormat="1" x14ac:dyDescent="0.35">
      <c r="A1431" s="1" t="s">
        <v>5171</v>
      </c>
      <c r="B1431" s="1" t="s">
        <v>2350</v>
      </c>
      <c r="C1431" s="1" t="s">
        <v>2646</v>
      </c>
      <c r="D1431" s="1" t="s">
        <v>8895</v>
      </c>
      <c r="E1431" s="1" t="str">
        <f>"8465"</f>
        <v>8465</v>
      </c>
      <c r="F1431" s="1" t="str">
        <f>"016418924"</f>
        <v>016418924</v>
      </c>
      <c r="G1431" s="1" t="s">
        <v>57</v>
      </c>
      <c r="H1431" s="1" t="s">
        <v>16</v>
      </c>
      <c r="I1431" s="4" t="str">
        <f>"2"</f>
        <v>2</v>
      </c>
      <c r="J1431" s="2">
        <v>37.9</v>
      </c>
      <c r="K1431" s="3">
        <v>46105</v>
      </c>
      <c r="L1431" s="3">
        <v>46185</v>
      </c>
      <c r="M1431" s="1" t="s">
        <v>8894</v>
      </c>
      <c r="N1431" s="1" t="s">
        <v>8893</v>
      </c>
    </row>
    <row r="1432" spans="1:14" s="1" customFormat="1" x14ac:dyDescent="0.35">
      <c r="A1432" s="1" t="s">
        <v>5171</v>
      </c>
      <c r="B1432" s="1" t="s">
        <v>2350</v>
      </c>
      <c r="C1432" s="1" t="s">
        <v>2670</v>
      </c>
      <c r="D1432" s="1" t="s">
        <v>8892</v>
      </c>
      <c r="E1432" s="1" t="str">
        <f>"5180"</f>
        <v>5180</v>
      </c>
      <c r="F1432" s="1" t="str">
        <f>"016679530"</f>
        <v>016679530</v>
      </c>
      <c r="G1432" s="1" t="s">
        <v>2993</v>
      </c>
      <c r="H1432" s="1" t="s">
        <v>458</v>
      </c>
      <c r="I1432" s="4" t="str">
        <f>"2"</f>
        <v>2</v>
      </c>
      <c r="J1432" s="2" t="str">
        <f>"5968"</f>
        <v>5968</v>
      </c>
      <c r="K1432" s="3">
        <v>46169</v>
      </c>
      <c r="L1432" s="3">
        <v>46185</v>
      </c>
      <c r="M1432" s="1" t="s">
        <v>8891</v>
      </c>
      <c r="N1432" s="1" t="s">
        <v>8890</v>
      </c>
    </row>
    <row r="1433" spans="1:14" s="1" customFormat="1" x14ac:dyDescent="0.35">
      <c r="A1433" s="1" t="s">
        <v>5171</v>
      </c>
      <c r="B1433" s="1" t="s">
        <v>2350</v>
      </c>
      <c r="C1433" s="1" t="s">
        <v>2670</v>
      </c>
      <c r="D1433" s="1" t="s">
        <v>8889</v>
      </c>
      <c r="E1433" s="1" t="str">
        <f>"7025"</f>
        <v>7025</v>
      </c>
      <c r="F1433" s="1" t="s">
        <v>2495</v>
      </c>
      <c r="G1433" s="1" t="s">
        <v>2496</v>
      </c>
      <c r="H1433" s="1" t="s">
        <v>16</v>
      </c>
      <c r="I1433" s="4" t="str">
        <f>"4"</f>
        <v>4</v>
      </c>
      <c r="J1433" s="2" t="str">
        <f>"3920"</f>
        <v>3920</v>
      </c>
      <c r="K1433" s="3">
        <v>46178</v>
      </c>
      <c r="L1433" s="3">
        <v>46186</v>
      </c>
      <c r="M1433" s="1" t="s">
        <v>8888</v>
      </c>
      <c r="N1433" s="1" t="s">
        <v>8887</v>
      </c>
    </row>
    <row r="1434" spans="1:14" s="1" customFormat="1" x14ac:dyDescent="0.35">
      <c r="A1434" s="1" t="s">
        <v>5171</v>
      </c>
      <c r="B1434" s="1" t="s">
        <v>2350</v>
      </c>
      <c r="C1434" s="1" t="s">
        <v>2696</v>
      </c>
      <c r="D1434" s="1" t="s">
        <v>8886</v>
      </c>
      <c r="E1434" s="1" t="str">
        <f>"7010"</f>
        <v>7010</v>
      </c>
      <c r="F1434" s="1" t="str">
        <f>"016675414"</f>
        <v>016675414</v>
      </c>
      <c r="G1434" s="1" t="s">
        <v>1422</v>
      </c>
      <c r="H1434" s="1" t="s">
        <v>16</v>
      </c>
      <c r="I1434" s="4" t="str">
        <f>"1"</f>
        <v>1</v>
      </c>
      <c r="J1434" s="2">
        <v>2690.75</v>
      </c>
      <c r="K1434" s="3">
        <v>46147</v>
      </c>
      <c r="L1434" s="3">
        <v>46188</v>
      </c>
      <c r="M1434" s="1" t="s">
        <v>8885</v>
      </c>
      <c r="N1434" s="1" t="s">
        <v>8884</v>
      </c>
    </row>
    <row r="1435" spans="1:14" s="1" customFormat="1" x14ac:dyDescent="0.35">
      <c r="A1435" s="1" t="s">
        <v>5171</v>
      </c>
      <c r="B1435" s="1" t="s">
        <v>2350</v>
      </c>
      <c r="C1435" s="1" t="s">
        <v>2696</v>
      </c>
      <c r="D1435" s="1" t="s">
        <v>8883</v>
      </c>
      <c r="E1435" s="1" t="str">
        <f>"5120"</f>
        <v>5120</v>
      </c>
      <c r="F1435" s="1" t="str">
        <f>"013750070"</f>
        <v>013750070</v>
      </c>
      <c r="G1435" s="1" t="s">
        <v>2700</v>
      </c>
      <c r="H1435" s="1" t="s">
        <v>16</v>
      </c>
      <c r="I1435" s="4" t="str">
        <f>"1"</f>
        <v>1</v>
      </c>
      <c r="J1435" s="2">
        <v>181.7</v>
      </c>
      <c r="K1435" s="3">
        <v>46147</v>
      </c>
      <c r="L1435" s="3">
        <v>46188</v>
      </c>
      <c r="M1435" s="1" t="s">
        <v>8882</v>
      </c>
      <c r="N1435" s="1" t="s">
        <v>2701</v>
      </c>
    </row>
    <row r="1436" spans="1:14" s="1" customFormat="1" x14ac:dyDescent="0.35">
      <c r="A1436" s="1" t="s">
        <v>0</v>
      </c>
      <c r="B1436" s="1" t="s">
        <v>2350</v>
      </c>
      <c r="C1436" s="1" t="s">
        <v>2475</v>
      </c>
      <c r="D1436" s="1" t="s">
        <v>8881</v>
      </c>
      <c r="E1436" s="1" t="str">
        <f>"4120"</f>
        <v>4120</v>
      </c>
      <c r="F1436" s="1" t="str">
        <f>"014490459"</f>
        <v>014490459</v>
      </c>
      <c r="G1436" s="1" t="s">
        <v>139</v>
      </c>
      <c r="H1436" s="1" t="s">
        <v>16</v>
      </c>
      <c r="I1436" s="4" t="str">
        <f>"6"</f>
        <v>6</v>
      </c>
      <c r="J1436" s="2" t="str">
        <f>"25750"</f>
        <v>25750</v>
      </c>
      <c r="K1436" s="3">
        <v>46189</v>
      </c>
      <c r="L1436" s="3">
        <v>46189</v>
      </c>
      <c r="M1436" s="1" t="s">
        <v>8880</v>
      </c>
      <c r="N1436" s="1" t="s">
        <v>8879</v>
      </c>
    </row>
    <row r="1437" spans="1:14" s="1" customFormat="1" x14ac:dyDescent="0.35">
      <c r="A1437" s="1" t="s">
        <v>5171</v>
      </c>
      <c r="B1437" s="1" t="s">
        <v>2350</v>
      </c>
      <c r="C1437" s="1" t="s">
        <v>2520</v>
      </c>
      <c r="D1437" s="1" t="s">
        <v>8878</v>
      </c>
      <c r="E1437" s="1" t="str">
        <f>"5855"</f>
        <v>5855</v>
      </c>
      <c r="F1437" s="1" t="str">
        <f>"015356166"</f>
        <v>015356166</v>
      </c>
      <c r="G1437" s="1" t="s">
        <v>1379</v>
      </c>
      <c r="H1437" s="1" t="s">
        <v>16</v>
      </c>
      <c r="I1437" s="4" t="str">
        <f>"24"</f>
        <v>24</v>
      </c>
      <c r="J1437" s="2" t="str">
        <f>"898"</f>
        <v>898</v>
      </c>
      <c r="K1437" s="3">
        <v>46189</v>
      </c>
      <c r="L1437" s="3">
        <v>46190</v>
      </c>
      <c r="M1437" s="1" t="s">
        <v>5469</v>
      </c>
      <c r="N1437" s="1" t="s">
        <v>8877</v>
      </c>
    </row>
    <row r="1438" spans="1:14" s="1" customFormat="1" x14ac:dyDescent="0.35">
      <c r="A1438" s="1" t="s">
        <v>5171</v>
      </c>
      <c r="B1438" s="1" t="s">
        <v>2350</v>
      </c>
      <c r="C1438" s="1" t="s">
        <v>2520</v>
      </c>
      <c r="D1438" s="1" t="s">
        <v>8876</v>
      </c>
      <c r="E1438" s="1" t="str">
        <f>"5855"</f>
        <v>5855</v>
      </c>
      <c r="F1438" s="1" t="s">
        <v>4563</v>
      </c>
      <c r="G1438" s="1" t="s">
        <v>4564</v>
      </c>
      <c r="H1438" s="1" t="s">
        <v>16</v>
      </c>
      <c r="I1438" s="4" t="str">
        <f>"31"</f>
        <v>31</v>
      </c>
      <c r="J1438" s="2" t="str">
        <f>"130000"</f>
        <v>130000</v>
      </c>
      <c r="K1438" s="3">
        <v>46189</v>
      </c>
      <c r="L1438" s="3">
        <v>46190</v>
      </c>
      <c r="M1438" s="1" t="s">
        <v>5469</v>
      </c>
      <c r="N1438" s="1" t="s">
        <v>8874</v>
      </c>
    </row>
    <row r="1439" spans="1:14" s="1" customFormat="1" x14ac:dyDescent="0.35">
      <c r="A1439" s="1" t="s">
        <v>5171</v>
      </c>
      <c r="B1439" s="1" t="s">
        <v>2350</v>
      </c>
      <c r="C1439" s="1" t="s">
        <v>2520</v>
      </c>
      <c r="D1439" s="1" t="s">
        <v>8875</v>
      </c>
      <c r="E1439" s="1" t="str">
        <f>"5855"</f>
        <v>5855</v>
      </c>
      <c r="F1439" s="1" t="s">
        <v>7848</v>
      </c>
      <c r="G1439" s="1" t="s">
        <v>7847</v>
      </c>
      <c r="H1439" s="1" t="s">
        <v>16</v>
      </c>
      <c r="I1439" s="4" t="str">
        <f>"2"</f>
        <v>2</v>
      </c>
      <c r="J1439" s="2">
        <v>23959.87</v>
      </c>
      <c r="K1439" s="3">
        <v>46189</v>
      </c>
      <c r="L1439" s="3">
        <v>46190</v>
      </c>
      <c r="M1439" s="1" t="s">
        <v>5469</v>
      </c>
      <c r="N1439" s="1" t="s">
        <v>8874</v>
      </c>
    </row>
    <row r="1440" spans="1:14" s="1" customFormat="1" x14ac:dyDescent="0.35">
      <c r="A1440" s="1" t="s">
        <v>5171</v>
      </c>
      <c r="B1440" s="1" t="s">
        <v>2350</v>
      </c>
      <c r="C1440" s="1" t="s">
        <v>2520</v>
      </c>
      <c r="D1440" s="1" t="s">
        <v>8873</v>
      </c>
      <c r="E1440" s="1" t="str">
        <f>"8145"</f>
        <v>8145</v>
      </c>
      <c r="F1440" s="1" t="str">
        <f>"014673210"</f>
        <v>014673210</v>
      </c>
      <c r="G1440" s="1" t="s">
        <v>423</v>
      </c>
      <c r="H1440" s="1" t="s">
        <v>16</v>
      </c>
      <c r="I1440" s="4" t="str">
        <f>"1"</f>
        <v>1</v>
      </c>
      <c r="J1440" s="2">
        <v>19620.3</v>
      </c>
      <c r="K1440" s="3">
        <v>46189</v>
      </c>
      <c r="L1440" s="3">
        <v>46190</v>
      </c>
      <c r="M1440" s="1" t="s">
        <v>5469</v>
      </c>
      <c r="N1440" s="1" t="s">
        <v>8870</v>
      </c>
    </row>
    <row r="1441" spans="1:14" s="1" customFormat="1" x14ac:dyDescent="0.35">
      <c r="A1441" s="1" t="s">
        <v>5171</v>
      </c>
      <c r="B1441" s="1" t="s">
        <v>2350</v>
      </c>
      <c r="C1441" s="1" t="s">
        <v>2520</v>
      </c>
      <c r="D1441" s="1" t="s">
        <v>8872</v>
      </c>
      <c r="E1441" s="1" t="str">
        <f>"8145"</f>
        <v>8145</v>
      </c>
      <c r="F1441" s="1" t="str">
        <f>"014653629"</f>
        <v>014653629</v>
      </c>
      <c r="G1441" s="1" t="s">
        <v>8871</v>
      </c>
      <c r="H1441" s="1" t="s">
        <v>16</v>
      </c>
      <c r="I1441" s="4" t="str">
        <f>"1"</f>
        <v>1</v>
      </c>
      <c r="J1441" s="2">
        <v>16310.55</v>
      </c>
      <c r="K1441" s="3">
        <v>46189</v>
      </c>
      <c r="L1441" s="3">
        <v>46190</v>
      </c>
      <c r="M1441" s="1" t="s">
        <v>5469</v>
      </c>
      <c r="N1441" s="1" t="s">
        <v>8870</v>
      </c>
    </row>
    <row r="1442" spans="1:14" s="1" customFormat="1" x14ac:dyDescent="0.35">
      <c r="A1442" s="1" t="s">
        <v>5171</v>
      </c>
      <c r="B1442" s="1" t="s">
        <v>2350</v>
      </c>
      <c r="C1442" s="1" t="s">
        <v>2520</v>
      </c>
      <c r="D1442" s="1" t="s">
        <v>8869</v>
      </c>
      <c r="E1442" s="1" t="str">
        <f>"1240"</f>
        <v>1240</v>
      </c>
      <c r="F1442" s="1" t="str">
        <f>"014111265"</f>
        <v>014111265</v>
      </c>
      <c r="G1442" s="1" t="s">
        <v>1103</v>
      </c>
      <c r="H1442" s="1" t="s">
        <v>16</v>
      </c>
      <c r="I1442" s="4" t="str">
        <f>"17"</f>
        <v>17</v>
      </c>
      <c r="J1442" s="2" t="str">
        <f>"339"</f>
        <v>339</v>
      </c>
      <c r="K1442" s="3">
        <v>46189</v>
      </c>
      <c r="L1442" s="3">
        <v>46190</v>
      </c>
      <c r="M1442" s="1" t="s">
        <v>5469</v>
      </c>
      <c r="N1442" s="1" t="s">
        <v>8867</v>
      </c>
    </row>
    <row r="1443" spans="1:14" s="1" customFormat="1" x14ac:dyDescent="0.35">
      <c r="A1443" s="1" t="s">
        <v>5171</v>
      </c>
      <c r="B1443" s="1" t="s">
        <v>2350</v>
      </c>
      <c r="C1443" s="1" t="s">
        <v>2520</v>
      </c>
      <c r="D1443" s="1" t="s">
        <v>8868</v>
      </c>
      <c r="E1443" s="1" t="str">
        <f>"1240"</f>
        <v>1240</v>
      </c>
      <c r="F1443" s="1" t="str">
        <f>"014111265"</f>
        <v>014111265</v>
      </c>
      <c r="G1443" s="1" t="s">
        <v>1103</v>
      </c>
      <c r="H1443" s="1" t="s">
        <v>16</v>
      </c>
      <c r="I1443" s="4" t="str">
        <f>"18"</f>
        <v>18</v>
      </c>
      <c r="J1443" s="2" t="str">
        <f>"339"</f>
        <v>339</v>
      </c>
      <c r="K1443" s="3">
        <v>46189</v>
      </c>
      <c r="L1443" s="3">
        <v>46190</v>
      </c>
      <c r="M1443" s="1" t="s">
        <v>5469</v>
      </c>
      <c r="N1443" s="1" t="s">
        <v>8867</v>
      </c>
    </row>
    <row r="1444" spans="1:14" s="1" customFormat="1" x14ac:dyDescent="0.35">
      <c r="A1444" s="1" t="s">
        <v>5171</v>
      </c>
      <c r="B1444" s="1" t="s">
        <v>2350</v>
      </c>
      <c r="C1444" s="1" t="s">
        <v>8866</v>
      </c>
      <c r="D1444" s="1" t="s">
        <v>8865</v>
      </c>
      <c r="E1444" s="1" t="str">
        <f>"5855"</f>
        <v>5855</v>
      </c>
      <c r="F1444" s="1" t="str">
        <f>"016559449"</f>
        <v>016559449</v>
      </c>
      <c r="G1444" s="1" t="s">
        <v>2121</v>
      </c>
      <c r="H1444" s="1" t="s">
        <v>16</v>
      </c>
      <c r="I1444" s="4" t="str">
        <f>"6"</f>
        <v>6</v>
      </c>
      <c r="J1444" s="2">
        <v>2299.66</v>
      </c>
      <c r="K1444" s="3">
        <v>46156</v>
      </c>
      <c r="L1444" s="3">
        <v>46190</v>
      </c>
      <c r="M1444" s="1" t="s">
        <v>8864</v>
      </c>
      <c r="N1444" s="1" t="s">
        <v>8863</v>
      </c>
    </row>
    <row r="1445" spans="1:14" s="1" customFormat="1" x14ac:dyDescent="0.35">
      <c r="A1445" s="1" t="s">
        <v>5171</v>
      </c>
      <c r="B1445" s="1" t="s">
        <v>2350</v>
      </c>
      <c r="C1445" s="1" t="s">
        <v>2594</v>
      </c>
      <c r="D1445" s="1" t="s">
        <v>8862</v>
      </c>
      <c r="E1445" s="1" t="str">
        <f>"4140"</f>
        <v>4140</v>
      </c>
      <c r="F1445" s="1" t="s">
        <v>398</v>
      </c>
      <c r="G1445" s="1" t="s">
        <v>399</v>
      </c>
      <c r="H1445" s="1" t="s">
        <v>16</v>
      </c>
      <c r="I1445" s="4" t="str">
        <f>"2"</f>
        <v>2</v>
      </c>
      <c r="J1445" s="2" t="str">
        <f>"4000"</f>
        <v>4000</v>
      </c>
      <c r="K1445" s="3">
        <v>46185</v>
      </c>
      <c r="L1445" s="3">
        <v>46190</v>
      </c>
      <c r="M1445" s="1" t="s">
        <v>8861</v>
      </c>
      <c r="N1445" s="1" t="s">
        <v>8860</v>
      </c>
    </row>
    <row r="1446" spans="1:14" s="1" customFormat="1" x14ac:dyDescent="0.35">
      <c r="A1446" s="1" t="s">
        <v>5171</v>
      </c>
      <c r="B1446" s="1" t="s">
        <v>2350</v>
      </c>
      <c r="C1446" s="1" t="s">
        <v>2670</v>
      </c>
      <c r="D1446" s="1" t="s">
        <v>8859</v>
      </c>
      <c r="E1446" s="1" t="str">
        <f>"1240"</f>
        <v>1240</v>
      </c>
      <c r="F1446" s="1" t="str">
        <f>"015330941"</f>
        <v>015330941</v>
      </c>
      <c r="G1446" s="1" t="s">
        <v>1103</v>
      </c>
      <c r="H1446" s="1" t="s">
        <v>16</v>
      </c>
      <c r="I1446" s="4" t="str">
        <f>"3"</f>
        <v>3</v>
      </c>
      <c r="J1446" s="2" t="str">
        <f>"400"</f>
        <v>400</v>
      </c>
      <c r="K1446" s="3">
        <v>46189</v>
      </c>
      <c r="L1446" s="3">
        <v>46190</v>
      </c>
      <c r="M1446" s="1" t="s">
        <v>8858</v>
      </c>
      <c r="N1446" s="1" t="s">
        <v>8815</v>
      </c>
    </row>
    <row r="1447" spans="1:14" s="1" customFormat="1" x14ac:dyDescent="0.35">
      <c r="A1447" s="1" t="s">
        <v>5216</v>
      </c>
      <c r="B1447" s="1" t="s">
        <v>2350</v>
      </c>
      <c r="C1447" s="1" t="s">
        <v>2594</v>
      </c>
      <c r="D1447" s="1" t="s">
        <v>8857</v>
      </c>
      <c r="E1447" s="1" t="str">
        <f>"2320"</f>
        <v>2320</v>
      </c>
      <c r="F1447" s="1" t="str">
        <f>"013808213"</f>
        <v>013808213</v>
      </c>
      <c r="G1447" s="1" t="s">
        <v>414</v>
      </c>
      <c r="H1447" s="1" t="s">
        <v>16</v>
      </c>
      <c r="I1447" s="4" t="str">
        <f>"1"</f>
        <v>1</v>
      </c>
      <c r="J1447" s="2" t="str">
        <f>"77522"</f>
        <v>77522</v>
      </c>
      <c r="K1447" s="3">
        <v>46189</v>
      </c>
      <c r="L1447" s="3">
        <v>46191</v>
      </c>
      <c r="N1447" s="1" t="s">
        <v>8855</v>
      </c>
    </row>
    <row r="1448" spans="1:14" s="1" customFormat="1" x14ac:dyDescent="0.35">
      <c r="A1448" s="1" t="s">
        <v>5216</v>
      </c>
      <c r="B1448" s="1" t="s">
        <v>2350</v>
      </c>
      <c r="C1448" s="1" t="s">
        <v>2594</v>
      </c>
      <c r="D1448" s="1" t="s">
        <v>8856</v>
      </c>
      <c r="E1448" s="1" t="str">
        <f>"2320"</f>
        <v>2320</v>
      </c>
      <c r="F1448" s="1" t="str">
        <f>"013808213"</f>
        <v>013808213</v>
      </c>
      <c r="G1448" s="1" t="s">
        <v>414</v>
      </c>
      <c r="H1448" s="1" t="s">
        <v>16</v>
      </c>
      <c r="I1448" s="4" t="str">
        <f>"1"</f>
        <v>1</v>
      </c>
      <c r="J1448" s="2" t="str">
        <f>"77522"</f>
        <v>77522</v>
      </c>
      <c r="K1448" s="3">
        <v>46189</v>
      </c>
      <c r="L1448" s="3">
        <v>46191</v>
      </c>
      <c r="N1448" s="1" t="s">
        <v>8855</v>
      </c>
    </row>
    <row r="1449" spans="1:14" s="1" customFormat="1" x14ac:dyDescent="0.35">
      <c r="A1449" s="1" t="s">
        <v>5171</v>
      </c>
      <c r="B1449" s="1" t="s">
        <v>2350</v>
      </c>
      <c r="C1449" s="1" t="s">
        <v>2670</v>
      </c>
      <c r="D1449" s="1" t="s">
        <v>8854</v>
      </c>
      <c r="E1449" s="1" t="str">
        <f>"5860"</f>
        <v>5860</v>
      </c>
      <c r="F1449" s="1" t="str">
        <f>"013508551"</f>
        <v>013508551</v>
      </c>
      <c r="G1449" s="1" t="s">
        <v>7215</v>
      </c>
      <c r="H1449" s="1" t="s">
        <v>16</v>
      </c>
      <c r="I1449" s="4" t="str">
        <f>"6"</f>
        <v>6</v>
      </c>
      <c r="J1449" s="2" t="str">
        <f>"22015"</f>
        <v>22015</v>
      </c>
      <c r="K1449" s="3">
        <v>46178</v>
      </c>
      <c r="L1449" s="3">
        <v>46191</v>
      </c>
      <c r="M1449" s="1" t="s">
        <v>8853</v>
      </c>
      <c r="N1449" s="1" t="s">
        <v>8852</v>
      </c>
    </row>
    <row r="1450" spans="1:14" s="1" customFormat="1" x14ac:dyDescent="0.35">
      <c r="A1450" s="1" t="s">
        <v>5171</v>
      </c>
      <c r="B1450" s="1" t="s">
        <v>2350</v>
      </c>
      <c r="C1450" s="1" t="s">
        <v>2520</v>
      </c>
      <c r="D1450" s="1" t="s">
        <v>8851</v>
      </c>
      <c r="E1450" s="1" t="str">
        <f>"5855"</f>
        <v>5855</v>
      </c>
      <c r="F1450" s="1" t="str">
        <f>"015356166"</f>
        <v>015356166</v>
      </c>
      <c r="G1450" s="1" t="s">
        <v>1379</v>
      </c>
      <c r="H1450" s="1" t="s">
        <v>16</v>
      </c>
      <c r="I1450" s="4" t="str">
        <f>"24"</f>
        <v>24</v>
      </c>
      <c r="J1450" s="2" t="str">
        <f>"898"</f>
        <v>898</v>
      </c>
      <c r="K1450" s="3">
        <v>46190</v>
      </c>
      <c r="L1450" s="3">
        <v>46192</v>
      </c>
      <c r="M1450" s="1" t="s">
        <v>5167</v>
      </c>
      <c r="N1450" s="1" t="s">
        <v>8803</v>
      </c>
    </row>
    <row r="1451" spans="1:14" s="1" customFormat="1" x14ac:dyDescent="0.35">
      <c r="A1451" s="1" t="s">
        <v>5216</v>
      </c>
      <c r="B1451" s="1" t="s">
        <v>2350</v>
      </c>
      <c r="C1451" s="1" t="s">
        <v>2520</v>
      </c>
      <c r="D1451" s="1" t="s">
        <v>8850</v>
      </c>
      <c r="E1451" s="1" t="str">
        <f>"8145"</f>
        <v>8145</v>
      </c>
      <c r="F1451" s="1" t="str">
        <f>"014673210"</f>
        <v>014673210</v>
      </c>
      <c r="G1451" s="1" t="s">
        <v>423</v>
      </c>
      <c r="H1451" s="1" t="s">
        <v>16</v>
      </c>
      <c r="I1451" s="4" t="str">
        <f>"1"</f>
        <v>1</v>
      </c>
      <c r="J1451" s="2">
        <v>19620.3</v>
      </c>
      <c r="K1451" s="3">
        <v>46190</v>
      </c>
      <c r="L1451" s="3">
        <v>46195</v>
      </c>
      <c r="M1451" s="1" t="s">
        <v>8846</v>
      </c>
      <c r="N1451" s="1" t="s">
        <v>8849</v>
      </c>
    </row>
    <row r="1452" spans="1:14" s="1" customFormat="1" x14ac:dyDescent="0.35">
      <c r="A1452" s="1" t="s">
        <v>5216</v>
      </c>
      <c r="B1452" s="1" t="s">
        <v>2350</v>
      </c>
      <c r="C1452" s="1" t="s">
        <v>2520</v>
      </c>
      <c r="D1452" s="1" t="s">
        <v>8848</v>
      </c>
      <c r="E1452" s="1" t="str">
        <f>"8340"</f>
        <v>8340</v>
      </c>
      <c r="F1452" s="1" t="str">
        <f>"013377234"</f>
        <v>013377234</v>
      </c>
      <c r="G1452" s="1" t="s">
        <v>8847</v>
      </c>
      <c r="H1452" s="1" t="s">
        <v>16</v>
      </c>
      <c r="I1452" s="4" t="str">
        <f>"5"</f>
        <v>5</v>
      </c>
      <c r="J1452" s="2">
        <v>153.02000000000001</v>
      </c>
      <c r="K1452" s="3">
        <v>46190</v>
      </c>
      <c r="L1452" s="3">
        <v>46195</v>
      </c>
      <c r="M1452" s="1" t="s">
        <v>8846</v>
      </c>
      <c r="N1452" s="1" t="s">
        <v>8845</v>
      </c>
    </row>
    <row r="1453" spans="1:14" s="1" customFormat="1" x14ac:dyDescent="0.35">
      <c r="A1453" s="1" t="s">
        <v>5216</v>
      </c>
      <c r="B1453" s="1" t="s">
        <v>2350</v>
      </c>
      <c r="C1453" s="1" t="s">
        <v>2520</v>
      </c>
      <c r="D1453" s="1" t="s">
        <v>8844</v>
      </c>
      <c r="E1453" s="1" t="str">
        <f>"2340"</f>
        <v>2340</v>
      </c>
      <c r="F1453" s="1" t="s">
        <v>61</v>
      </c>
      <c r="G1453" s="1" t="s">
        <v>62</v>
      </c>
      <c r="H1453" s="1" t="s">
        <v>16</v>
      </c>
      <c r="I1453" s="4" t="str">
        <f>"1"</f>
        <v>1</v>
      </c>
      <c r="J1453" s="2" t="str">
        <f>"10601"</f>
        <v>10601</v>
      </c>
      <c r="K1453" s="3">
        <v>46194</v>
      </c>
      <c r="L1453" s="3">
        <v>46195</v>
      </c>
      <c r="M1453" s="1" t="s">
        <v>5224</v>
      </c>
      <c r="N1453" s="1" t="s">
        <v>8843</v>
      </c>
    </row>
    <row r="1454" spans="1:14" s="1" customFormat="1" x14ac:dyDescent="0.35">
      <c r="A1454" s="1" t="s">
        <v>5216</v>
      </c>
      <c r="B1454" s="1" t="s">
        <v>2350</v>
      </c>
      <c r="C1454" s="1" t="s">
        <v>2594</v>
      </c>
      <c r="D1454" s="1" t="s">
        <v>8842</v>
      </c>
      <c r="E1454" s="1" t="str">
        <f>"2320"</f>
        <v>2320</v>
      </c>
      <c r="F1454" s="1" t="str">
        <f>"015402038"</f>
        <v>015402038</v>
      </c>
      <c r="G1454" s="1" t="s">
        <v>414</v>
      </c>
      <c r="H1454" s="1" t="s">
        <v>16</v>
      </c>
      <c r="I1454" s="4" t="str">
        <f>"1"</f>
        <v>1</v>
      </c>
      <c r="J1454" s="2" t="str">
        <f>"225121"</f>
        <v>225121</v>
      </c>
      <c r="K1454" s="3">
        <v>46191</v>
      </c>
      <c r="L1454" s="3">
        <v>46195</v>
      </c>
      <c r="M1454" s="1" t="s">
        <v>8841</v>
      </c>
      <c r="N1454" s="1" t="s">
        <v>8838</v>
      </c>
    </row>
    <row r="1455" spans="1:14" s="1" customFormat="1" x14ac:dyDescent="0.35">
      <c r="A1455" s="1" t="s">
        <v>5216</v>
      </c>
      <c r="B1455" s="1" t="s">
        <v>2350</v>
      </c>
      <c r="C1455" s="1" t="s">
        <v>2594</v>
      </c>
      <c r="D1455" s="1" t="s">
        <v>8840</v>
      </c>
      <c r="E1455" s="1" t="str">
        <f>"2320"</f>
        <v>2320</v>
      </c>
      <c r="F1455" s="1" t="str">
        <f>"015402038"</f>
        <v>015402038</v>
      </c>
      <c r="G1455" s="1" t="s">
        <v>414</v>
      </c>
      <c r="H1455" s="1" t="s">
        <v>16</v>
      </c>
      <c r="I1455" s="4" t="str">
        <f>"1"</f>
        <v>1</v>
      </c>
      <c r="J1455" s="2" t="str">
        <f>"225121"</f>
        <v>225121</v>
      </c>
      <c r="K1455" s="3">
        <v>46191</v>
      </c>
      <c r="L1455" s="3">
        <v>46195</v>
      </c>
      <c r="M1455" s="1" t="s">
        <v>8839</v>
      </c>
      <c r="N1455" s="1" t="s">
        <v>8838</v>
      </c>
    </row>
    <row r="1456" spans="1:14" s="1" customFormat="1" x14ac:dyDescent="0.35">
      <c r="A1456" s="1" t="s">
        <v>0</v>
      </c>
      <c r="B1456" s="1" t="s">
        <v>2350</v>
      </c>
      <c r="C1456" s="1" t="s">
        <v>2520</v>
      </c>
      <c r="D1456" s="1" t="s">
        <v>8837</v>
      </c>
      <c r="E1456" s="1" t="str">
        <f>"5855"</f>
        <v>5855</v>
      </c>
      <c r="F1456" s="1" t="str">
        <f>"015294726"</f>
        <v>015294726</v>
      </c>
      <c r="G1456" s="1" t="s">
        <v>1379</v>
      </c>
      <c r="H1456" s="1" t="s">
        <v>16</v>
      </c>
      <c r="I1456" s="4" t="str">
        <f>"100"</f>
        <v>100</v>
      </c>
      <c r="J1456" s="2" t="str">
        <f>"1200"</f>
        <v>1200</v>
      </c>
      <c r="K1456" s="3">
        <v>46195</v>
      </c>
      <c r="L1456" s="3">
        <v>46195</v>
      </c>
      <c r="M1456" s="1" t="s">
        <v>8835</v>
      </c>
      <c r="N1456" s="1" t="s">
        <v>8821</v>
      </c>
    </row>
    <row r="1457" spans="1:14" s="1" customFormat="1" x14ac:dyDescent="0.35">
      <c r="A1457" s="1" t="s">
        <v>0</v>
      </c>
      <c r="B1457" s="1" t="s">
        <v>2350</v>
      </c>
      <c r="C1457" s="1" t="s">
        <v>2520</v>
      </c>
      <c r="D1457" s="1" t="s">
        <v>8836</v>
      </c>
      <c r="E1457" s="1" t="str">
        <f>"5855"</f>
        <v>5855</v>
      </c>
      <c r="F1457" s="1" t="str">
        <f>"015294726"</f>
        <v>015294726</v>
      </c>
      <c r="G1457" s="1" t="s">
        <v>1379</v>
      </c>
      <c r="H1457" s="1" t="s">
        <v>16</v>
      </c>
      <c r="I1457" s="4" t="str">
        <f>"100"</f>
        <v>100</v>
      </c>
      <c r="J1457" s="2" t="str">
        <f>"1200"</f>
        <v>1200</v>
      </c>
      <c r="K1457" s="3">
        <v>46195</v>
      </c>
      <c r="L1457" s="3">
        <v>46195</v>
      </c>
      <c r="M1457" s="1" t="s">
        <v>8835</v>
      </c>
      <c r="N1457" s="1" t="s">
        <v>8834</v>
      </c>
    </row>
    <row r="1458" spans="1:14" s="1" customFormat="1" x14ac:dyDescent="0.35">
      <c r="A1458" s="1" t="s">
        <v>5171</v>
      </c>
      <c r="B1458" s="1" t="s">
        <v>2350</v>
      </c>
      <c r="C1458" s="1" t="s">
        <v>2520</v>
      </c>
      <c r="D1458" s="1" t="s">
        <v>8833</v>
      </c>
      <c r="E1458" s="1" t="str">
        <f>"5855"</f>
        <v>5855</v>
      </c>
      <c r="F1458" s="1" t="s">
        <v>4563</v>
      </c>
      <c r="G1458" s="1" t="s">
        <v>4564</v>
      </c>
      <c r="H1458" s="1" t="s">
        <v>16</v>
      </c>
      <c r="I1458" s="4" t="str">
        <f>"31"</f>
        <v>31</v>
      </c>
      <c r="J1458" s="2" t="str">
        <f>"130000"</f>
        <v>130000</v>
      </c>
      <c r="K1458" s="3">
        <v>46190</v>
      </c>
      <c r="L1458" s="3">
        <v>46195</v>
      </c>
      <c r="M1458" s="1" t="s">
        <v>5167</v>
      </c>
      <c r="N1458" s="1" t="s">
        <v>8803</v>
      </c>
    </row>
    <row r="1459" spans="1:14" s="1" customFormat="1" x14ac:dyDescent="0.35">
      <c r="A1459" s="1" t="s">
        <v>5171</v>
      </c>
      <c r="B1459" s="1" t="s">
        <v>2350</v>
      </c>
      <c r="C1459" s="1" t="s">
        <v>2520</v>
      </c>
      <c r="D1459" s="1" t="s">
        <v>8832</v>
      </c>
      <c r="E1459" s="1" t="str">
        <f>"5855"</f>
        <v>5855</v>
      </c>
      <c r="F1459" s="1" t="s">
        <v>7848</v>
      </c>
      <c r="G1459" s="1" t="s">
        <v>7847</v>
      </c>
      <c r="H1459" s="1" t="s">
        <v>16</v>
      </c>
      <c r="I1459" s="4" t="str">
        <f>"2"</f>
        <v>2</v>
      </c>
      <c r="J1459" s="2">
        <v>23959.87</v>
      </c>
      <c r="K1459" s="3">
        <v>46190</v>
      </c>
      <c r="L1459" s="3">
        <v>46195</v>
      </c>
      <c r="M1459" s="1" t="s">
        <v>5167</v>
      </c>
      <c r="N1459" s="1" t="s">
        <v>8803</v>
      </c>
    </row>
    <row r="1460" spans="1:14" s="1" customFormat="1" x14ac:dyDescent="0.35">
      <c r="A1460" s="1" t="s">
        <v>5171</v>
      </c>
      <c r="B1460" s="1" t="s">
        <v>2350</v>
      </c>
      <c r="C1460" s="1" t="s">
        <v>2520</v>
      </c>
      <c r="D1460" s="1" t="s">
        <v>8831</v>
      </c>
      <c r="E1460" s="1" t="str">
        <f>"1240"</f>
        <v>1240</v>
      </c>
      <c r="F1460" s="1" t="str">
        <f>"014111265"</f>
        <v>014111265</v>
      </c>
      <c r="G1460" s="1" t="s">
        <v>1103</v>
      </c>
      <c r="H1460" s="1" t="s">
        <v>16</v>
      </c>
      <c r="I1460" s="4" t="str">
        <f>"17"</f>
        <v>17</v>
      </c>
      <c r="J1460" s="2" t="str">
        <f>"339"</f>
        <v>339</v>
      </c>
      <c r="K1460" s="3">
        <v>46190</v>
      </c>
      <c r="L1460" s="3">
        <v>46195</v>
      </c>
      <c r="M1460" s="1" t="s">
        <v>5167</v>
      </c>
      <c r="N1460" s="1" t="s">
        <v>8803</v>
      </c>
    </row>
    <row r="1461" spans="1:14" s="1" customFormat="1" x14ac:dyDescent="0.35">
      <c r="A1461" s="1" t="s">
        <v>5171</v>
      </c>
      <c r="B1461" s="1" t="s">
        <v>2350</v>
      </c>
      <c r="C1461" s="1" t="s">
        <v>2520</v>
      </c>
      <c r="D1461" s="1" t="s">
        <v>8830</v>
      </c>
      <c r="E1461" s="1" t="str">
        <f>"2340"</f>
        <v>2340</v>
      </c>
      <c r="F1461" s="1" t="s">
        <v>2017</v>
      </c>
      <c r="G1461" s="1" t="s">
        <v>2018</v>
      </c>
      <c r="H1461" s="1" t="s">
        <v>16</v>
      </c>
      <c r="I1461" s="4" t="str">
        <f>"1"</f>
        <v>1</v>
      </c>
      <c r="J1461" s="2" t="str">
        <f>"3938"</f>
        <v>3938</v>
      </c>
      <c r="K1461" s="3">
        <v>46190</v>
      </c>
      <c r="L1461" s="3">
        <v>46195</v>
      </c>
      <c r="M1461" s="1" t="s">
        <v>5167</v>
      </c>
      <c r="N1461" s="1" t="s">
        <v>8826</v>
      </c>
    </row>
    <row r="1462" spans="1:14" s="1" customFormat="1" x14ac:dyDescent="0.35">
      <c r="A1462" s="1" t="s">
        <v>5171</v>
      </c>
      <c r="B1462" s="1" t="s">
        <v>2350</v>
      </c>
      <c r="C1462" s="1" t="s">
        <v>2520</v>
      </c>
      <c r="D1462" s="1" t="s">
        <v>8829</v>
      </c>
      <c r="E1462" s="1" t="str">
        <f>"2340"</f>
        <v>2340</v>
      </c>
      <c r="F1462" s="1" t="s">
        <v>2017</v>
      </c>
      <c r="G1462" s="1" t="s">
        <v>2018</v>
      </c>
      <c r="H1462" s="1" t="s">
        <v>16</v>
      </c>
      <c r="I1462" s="4" t="str">
        <f>"1"</f>
        <v>1</v>
      </c>
      <c r="J1462" s="2" t="str">
        <f>"3938"</f>
        <v>3938</v>
      </c>
      <c r="K1462" s="3">
        <v>46190</v>
      </c>
      <c r="L1462" s="3">
        <v>46195</v>
      </c>
      <c r="M1462" s="1" t="s">
        <v>5167</v>
      </c>
      <c r="N1462" s="1" t="s">
        <v>8826</v>
      </c>
    </row>
    <row r="1463" spans="1:14" s="1" customFormat="1" x14ac:dyDescent="0.35">
      <c r="A1463" s="1" t="s">
        <v>5171</v>
      </c>
      <c r="B1463" s="1" t="s">
        <v>2350</v>
      </c>
      <c r="C1463" s="1" t="s">
        <v>2520</v>
      </c>
      <c r="D1463" s="1" t="s">
        <v>8828</v>
      </c>
      <c r="E1463" s="1" t="str">
        <f>"2340"</f>
        <v>2340</v>
      </c>
      <c r="F1463" s="1" t="s">
        <v>2017</v>
      </c>
      <c r="G1463" s="1" t="s">
        <v>2018</v>
      </c>
      <c r="H1463" s="1" t="s">
        <v>16</v>
      </c>
      <c r="I1463" s="4" t="str">
        <f>"1"</f>
        <v>1</v>
      </c>
      <c r="J1463" s="2" t="str">
        <f>"3938"</f>
        <v>3938</v>
      </c>
      <c r="K1463" s="3">
        <v>46190</v>
      </c>
      <c r="L1463" s="3">
        <v>46195</v>
      </c>
      <c r="M1463" s="1" t="s">
        <v>5167</v>
      </c>
      <c r="N1463" s="1" t="s">
        <v>8826</v>
      </c>
    </row>
    <row r="1464" spans="1:14" s="1" customFormat="1" x14ac:dyDescent="0.35">
      <c r="A1464" s="1" t="s">
        <v>5171</v>
      </c>
      <c r="B1464" s="1" t="s">
        <v>2350</v>
      </c>
      <c r="C1464" s="1" t="s">
        <v>2520</v>
      </c>
      <c r="D1464" s="1" t="s">
        <v>8827</v>
      </c>
      <c r="E1464" s="1" t="str">
        <f>"2340"</f>
        <v>2340</v>
      </c>
      <c r="F1464" s="1" t="s">
        <v>2017</v>
      </c>
      <c r="G1464" s="1" t="s">
        <v>2018</v>
      </c>
      <c r="H1464" s="1" t="s">
        <v>16</v>
      </c>
      <c r="I1464" s="4" t="str">
        <f>"1"</f>
        <v>1</v>
      </c>
      <c r="J1464" s="2" t="str">
        <f>"3938"</f>
        <v>3938</v>
      </c>
      <c r="K1464" s="3">
        <v>46190</v>
      </c>
      <c r="L1464" s="3">
        <v>46195</v>
      </c>
      <c r="M1464" s="1" t="s">
        <v>5167</v>
      </c>
      <c r="N1464" s="1" t="s">
        <v>8826</v>
      </c>
    </row>
    <row r="1465" spans="1:14" s="1" customFormat="1" x14ac:dyDescent="0.35">
      <c r="A1465" s="1" t="s">
        <v>5171</v>
      </c>
      <c r="B1465" s="1" t="s">
        <v>2350</v>
      </c>
      <c r="C1465" s="1" t="s">
        <v>2670</v>
      </c>
      <c r="D1465" s="1" t="s">
        <v>8825</v>
      </c>
      <c r="E1465" s="1" t="str">
        <f>"1240"</f>
        <v>1240</v>
      </c>
      <c r="F1465" s="1" t="str">
        <f>"015766134"</f>
        <v>015766134</v>
      </c>
      <c r="G1465" s="1" t="s">
        <v>1103</v>
      </c>
      <c r="H1465" s="1" t="s">
        <v>16</v>
      </c>
      <c r="I1465" s="4" t="str">
        <f>"8"</f>
        <v>8</v>
      </c>
      <c r="J1465" s="2" t="str">
        <f>"589"</f>
        <v>589</v>
      </c>
      <c r="K1465" s="3">
        <v>46191</v>
      </c>
      <c r="L1465" s="3">
        <v>46195</v>
      </c>
      <c r="M1465" s="1" t="s">
        <v>5167</v>
      </c>
      <c r="N1465" s="1" t="s">
        <v>8824</v>
      </c>
    </row>
    <row r="1466" spans="1:14" s="1" customFormat="1" x14ac:dyDescent="0.35">
      <c r="A1466" s="1" t="s">
        <v>5216</v>
      </c>
      <c r="B1466" s="1" t="s">
        <v>2350</v>
      </c>
      <c r="C1466" s="1" t="s">
        <v>2520</v>
      </c>
      <c r="D1466" s="1" t="s">
        <v>8823</v>
      </c>
      <c r="E1466" s="1" t="str">
        <f>"5855"</f>
        <v>5855</v>
      </c>
      <c r="F1466" s="1" t="str">
        <f>"015294726"</f>
        <v>015294726</v>
      </c>
      <c r="G1466" s="1" t="s">
        <v>1379</v>
      </c>
      <c r="H1466" s="1" t="s">
        <v>16</v>
      </c>
      <c r="I1466" s="4" t="str">
        <f>"100"</f>
        <v>100</v>
      </c>
      <c r="J1466" s="2" t="str">
        <f>"1200"</f>
        <v>1200</v>
      </c>
      <c r="K1466" s="3">
        <v>46195</v>
      </c>
      <c r="L1466" s="3">
        <v>46196</v>
      </c>
      <c r="M1466" s="1" t="s">
        <v>8822</v>
      </c>
      <c r="N1466" s="1" t="s">
        <v>8821</v>
      </c>
    </row>
    <row r="1467" spans="1:14" s="1" customFormat="1" x14ac:dyDescent="0.35">
      <c r="A1467" s="1" t="s">
        <v>5171</v>
      </c>
      <c r="B1467" s="1" t="s">
        <v>2350</v>
      </c>
      <c r="C1467" s="1" t="s">
        <v>2475</v>
      </c>
      <c r="D1467" s="1" t="s">
        <v>8820</v>
      </c>
      <c r="E1467" s="1" t="str">
        <f>"2340"</f>
        <v>2340</v>
      </c>
      <c r="F1467" s="1" t="s">
        <v>2548</v>
      </c>
      <c r="G1467" s="1" t="s">
        <v>2549</v>
      </c>
      <c r="H1467" s="1" t="s">
        <v>16</v>
      </c>
      <c r="I1467" s="4" t="str">
        <f>"2"</f>
        <v>2</v>
      </c>
      <c r="J1467" s="2" t="str">
        <f>"1730"</f>
        <v>1730</v>
      </c>
      <c r="K1467" s="3">
        <v>46166</v>
      </c>
      <c r="L1467" s="3">
        <v>46196</v>
      </c>
      <c r="M1467" s="1" t="s">
        <v>8819</v>
      </c>
      <c r="N1467" s="1" t="s">
        <v>8818</v>
      </c>
    </row>
    <row r="1468" spans="1:14" s="1" customFormat="1" x14ac:dyDescent="0.35">
      <c r="A1468" s="1" t="s">
        <v>5171</v>
      </c>
      <c r="B1468" s="1" t="s">
        <v>2350</v>
      </c>
      <c r="C1468" s="1" t="s">
        <v>2670</v>
      </c>
      <c r="D1468" s="1" t="s">
        <v>8817</v>
      </c>
      <c r="E1468" s="1" t="str">
        <f>"6650"</f>
        <v>6650</v>
      </c>
      <c r="F1468" s="1" t="s">
        <v>2750</v>
      </c>
      <c r="G1468" s="1" t="s">
        <v>2751</v>
      </c>
      <c r="H1468" s="1" t="s">
        <v>16</v>
      </c>
      <c r="I1468" s="4" t="str">
        <f>"2"</f>
        <v>2</v>
      </c>
      <c r="J1468" s="2">
        <v>208.47</v>
      </c>
      <c r="K1468" s="3">
        <v>46189</v>
      </c>
      <c r="L1468" s="3">
        <v>46196</v>
      </c>
      <c r="M1468" s="1" t="s">
        <v>8816</v>
      </c>
      <c r="N1468" s="1" t="s">
        <v>8815</v>
      </c>
    </row>
    <row r="1469" spans="1:14" s="1" customFormat="1" x14ac:dyDescent="0.35">
      <c r="A1469" s="1" t="s">
        <v>0</v>
      </c>
      <c r="B1469" s="1" t="s">
        <v>2350</v>
      </c>
      <c r="C1469" s="1" t="s">
        <v>2520</v>
      </c>
      <c r="D1469" s="1" t="s">
        <v>8814</v>
      </c>
      <c r="E1469" s="1" t="str">
        <f>"5855"</f>
        <v>5855</v>
      </c>
      <c r="F1469" s="1" t="str">
        <f>"016699368"</f>
        <v>016699368</v>
      </c>
      <c r="G1469" s="1" t="s">
        <v>1817</v>
      </c>
      <c r="H1469" s="1" t="s">
        <v>16</v>
      </c>
      <c r="I1469" s="4" t="str">
        <f>"3"</f>
        <v>3</v>
      </c>
      <c r="J1469" s="2" t="str">
        <f>"4875"</f>
        <v>4875</v>
      </c>
      <c r="K1469" s="3">
        <v>46196</v>
      </c>
      <c r="L1469" s="3">
        <v>46197</v>
      </c>
      <c r="M1469" s="1" t="s">
        <v>8813</v>
      </c>
      <c r="N1469" s="1" t="s">
        <v>8812</v>
      </c>
    </row>
    <row r="1470" spans="1:14" s="1" customFormat="1" x14ac:dyDescent="0.35">
      <c r="A1470" s="1" t="s">
        <v>5171</v>
      </c>
      <c r="B1470" s="1" t="s">
        <v>2350</v>
      </c>
      <c r="C1470" s="1" t="s">
        <v>2570</v>
      </c>
      <c r="D1470" s="1" t="s">
        <v>8811</v>
      </c>
      <c r="E1470" s="1" t="str">
        <f>"1550"</f>
        <v>1550</v>
      </c>
      <c r="F1470" s="1" t="s">
        <v>199</v>
      </c>
      <c r="G1470" s="1" t="s">
        <v>200</v>
      </c>
      <c r="H1470" s="1" t="s">
        <v>16</v>
      </c>
      <c r="I1470" s="4" t="str">
        <f>"1"</f>
        <v>1</v>
      </c>
      <c r="J1470" s="2" t="str">
        <f>"2000"</f>
        <v>2000</v>
      </c>
      <c r="K1470" s="3">
        <v>46144</v>
      </c>
      <c r="L1470" s="3">
        <v>46197</v>
      </c>
      <c r="M1470" s="1" t="s">
        <v>8810</v>
      </c>
      <c r="N1470" s="1" t="s">
        <v>8809</v>
      </c>
    </row>
    <row r="1471" spans="1:14" s="1" customFormat="1" x14ac:dyDescent="0.35">
      <c r="A1471" s="1" t="s">
        <v>5171</v>
      </c>
      <c r="B1471" s="1" t="s">
        <v>2350</v>
      </c>
      <c r="C1471" s="1" t="s">
        <v>2520</v>
      </c>
      <c r="D1471" s="1" t="s">
        <v>8808</v>
      </c>
      <c r="E1471" s="1" t="str">
        <f>"2355"</f>
        <v>2355</v>
      </c>
      <c r="F1471" s="1" t="str">
        <f>"014818570"</f>
        <v>014818570</v>
      </c>
      <c r="G1471" s="1" t="s">
        <v>8807</v>
      </c>
      <c r="H1471" s="1" t="s">
        <v>16</v>
      </c>
      <c r="I1471" s="4" t="str">
        <f>"1"</f>
        <v>1</v>
      </c>
      <c r="J1471" s="2" t="str">
        <f>"3839417"</f>
        <v>3839417</v>
      </c>
      <c r="K1471" s="3">
        <v>46198</v>
      </c>
      <c r="L1471" s="3">
        <v>46199</v>
      </c>
      <c r="M1471" s="1" t="s">
        <v>5167</v>
      </c>
      <c r="N1471" s="1" t="s">
        <v>8806</v>
      </c>
    </row>
    <row r="1472" spans="1:14" s="1" customFormat="1" x14ac:dyDescent="0.35">
      <c r="A1472" s="1" t="s">
        <v>5171</v>
      </c>
      <c r="B1472" s="1" t="s">
        <v>2350</v>
      </c>
      <c r="C1472" s="1" t="s">
        <v>2520</v>
      </c>
      <c r="D1472" s="1" t="s">
        <v>8805</v>
      </c>
      <c r="E1472" s="1" t="str">
        <f>"5855"</f>
        <v>5855</v>
      </c>
      <c r="F1472" s="1" t="str">
        <f>"015777174"</f>
        <v>015777174</v>
      </c>
      <c r="G1472" s="1" t="s">
        <v>1366</v>
      </c>
      <c r="H1472" s="1" t="s">
        <v>16</v>
      </c>
      <c r="I1472" s="4" t="str">
        <f>"7"</f>
        <v>7</v>
      </c>
      <c r="J1472" s="2" t="str">
        <f>"1791"</f>
        <v>1791</v>
      </c>
      <c r="K1472" s="3">
        <v>46190</v>
      </c>
      <c r="L1472" s="3">
        <v>46200</v>
      </c>
      <c r="M1472" s="1" t="s">
        <v>8804</v>
      </c>
      <c r="N1472" s="1" t="s">
        <v>8803</v>
      </c>
    </row>
    <row r="1473" spans="1:14" s="1" customFormat="1" x14ac:dyDescent="0.35">
      <c r="A1473" s="1" t="s">
        <v>5171</v>
      </c>
      <c r="B1473" s="1" t="s">
        <v>2350</v>
      </c>
      <c r="C1473" s="1" t="s">
        <v>2520</v>
      </c>
      <c r="D1473" s="1" t="s">
        <v>8802</v>
      </c>
      <c r="E1473" s="1" t="str">
        <f>"5855"</f>
        <v>5855</v>
      </c>
      <c r="F1473" s="1" t="str">
        <f>"016559449"</f>
        <v>016559449</v>
      </c>
      <c r="G1473" s="1" t="s">
        <v>2121</v>
      </c>
      <c r="H1473" s="1" t="s">
        <v>16</v>
      </c>
      <c r="I1473" s="4" t="str">
        <f>"6"</f>
        <v>6</v>
      </c>
      <c r="J1473" s="2">
        <v>2299.66</v>
      </c>
      <c r="K1473" s="3">
        <v>46194</v>
      </c>
      <c r="L1473" s="3">
        <v>46200</v>
      </c>
      <c r="M1473" s="1" t="s">
        <v>8801</v>
      </c>
      <c r="N1473" s="1" t="s">
        <v>8800</v>
      </c>
    </row>
    <row r="1474" spans="1:14" s="1" customFormat="1" x14ac:dyDescent="0.35">
      <c r="A1474" s="1" t="s">
        <v>5171</v>
      </c>
      <c r="B1474" s="1" t="s">
        <v>2350</v>
      </c>
      <c r="C1474" s="1" t="s">
        <v>2601</v>
      </c>
      <c r="D1474" s="1" t="s">
        <v>8799</v>
      </c>
      <c r="E1474" s="1" t="str">
        <f>"5855"</f>
        <v>5855</v>
      </c>
      <c r="F1474" s="1" t="str">
        <f>"015777174"</f>
        <v>015777174</v>
      </c>
      <c r="G1474" s="1" t="s">
        <v>1366</v>
      </c>
      <c r="H1474" s="1" t="s">
        <v>16</v>
      </c>
      <c r="I1474" s="4" t="str">
        <f>"7"</f>
        <v>7</v>
      </c>
      <c r="J1474" s="2" t="str">
        <f>"1791"</f>
        <v>1791</v>
      </c>
      <c r="K1474" s="3">
        <v>46190</v>
      </c>
      <c r="L1474" s="3">
        <v>46200</v>
      </c>
      <c r="M1474" s="1" t="s">
        <v>8798</v>
      </c>
      <c r="N1474" s="1" t="s">
        <v>8797</v>
      </c>
    </row>
    <row r="1475" spans="1:14" s="1" customFormat="1" x14ac:dyDescent="0.35">
      <c r="A1475" s="1" t="s">
        <v>5171</v>
      </c>
      <c r="B1475" s="1" t="s">
        <v>2350</v>
      </c>
      <c r="C1475" s="1" t="s">
        <v>2639</v>
      </c>
      <c r="D1475" s="1" t="s">
        <v>8796</v>
      </c>
      <c r="E1475" s="1" t="str">
        <f>"1385"</f>
        <v>1385</v>
      </c>
      <c r="F1475" s="1" t="str">
        <f>"016724286"</f>
        <v>016724286</v>
      </c>
      <c r="G1475" s="1" t="s">
        <v>196</v>
      </c>
      <c r="H1475" s="1" t="s">
        <v>16</v>
      </c>
      <c r="I1475" s="4" t="str">
        <f>"1"</f>
        <v>1</v>
      </c>
      <c r="J1475" s="2" t="str">
        <f>"83364"</f>
        <v>83364</v>
      </c>
      <c r="K1475" s="3">
        <v>46158</v>
      </c>
      <c r="L1475" s="3">
        <v>46200</v>
      </c>
      <c r="M1475" s="1" t="s">
        <v>8795</v>
      </c>
      <c r="N1475" s="1" t="s">
        <v>8794</v>
      </c>
    </row>
    <row r="1476" spans="1:14" s="1" customFormat="1" x14ac:dyDescent="0.35">
      <c r="A1476" s="1" t="s">
        <v>5171</v>
      </c>
      <c r="B1476" s="1" t="s">
        <v>2350</v>
      </c>
      <c r="C1476" s="1" t="s">
        <v>2475</v>
      </c>
      <c r="D1476" s="1" t="s">
        <v>8793</v>
      </c>
      <c r="E1476" s="1" t="str">
        <f>"5410"</f>
        <v>5410</v>
      </c>
      <c r="F1476" s="1" t="s">
        <v>8792</v>
      </c>
      <c r="G1476" s="1" t="s">
        <v>8791</v>
      </c>
      <c r="H1476" s="1" t="s">
        <v>16</v>
      </c>
      <c r="I1476" s="4" t="str">
        <f>"2"</f>
        <v>2</v>
      </c>
      <c r="J1476" s="2">
        <v>229938.72</v>
      </c>
      <c r="K1476" s="3">
        <v>46185</v>
      </c>
      <c r="L1476" s="3">
        <v>46203</v>
      </c>
      <c r="M1476" s="1" t="s">
        <v>8790</v>
      </c>
      <c r="N1476" s="1" t="s">
        <v>8789</v>
      </c>
    </row>
    <row r="1477" spans="1:14" s="1" customFormat="1" x14ac:dyDescent="0.35">
      <c r="A1477" s="1" t="s">
        <v>5171</v>
      </c>
      <c r="B1477" s="1" t="s">
        <v>2350</v>
      </c>
      <c r="C1477" s="1" t="s">
        <v>2520</v>
      </c>
      <c r="D1477" s="1" t="s">
        <v>8788</v>
      </c>
      <c r="E1477" s="1" t="str">
        <f>"2340"</f>
        <v>2340</v>
      </c>
      <c r="F1477" s="1" t="s">
        <v>1446</v>
      </c>
      <c r="G1477" s="1" t="s">
        <v>1447</v>
      </c>
      <c r="H1477" s="1" t="s">
        <v>16</v>
      </c>
      <c r="I1477" s="4" t="str">
        <f>"1"</f>
        <v>1</v>
      </c>
      <c r="J1477" s="2" t="str">
        <f>"14799"</f>
        <v>14799</v>
      </c>
      <c r="K1477" s="3">
        <v>46196</v>
      </c>
      <c r="L1477" s="3">
        <v>46203</v>
      </c>
      <c r="M1477" s="1" t="s">
        <v>8787</v>
      </c>
      <c r="N1477" s="1" t="s">
        <v>8786</v>
      </c>
    </row>
    <row r="1478" spans="1:14" s="1" customFormat="1" x14ac:dyDescent="0.35">
      <c r="A1478" s="1" t="s">
        <v>5171</v>
      </c>
      <c r="B1478" s="1" t="s">
        <v>2350</v>
      </c>
      <c r="C1478" s="1" t="s">
        <v>2594</v>
      </c>
      <c r="D1478" s="1" t="s">
        <v>8785</v>
      </c>
      <c r="E1478" s="1" t="str">
        <f>"5120"</f>
        <v>5120</v>
      </c>
      <c r="F1478" s="1" t="str">
        <f>"013984959"</f>
        <v>013984959</v>
      </c>
      <c r="G1478" s="1" t="s">
        <v>8784</v>
      </c>
      <c r="H1478" s="1" t="s">
        <v>16</v>
      </c>
      <c r="I1478" s="4" t="str">
        <f>"1"</f>
        <v>1</v>
      </c>
      <c r="J1478" s="2">
        <v>6590.4</v>
      </c>
      <c r="K1478" s="3">
        <v>46185</v>
      </c>
      <c r="L1478" s="3">
        <v>46203</v>
      </c>
      <c r="M1478" s="1" t="s">
        <v>8783</v>
      </c>
      <c r="N1478" s="1" t="s">
        <v>8782</v>
      </c>
    </row>
    <row r="1479" spans="1:14" s="1" customFormat="1" x14ac:dyDescent="0.35">
      <c r="A1479" s="1" t="s">
        <v>5171</v>
      </c>
      <c r="B1479" s="1" t="s">
        <v>2722</v>
      </c>
      <c r="C1479" s="1" t="s">
        <v>2723</v>
      </c>
      <c r="D1479" s="1" t="s">
        <v>8781</v>
      </c>
      <c r="E1479" s="1" t="str">
        <f>"6230"</f>
        <v>6230</v>
      </c>
      <c r="F1479" s="1" t="str">
        <f>"016245491"</f>
        <v>016245491</v>
      </c>
      <c r="G1479" s="1" t="s">
        <v>230</v>
      </c>
      <c r="H1479" s="1" t="s">
        <v>16</v>
      </c>
      <c r="I1479" s="4" t="str">
        <f>"15"</f>
        <v>15</v>
      </c>
      <c r="J1479" s="2" t="str">
        <f>"300"</f>
        <v>300</v>
      </c>
      <c r="K1479" s="3">
        <v>46154</v>
      </c>
      <c r="L1479" s="3">
        <v>46155</v>
      </c>
      <c r="M1479" s="1" t="s">
        <v>5167</v>
      </c>
      <c r="N1479" s="1" t="s">
        <v>8737</v>
      </c>
    </row>
    <row r="1480" spans="1:14" s="1" customFormat="1" x14ac:dyDescent="0.35">
      <c r="A1480" s="1" t="s">
        <v>5171</v>
      </c>
      <c r="B1480" s="1" t="s">
        <v>2722</v>
      </c>
      <c r="C1480" s="1" t="s">
        <v>2723</v>
      </c>
      <c r="D1480" s="1" t="s">
        <v>8780</v>
      </c>
      <c r="E1480" s="1" t="str">
        <f>"8415"</f>
        <v>8415</v>
      </c>
      <c r="F1480" s="1" t="str">
        <f>"015802984"</f>
        <v>015802984</v>
      </c>
      <c r="G1480" s="1" t="s">
        <v>668</v>
      </c>
      <c r="H1480" s="1" t="s">
        <v>311</v>
      </c>
      <c r="I1480" s="4" t="str">
        <f>"1"</f>
        <v>1</v>
      </c>
      <c r="J1480" s="2">
        <v>113.3</v>
      </c>
      <c r="K1480" s="3">
        <v>46135</v>
      </c>
      <c r="L1480" s="3">
        <v>46160</v>
      </c>
      <c r="M1480" s="1" t="s">
        <v>8779</v>
      </c>
      <c r="N1480" s="1" t="s">
        <v>2754</v>
      </c>
    </row>
    <row r="1481" spans="1:14" s="1" customFormat="1" x14ac:dyDescent="0.35">
      <c r="A1481" s="1" t="s">
        <v>5171</v>
      </c>
      <c r="B1481" s="1" t="s">
        <v>2722</v>
      </c>
      <c r="C1481" s="1" t="s">
        <v>2723</v>
      </c>
      <c r="D1481" s="1" t="s">
        <v>8778</v>
      </c>
      <c r="E1481" s="1" t="str">
        <f>"1005"</f>
        <v>1005</v>
      </c>
      <c r="F1481" s="1" t="str">
        <f>"015921163"</f>
        <v>015921163</v>
      </c>
      <c r="G1481" s="1" t="s">
        <v>2730</v>
      </c>
      <c r="H1481" s="1" t="s">
        <v>16</v>
      </c>
      <c r="I1481" s="4" t="str">
        <f>"2"</f>
        <v>2</v>
      </c>
      <c r="J1481" s="2">
        <v>376.41</v>
      </c>
      <c r="K1481" s="3">
        <v>46140</v>
      </c>
      <c r="L1481" s="3">
        <v>46162</v>
      </c>
      <c r="M1481" s="1" t="s">
        <v>8777</v>
      </c>
      <c r="N1481" s="1" t="s">
        <v>2728</v>
      </c>
    </row>
    <row r="1482" spans="1:14" s="1" customFormat="1" x14ac:dyDescent="0.35">
      <c r="A1482" s="1" t="s">
        <v>5171</v>
      </c>
      <c r="B1482" s="1" t="s">
        <v>2722</v>
      </c>
      <c r="C1482" s="1" t="s">
        <v>2723</v>
      </c>
      <c r="D1482" s="1" t="s">
        <v>8776</v>
      </c>
      <c r="E1482" s="1" t="str">
        <f>"2360"</f>
        <v>2360</v>
      </c>
      <c r="F1482" s="1" t="str">
        <f>"015768653"</f>
        <v>015768653</v>
      </c>
      <c r="G1482" s="1" t="s">
        <v>2021</v>
      </c>
      <c r="H1482" s="1" t="s">
        <v>16</v>
      </c>
      <c r="I1482" s="4" t="str">
        <f>"1"</f>
        <v>1</v>
      </c>
      <c r="J1482" s="2">
        <v>12704.58</v>
      </c>
      <c r="K1482" s="3">
        <v>46163</v>
      </c>
      <c r="L1482" s="3">
        <v>46164</v>
      </c>
      <c r="M1482" s="1" t="s">
        <v>5167</v>
      </c>
      <c r="N1482" s="1" t="s">
        <v>8773</v>
      </c>
    </row>
    <row r="1483" spans="1:14" s="1" customFormat="1" x14ac:dyDescent="0.35">
      <c r="A1483" s="1" t="s">
        <v>5171</v>
      </c>
      <c r="B1483" s="1" t="s">
        <v>2722</v>
      </c>
      <c r="C1483" s="1" t="s">
        <v>2723</v>
      </c>
      <c r="D1483" s="1" t="s">
        <v>8775</v>
      </c>
      <c r="E1483" s="1" t="str">
        <f>"2360"</f>
        <v>2360</v>
      </c>
      <c r="F1483" s="1" t="str">
        <f>"015768653"</f>
        <v>015768653</v>
      </c>
      <c r="G1483" s="1" t="s">
        <v>2021</v>
      </c>
      <c r="H1483" s="1" t="s">
        <v>16</v>
      </c>
      <c r="I1483" s="4" t="str">
        <f>"1"</f>
        <v>1</v>
      </c>
      <c r="J1483" s="2">
        <v>12704.58</v>
      </c>
      <c r="K1483" s="3">
        <v>46163</v>
      </c>
      <c r="L1483" s="3">
        <v>46164</v>
      </c>
      <c r="M1483" s="1" t="s">
        <v>5167</v>
      </c>
      <c r="N1483" s="1" t="s">
        <v>8773</v>
      </c>
    </row>
    <row r="1484" spans="1:14" s="1" customFormat="1" x14ac:dyDescent="0.35">
      <c r="A1484" s="1" t="s">
        <v>5171</v>
      </c>
      <c r="B1484" s="1" t="s">
        <v>2722</v>
      </c>
      <c r="C1484" s="1" t="s">
        <v>2723</v>
      </c>
      <c r="D1484" s="1" t="s">
        <v>8774</v>
      </c>
      <c r="E1484" s="1" t="str">
        <f>"2360"</f>
        <v>2360</v>
      </c>
      <c r="F1484" s="1" t="str">
        <f>"015768653"</f>
        <v>015768653</v>
      </c>
      <c r="G1484" s="1" t="s">
        <v>2021</v>
      </c>
      <c r="H1484" s="1" t="s">
        <v>16</v>
      </c>
      <c r="I1484" s="4" t="str">
        <f>"1"</f>
        <v>1</v>
      </c>
      <c r="J1484" s="2">
        <v>12704.58</v>
      </c>
      <c r="K1484" s="3">
        <v>46163</v>
      </c>
      <c r="L1484" s="3">
        <v>46164</v>
      </c>
      <c r="M1484" s="1" t="s">
        <v>5167</v>
      </c>
      <c r="N1484" s="1" t="s">
        <v>8773</v>
      </c>
    </row>
    <row r="1485" spans="1:14" s="1" customFormat="1" x14ac:dyDescent="0.35">
      <c r="A1485" s="1" t="s">
        <v>5171</v>
      </c>
      <c r="B1485" s="1" t="s">
        <v>2722</v>
      </c>
      <c r="C1485" s="1" t="s">
        <v>2723</v>
      </c>
      <c r="D1485" s="1" t="s">
        <v>8772</v>
      </c>
      <c r="E1485" s="1" t="str">
        <f>"1005"</f>
        <v>1005</v>
      </c>
      <c r="F1485" s="1" t="str">
        <f>"015921546"</f>
        <v>015921546</v>
      </c>
      <c r="G1485" s="1" t="s">
        <v>8771</v>
      </c>
      <c r="H1485" s="1" t="s">
        <v>16</v>
      </c>
      <c r="I1485" s="4" t="str">
        <f>"4"</f>
        <v>4</v>
      </c>
      <c r="J1485" s="2">
        <v>3515.26</v>
      </c>
      <c r="K1485" s="3">
        <v>46140</v>
      </c>
      <c r="L1485" s="3">
        <v>46170</v>
      </c>
      <c r="M1485" s="1" t="s">
        <v>8770</v>
      </c>
      <c r="N1485" s="1" t="s">
        <v>2728</v>
      </c>
    </row>
    <row r="1486" spans="1:14" s="1" customFormat="1" x14ac:dyDescent="0.35">
      <c r="A1486" s="1" t="s">
        <v>5171</v>
      </c>
      <c r="B1486" s="1" t="s">
        <v>2722</v>
      </c>
      <c r="C1486" s="1" t="s">
        <v>2723</v>
      </c>
      <c r="D1486" s="1" t="s">
        <v>8769</v>
      </c>
      <c r="E1486" s="1" t="str">
        <f>"8465"</f>
        <v>8465</v>
      </c>
      <c r="F1486" s="1" t="str">
        <f>"016227791"</f>
        <v>016227791</v>
      </c>
      <c r="G1486" s="1" t="s">
        <v>1753</v>
      </c>
      <c r="H1486" s="1" t="s">
        <v>215</v>
      </c>
      <c r="I1486" s="4" t="str">
        <f>"1"</f>
        <v>1</v>
      </c>
      <c r="J1486" s="2">
        <v>828.74</v>
      </c>
      <c r="K1486" s="3">
        <v>46168</v>
      </c>
      <c r="L1486" s="3">
        <v>46170</v>
      </c>
      <c r="M1486" s="1" t="s">
        <v>5167</v>
      </c>
      <c r="N1486" s="1" t="s">
        <v>8768</v>
      </c>
    </row>
    <row r="1487" spans="1:14" s="1" customFormat="1" x14ac:dyDescent="0.35">
      <c r="A1487" s="1" t="s">
        <v>5171</v>
      </c>
      <c r="B1487" s="1" t="s">
        <v>2722</v>
      </c>
      <c r="C1487" s="1" t="s">
        <v>2723</v>
      </c>
      <c r="D1487" s="1" t="s">
        <v>8767</v>
      </c>
      <c r="E1487" s="1" t="str">
        <f>"8460"</f>
        <v>8460</v>
      </c>
      <c r="F1487" s="1" t="str">
        <f>"006068366"</f>
        <v>006068366</v>
      </c>
      <c r="G1487" s="1" t="s">
        <v>2408</v>
      </c>
      <c r="H1487" s="1" t="s">
        <v>16</v>
      </c>
      <c r="I1487" s="4" t="str">
        <f>"14"</f>
        <v>14</v>
      </c>
      <c r="J1487" s="2">
        <v>41.55</v>
      </c>
      <c r="K1487" s="3">
        <v>46163</v>
      </c>
      <c r="L1487" s="3">
        <v>46171</v>
      </c>
      <c r="M1487" s="1" t="s">
        <v>8766</v>
      </c>
      <c r="N1487" s="1" t="s">
        <v>2805</v>
      </c>
    </row>
    <row r="1488" spans="1:14" s="1" customFormat="1" x14ac:dyDescent="0.35">
      <c r="A1488" s="1" t="s">
        <v>5171</v>
      </c>
      <c r="B1488" s="1" t="s">
        <v>2722</v>
      </c>
      <c r="C1488" s="1" t="s">
        <v>2723</v>
      </c>
      <c r="D1488" s="1" t="s">
        <v>8765</v>
      </c>
      <c r="E1488" s="1" t="str">
        <f>"5965"</f>
        <v>5965</v>
      </c>
      <c r="F1488" s="1" t="str">
        <f>"226308488"</f>
        <v>226308488</v>
      </c>
      <c r="G1488" s="1" t="s">
        <v>1561</v>
      </c>
      <c r="H1488" s="1" t="s">
        <v>16</v>
      </c>
      <c r="I1488" s="4" t="str">
        <f>"15"</f>
        <v>15</v>
      </c>
      <c r="J1488" s="2" t="str">
        <f>"400"</f>
        <v>400</v>
      </c>
      <c r="K1488" s="3">
        <v>46163</v>
      </c>
      <c r="L1488" s="3">
        <v>46172</v>
      </c>
      <c r="M1488" s="1" t="s">
        <v>8764</v>
      </c>
      <c r="N1488" s="1" t="s">
        <v>8763</v>
      </c>
    </row>
    <row r="1489" spans="1:14" s="1" customFormat="1" x14ac:dyDescent="0.35">
      <c r="A1489" s="1" t="s">
        <v>5216</v>
      </c>
      <c r="B1489" s="1" t="s">
        <v>2722</v>
      </c>
      <c r="C1489" s="1" t="s">
        <v>2723</v>
      </c>
      <c r="D1489" s="1" t="s">
        <v>8762</v>
      </c>
      <c r="E1489" s="1" t="str">
        <f>"6230"</f>
        <v>6230</v>
      </c>
      <c r="F1489" s="1" t="str">
        <f>"015902739"</f>
        <v>015902739</v>
      </c>
      <c r="G1489" s="1" t="s">
        <v>1352</v>
      </c>
      <c r="H1489" s="1" t="s">
        <v>16</v>
      </c>
      <c r="I1489" s="4" t="str">
        <f>"10"</f>
        <v>10</v>
      </c>
      <c r="J1489" s="2">
        <v>304.62</v>
      </c>
      <c r="K1489" s="3">
        <v>46171</v>
      </c>
      <c r="L1489" s="3">
        <v>46175</v>
      </c>
      <c r="M1489" s="1" t="s">
        <v>5224</v>
      </c>
      <c r="N1489" s="1" t="s">
        <v>8737</v>
      </c>
    </row>
    <row r="1490" spans="1:14" s="1" customFormat="1" x14ac:dyDescent="0.35">
      <c r="A1490" s="1" t="s">
        <v>5171</v>
      </c>
      <c r="B1490" s="1" t="s">
        <v>2722</v>
      </c>
      <c r="C1490" s="1" t="s">
        <v>2723</v>
      </c>
      <c r="D1490" s="1" t="s">
        <v>8761</v>
      </c>
      <c r="E1490" s="1" t="str">
        <f>"1005"</f>
        <v>1005</v>
      </c>
      <c r="F1490" s="1" t="str">
        <f>"015921283"</f>
        <v>015921283</v>
      </c>
      <c r="G1490" s="1" t="s">
        <v>8760</v>
      </c>
      <c r="H1490" s="1" t="s">
        <v>16</v>
      </c>
      <c r="I1490" s="4" t="str">
        <f>"1"</f>
        <v>1</v>
      </c>
      <c r="J1490" s="2">
        <v>762.97</v>
      </c>
      <c r="K1490" s="3">
        <v>46140</v>
      </c>
      <c r="L1490" s="3">
        <v>46177</v>
      </c>
      <c r="M1490" s="1" t="s">
        <v>8759</v>
      </c>
      <c r="N1490" s="1" t="s">
        <v>2728</v>
      </c>
    </row>
    <row r="1491" spans="1:14" s="1" customFormat="1" x14ac:dyDescent="0.35">
      <c r="A1491" s="1" t="s">
        <v>5171</v>
      </c>
      <c r="B1491" s="1" t="s">
        <v>2722</v>
      </c>
      <c r="C1491" s="1" t="s">
        <v>2723</v>
      </c>
      <c r="D1491" s="1" t="s">
        <v>8758</v>
      </c>
      <c r="E1491" s="1" t="str">
        <f>"1005"</f>
        <v>1005</v>
      </c>
      <c r="F1491" s="1" t="str">
        <f>"015029977"</f>
        <v>015029977</v>
      </c>
      <c r="G1491" s="1" t="s">
        <v>8757</v>
      </c>
      <c r="H1491" s="1" t="s">
        <v>16</v>
      </c>
      <c r="I1491" s="4" t="str">
        <f>"4"</f>
        <v>4</v>
      </c>
      <c r="J1491" s="2">
        <v>580.75</v>
      </c>
      <c r="K1491" s="3">
        <v>46140</v>
      </c>
      <c r="L1491" s="3">
        <v>46177</v>
      </c>
      <c r="M1491" s="1" t="s">
        <v>8756</v>
      </c>
      <c r="N1491" s="1" t="s">
        <v>8755</v>
      </c>
    </row>
    <row r="1492" spans="1:14" s="1" customFormat="1" x14ac:dyDescent="0.35">
      <c r="A1492" s="1" t="s">
        <v>5171</v>
      </c>
      <c r="B1492" s="1" t="s">
        <v>2722</v>
      </c>
      <c r="C1492" s="1" t="s">
        <v>2723</v>
      </c>
      <c r="D1492" s="1" t="s">
        <v>8754</v>
      </c>
      <c r="E1492" s="1" t="str">
        <f>"1005"</f>
        <v>1005</v>
      </c>
      <c r="F1492" s="1" t="str">
        <f>"016976892"</f>
        <v>016976892</v>
      </c>
      <c r="G1492" s="1" t="s">
        <v>4878</v>
      </c>
      <c r="H1492" s="1" t="s">
        <v>16</v>
      </c>
      <c r="I1492" s="4" t="str">
        <f>"2"</f>
        <v>2</v>
      </c>
      <c r="J1492" s="2" t="str">
        <f>"1804"</f>
        <v>1804</v>
      </c>
      <c r="K1492" s="3">
        <v>46171</v>
      </c>
      <c r="L1492" s="3">
        <v>46179</v>
      </c>
      <c r="M1492" s="1" t="s">
        <v>8753</v>
      </c>
      <c r="N1492" s="1" t="s">
        <v>8752</v>
      </c>
    </row>
    <row r="1493" spans="1:14" s="1" customFormat="1" x14ac:dyDescent="0.35">
      <c r="A1493" s="1" t="s">
        <v>5171</v>
      </c>
      <c r="B1493" s="1" t="s">
        <v>2722</v>
      </c>
      <c r="C1493" s="1" t="s">
        <v>2723</v>
      </c>
      <c r="D1493" s="1" t="s">
        <v>8751</v>
      </c>
      <c r="E1493" s="1" t="str">
        <f>"8415"</f>
        <v>8415</v>
      </c>
      <c r="F1493" s="1" t="str">
        <f>"015437104"</f>
        <v>015437104</v>
      </c>
      <c r="G1493" s="1" t="s">
        <v>2167</v>
      </c>
      <c r="H1493" s="1" t="s">
        <v>16</v>
      </c>
      <c r="I1493" s="4" t="str">
        <f>"12"</f>
        <v>12</v>
      </c>
      <c r="J1493" s="2">
        <v>72.94</v>
      </c>
      <c r="K1493" s="3">
        <v>46163</v>
      </c>
      <c r="L1493" s="3">
        <v>46195</v>
      </c>
      <c r="M1493" s="1" t="s">
        <v>8750</v>
      </c>
      <c r="N1493" s="1" t="s">
        <v>2772</v>
      </c>
    </row>
    <row r="1494" spans="1:14" s="1" customFormat="1" x14ac:dyDescent="0.35">
      <c r="A1494" s="1" t="s">
        <v>5171</v>
      </c>
      <c r="B1494" s="1" t="s">
        <v>2722</v>
      </c>
      <c r="C1494" s="1" t="s">
        <v>2723</v>
      </c>
      <c r="D1494" s="1" t="s">
        <v>8749</v>
      </c>
      <c r="E1494" s="1" t="str">
        <f>"1240"</f>
        <v>1240</v>
      </c>
      <c r="F1494" s="1" t="str">
        <f>"016197318"</f>
        <v>016197318</v>
      </c>
      <c r="G1494" s="1" t="s">
        <v>1680</v>
      </c>
      <c r="H1494" s="1" t="s">
        <v>16</v>
      </c>
      <c r="I1494" s="4" t="str">
        <f>"2"</f>
        <v>2</v>
      </c>
      <c r="J1494" s="2">
        <v>3917.69</v>
      </c>
      <c r="K1494" s="3">
        <v>46182</v>
      </c>
      <c r="L1494" s="3">
        <v>46195</v>
      </c>
      <c r="M1494" s="1" t="s">
        <v>8748</v>
      </c>
      <c r="N1494" s="1" t="s">
        <v>2752</v>
      </c>
    </row>
    <row r="1495" spans="1:14" s="1" customFormat="1" x14ac:dyDescent="0.35">
      <c r="A1495" s="1" t="s">
        <v>5216</v>
      </c>
      <c r="B1495" s="1" t="s">
        <v>2722</v>
      </c>
      <c r="C1495" s="1" t="s">
        <v>2723</v>
      </c>
      <c r="D1495" s="1" t="s">
        <v>8747</v>
      </c>
      <c r="E1495" s="1" t="str">
        <f>"2320"</f>
        <v>2320</v>
      </c>
      <c r="F1495" s="1" t="str">
        <f>"015377753"</f>
        <v>015377753</v>
      </c>
      <c r="G1495" s="1" t="s">
        <v>370</v>
      </c>
      <c r="H1495" s="1" t="s">
        <v>16</v>
      </c>
      <c r="I1495" s="4" t="str">
        <f>"1"</f>
        <v>1</v>
      </c>
      <c r="J1495" s="2" t="str">
        <f>"119900"</f>
        <v>119900</v>
      </c>
      <c r="K1495" s="3">
        <v>46196</v>
      </c>
      <c r="L1495" s="3">
        <v>46199</v>
      </c>
      <c r="M1495" s="1" t="s">
        <v>8745</v>
      </c>
      <c r="N1495" s="1" t="s">
        <v>8744</v>
      </c>
    </row>
    <row r="1496" spans="1:14" s="1" customFormat="1" x14ac:dyDescent="0.35">
      <c r="A1496" s="1" t="s">
        <v>5216</v>
      </c>
      <c r="B1496" s="1" t="s">
        <v>2722</v>
      </c>
      <c r="C1496" s="1" t="s">
        <v>2723</v>
      </c>
      <c r="D1496" s="1" t="s">
        <v>8746</v>
      </c>
      <c r="E1496" s="1" t="str">
        <f>"2320"</f>
        <v>2320</v>
      </c>
      <c r="F1496" s="1" t="str">
        <f>"015377753"</f>
        <v>015377753</v>
      </c>
      <c r="G1496" s="1" t="s">
        <v>370</v>
      </c>
      <c r="H1496" s="1" t="s">
        <v>16</v>
      </c>
      <c r="I1496" s="4" t="str">
        <f>"1"</f>
        <v>1</v>
      </c>
      <c r="J1496" s="2" t="str">
        <f>"119900"</f>
        <v>119900</v>
      </c>
      <c r="K1496" s="3">
        <v>46196</v>
      </c>
      <c r="L1496" s="3">
        <v>46199</v>
      </c>
      <c r="M1496" s="1" t="s">
        <v>8745</v>
      </c>
      <c r="N1496" s="1" t="s">
        <v>8744</v>
      </c>
    </row>
    <row r="1497" spans="1:14" s="1" customFormat="1" x14ac:dyDescent="0.35">
      <c r="A1497" s="1" t="s">
        <v>5171</v>
      </c>
      <c r="B1497" s="1" t="s">
        <v>2722</v>
      </c>
      <c r="C1497" s="1" t="s">
        <v>2723</v>
      </c>
      <c r="D1497" s="1" t="s">
        <v>8743</v>
      </c>
      <c r="E1497" s="1" t="str">
        <f>"6665"</f>
        <v>6665</v>
      </c>
      <c r="F1497" s="1" t="str">
        <f>"016093499"</f>
        <v>016093499</v>
      </c>
      <c r="G1497" s="1" t="s">
        <v>8742</v>
      </c>
      <c r="H1497" s="1" t="s">
        <v>16</v>
      </c>
      <c r="I1497" s="4" t="str">
        <f>"4"</f>
        <v>4</v>
      </c>
      <c r="J1497" s="2">
        <v>288.94</v>
      </c>
      <c r="K1497" s="3">
        <v>46182</v>
      </c>
      <c r="L1497" s="3">
        <v>46199</v>
      </c>
      <c r="M1497" s="1" t="s">
        <v>8741</v>
      </c>
      <c r="N1497" s="1" t="s">
        <v>8740</v>
      </c>
    </row>
    <row r="1498" spans="1:14" s="1" customFormat="1" x14ac:dyDescent="0.35">
      <c r="A1498" s="1" t="s">
        <v>5171</v>
      </c>
      <c r="B1498" s="1" t="s">
        <v>2722</v>
      </c>
      <c r="C1498" s="1" t="s">
        <v>2723</v>
      </c>
      <c r="D1498" s="1" t="s">
        <v>8739</v>
      </c>
      <c r="E1498" s="1" t="str">
        <f>"6230"</f>
        <v>6230</v>
      </c>
      <c r="F1498" s="1" t="s">
        <v>2631</v>
      </c>
      <c r="G1498" s="1" t="s">
        <v>2632</v>
      </c>
      <c r="H1498" s="1" t="s">
        <v>16</v>
      </c>
      <c r="I1498" s="4" t="str">
        <f>"2"</f>
        <v>2</v>
      </c>
      <c r="J1498" s="2" t="str">
        <f>"500"</f>
        <v>500</v>
      </c>
      <c r="K1498" s="3">
        <v>46154</v>
      </c>
      <c r="L1498" s="3">
        <v>46202</v>
      </c>
      <c r="M1498" s="1" t="s">
        <v>8738</v>
      </c>
      <c r="N1498" s="1" t="s">
        <v>8737</v>
      </c>
    </row>
    <row r="1499" spans="1:14" s="1" customFormat="1" x14ac:dyDescent="0.35">
      <c r="A1499" s="1" t="s">
        <v>5171</v>
      </c>
      <c r="B1499" s="1" t="s">
        <v>2722</v>
      </c>
      <c r="C1499" s="1" t="s">
        <v>2723</v>
      </c>
      <c r="D1499" s="1" t="s">
        <v>8736</v>
      </c>
      <c r="E1499" s="1" t="str">
        <f>"8465"</f>
        <v>8465</v>
      </c>
      <c r="F1499" s="1" t="str">
        <f>"014955058"</f>
        <v>014955058</v>
      </c>
      <c r="G1499" s="1" t="s">
        <v>8735</v>
      </c>
      <c r="H1499" s="1" t="s">
        <v>16</v>
      </c>
      <c r="I1499" s="4" t="str">
        <f>"3"</f>
        <v>3</v>
      </c>
      <c r="J1499" s="2">
        <v>134.6</v>
      </c>
      <c r="K1499" s="3">
        <v>46168</v>
      </c>
      <c r="L1499" s="3">
        <v>46202</v>
      </c>
      <c r="M1499" s="1" t="s">
        <v>8734</v>
      </c>
      <c r="N1499" s="1" t="s">
        <v>2805</v>
      </c>
    </row>
    <row r="1500" spans="1:14" s="1" customFormat="1" x14ac:dyDescent="0.35">
      <c r="A1500" s="1" t="s">
        <v>5171</v>
      </c>
      <c r="B1500" s="1" t="s">
        <v>2812</v>
      </c>
      <c r="C1500" s="1" t="s">
        <v>2813</v>
      </c>
      <c r="D1500" s="1" t="s">
        <v>8733</v>
      </c>
      <c r="E1500" s="1" t="str">
        <f>"2320"</f>
        <v>2320</v>
      </c>
      <c r="F1500" s="1" t="s">
        <v>2218</v>
      </c>
      <c r="G1500" s="1" t="s">
        <v>2219</v>
      </c>
      <c r="H1500" s="1" t="s">
        <v>16</v>
      </c>
      <c r="I1500" s="4" t="str">
        <f>"1"</f>
        <v>1</v>
      </c>
      <c r="J1500" s="2" t="str">
        <f>"15000"</f>
        <v>15000</v>
      </c>
      <c r="K1500" s="3">
        <v>46110</v>
      </c>
      <c r="L1500" s="3">
        <v>46123</v>
      </c>
      <c r="M1500" s="1" t="s">
        <v>8732</v>
      </c>
      <c r="N1500" s="1" t="s">
        <v>8731</v>
      </c>
    </row>
    <row r="1501" spans="1:14" s="1" customFormat="1" x14ac:dyDescent="0.35">
      <c r="A1501" s="1" t="s">
        <v>5216</v>
      </c>
      <c r="B1501" s="1" t="s">
        <v>2812</v>
      </c>
      <c r="C1501" s="1" t="s">
        <v>2885</v>
      </c>
      <c r="D1501" s="1" t="s">
        <v>8730</v>
      </c>
      <c r="E1501" s="1" t="str">
        <f>"1550"</f>
        <v>1550</v>
      </c>
      <c r="F1501" s="1" t="s">
        <v>199</v>
      </c>
      <c r="G1501" s="1" t="s">
        <v>200</v>
      </c>
      <c r="H1501" s="1" t="s">
        <v>16</v>
      </c>
      <c r="I1501" s="4" t="str">
        <f>"2"</f>
        <v>2</v>
      </c>
      <c r="J1501" s="2" t="str">
        <f>"9999"</f>
        <v>9999</v>
      </c>
      <c r="K1501" s="3">
        <v>46151</v>
      </c>
      <c r="L1501" s="3">
        <v>46155</v>
      </c>
      <c r="M1501" s="1" t="s">
        <v>7472</v>
      </c>
      <c r="N1501" s="1" t="s">
        <v>8727</v>
      </c>
    </row>
    <row r="1502" spans="1:14" s="1" customFormat="1" x14ac:dyDescent="0.35">
      <c r="A1502" s="1" t="s">
        <v>5216</v>
      </c>
      <c r="B1502" s="1" t="s">
        <v>2812</v>
      </c>
      <c r="C1502" s="1" t="s">
        <v>2885</v>
      </c>
      <c r="D1502" s="1" t="s">
        <v>8729</v>
      </c>
      <c r="E1502" s="1" t="str">
        <f>"1550"</f>
        <v>1550</v>
      </c>
      <c r="F1502" s="1" t="s">
        <v>199</v>
      </c>
      <c r="G1502" s="1" t="s">
        <v>200</v>
      </c>
      <c r="H1502" s="1" t="s">
        <v>16</v>
      </c>
      <c r="I1502" s="4" t="str">
        <f>"4"</f>
        <v>4</v>
      </c>
      <c r="J1502" s="2" t="str">
        <f>"13000"</f>
        <v>13000</v>
      </c>
      <c r="K1502" s="3">
        <v>46151</v>
      </c>
      <c r="L1502" s="3">
        <v>46155</v>
      </c>
      <c r="M1502" s="1" t="s">
        <v>7472</v>
      </c>
      <c r="N1502" s="1" t="s">
        <v>8727</v>
      </c>
    </row>
    <row r="1503" spans="1:14" s="1" customFormat="1" x14ac:dyDescent="0.35">
      <c r="A1503" s="1" t="s">
        <v>5216</v>
      </c>
      <c r="B1503" s="1" t="s">
        <v>2812</v>
      </c>
      <c r="C1503" s="1" t="s">
        <v>2885</v>
      </c>
      <c r="D1503" s="1" t="s">
        <v>8728</v>
      </c>
      <c r="E1503" s="1" t="str">
        <f>"1550"</f>
        <v>1550</v>
      </c>
      <c r="F1503" s="1" t="s">
        <v>199</v>
      </c>
      <c r="G1503" s="1" t="s">
        <v>200</v>
      </c>
      <c r="H1503" s="1" t="s">
        <v>16</v>
      </c>
      <c r="I1503" s="4" t="str">
        <f>"6"</f>
        <v>6</v>
      </c>
      <c r="J1503" s="2" t="str">
        <f>"13000"</f>
        <v>13000</v>
      </c>
      <c r="K1503" s="3">
        <v>46151</v>
      </c>
      <c r="L1503" s="3">
        <v>46155</v>
      </c>
      <c r="M1503" s="1" t="s">
        <v>7472</v>
      </c>
      <c r="N1503" s="1" t="s">
        <v>8727</v>
      </c>
    </row>
    <row r="1504" spans="1:14" s="1" customFormat="1" x14ac:dyDescent="0.35">
      <c r="A1504" s="1" t="s">
        <v>5216</v>
      </c>
      <c r="B1504" s="1" t="s">
        <v>2812</v>
      </c>
      <c r="C1504" s="1" t="s">
        <v>2885</v>
      </c>
      <c r="D1504" s="1" t="s">
        <v>8726</v>
      </c>
      <c r="E1504" s="1" t="str">
        <f>"6545"</f>
        <v>6545</v>
      </c>
      <c r="F1504" s="1" t="str">
        <f>"015324962"</f>
        <v>015324962</v>
      </c>
      <c r="G1504" s="1" t="s">
        <v>2053</v>
      </c>
      <c r="H1504" s="1" t="s">
        <v>215</v>
      </c>
      <c r="I1504" s="4" t="str">
        <f>"1"</f>
        <v>1</v>
      </c>
      <c r="J1504" s="2">
        <v>1868.26</v>
      </c>
      <c r="K1504" s="3">
        <v>46151</v>
      </c>
      <c r="L1504" s="3">
        <v>46155</v>
      </c>
      <c r="M1504" s="1" t="s">
        <v>7472</v>
      </c>
      <c r="N1504" s="1" t="s">
        <v>8722</v>
      </c>
    </row>
    <row r="1505" spans="1:14" s="1" customFormat="1" x14ac:dyDescent="0.35">
      <c r="A1505" s="1" t="s">
        <v>5216</v>
      </c>
      <c r="B1505" s="1" t="s">
        <v>2812</v>
      </c>
      <c r="C1505" s="1" t="s">
        <v>2885</v>
      </c>
      <c r="D1505" s="1" t="s">
        <v>8725</v>
      </c>
      <c r="E1505" s="1" t="str">
        <f>"6545"</f>
        <v>6545</v>
      </c>
      <c r="F1505" s="1" t="str">
        <f>"015324962"</f>
        <v>015324962</v>
      </c>
      <c r="G1505" s="1" t="s">
        <v>2053</v>
      </c>
      <c r="H1505" s="1" t="s">
        <v>215</v>
      </c>
      <c r="I1505" s="4" t="str">
        <f>"3"</f>
        <v>3</v>
      </c>
      <c r="J1505" s="2">
        <v>1868.26</v>
      </c>
      <c r="K1505" s="3">
        <v>46151</v>
      </c>
      <c r="L1505" s="3">
        <v>46155</v>
      </c>
      <c r="M1505" s="1" t="s">
        <v>7472</v>
      </c>
      <c r="N1505" s="1" t="s">
        <v>8722</v>
      </c>
    </row>
    <row r="1506" spans="1:14" s="1" customFormat="1" x14ac:dyDescent="0.35">
      <c r="A1506" s="1" t="s">
        <v>5216</v>
      </c>
      <c r="B1506" s="1" t="s">
        <v>2812</v>
      </c>
      <c r="C1506" s="1" t="s">
        <v>2885</v>
      </c>
      <c r="D1506" s="1" t="s">
        <v>8724</v>
      </c>
      <c r="E1506" s="1" t="str">
        <f>"6545"</f>
        <v>6545</v>
      </c>
      <c r="F1506" s="1" t="str">
        <f>"015324962"</f>
        <v>015324962</v>
      </c>
      <c r="G1506" s="1" t="s">
        <v>2053</v>
      </c>
      <c r="H1506" s="1" t="s">
        <v>215</v>
      </c>
      <c r="I1506" s="4" t="str">
        <f>"2"</f>
        <v>2</v>
      </c>
      <c r="J1506" s="2">
        <v>1868.26</v>
      </c>
      <c r="K1506" s="3">
        <v>46151</v>
      </c>
      <c r="L1506" s="3">
        <v>46155</v>
      </c>
      <c r="M1506" s="1" t="s">
        <v>7472</v>
      </c>
      <c r="N1506" s="1" t="s">
        <v>8722</v>
      </c>
    </row>
    <row r="1507" spans="1:14" s="1" customFormat="1" x14ac:dyDescent="0.35">
      <c r="A1507" s="1" t="s">
        <v>5216</v>
      </c>
      <c r="B1507" s="1" t="s">
        <v>2812</v>
      </c>
      <c r="C1507" s="1" t="s">
        <v>2885</v>
      </c>
      <c r="D1507" s="1" t="s">
        <v>8723</v>
      </c>
      <c r="E1507" s="1" t="str">
        <f>"6545"</f>
        <v>6545</v>
      </c>
      <c r="F1507" s="1" t="str">
        <f>"015324962"</f>
        <v>015324962</v>
      </c>
      <c r="G1507" s="1" t="s">
        <v>2053</v>
      </c>
      <c r="H1507" s="1" t="s">
        <v>215</v>
      </c>
      <c r="I1507" s="4" t="str">
        <f>"1"</f>
        <v>1</v>
      </c>
      <c r="J1507" s="2">
        <v>1868.26</v>
      </c>
      <c r="K1507" s="3">
        <v>46151</v>
      </c>
      <c r="L1507" s="3">
        <v>46155</v>
      </c>
      <c r="M1507" s="1" t="s">
        <v>7472</v>
      </c>
      <c r="N1507" s="1" t="s">
        <v>8722</v>
      </c>
    </row>
    <row r="1508" spans="1:14" s="1" customFormat="1" x14ac:dyDescent="0.35">
      <c r="A1508" s="1" t="s">
        <v>5171</v>
      </c>
      <c r="B1508" s="1" t="s">
        <v>2812</v>
      </c>
      <c r="C1508" s="1" t="s">
        <v>2885</v>
      </c>
      <c r="D1508" s="1" t="s">
        <v>8721</v>
      </c>
      <c r="E1508" s="1" t="str">
        <f>"6545"</f>
        <v>6545</v>
      </c>
      <c r="F1508" s="1" t="str">
        <f>"015324962"</f>
        <v>015324962</v>
      </c>
      <c r="G1508" s="1" t="s">
        <v>2053</v>
      </c>
      <c r="H1508" s="1" t="s">
        <v>215</v>
      </c>
      <c r="I1508" s="4" t="str">
        <f>"1"</f>
        <v>1</v>
      </c>
      <c r="J1508" s="2">
        <v>1868.26</v>
      </c>
      <c r="K1508" s="3">
        <v>46155</v>
      </c>
      <c r="L1508" s="3">
        <v>46158</v>
      </c>
      <c r="M1508" s="1" t="s">
        <v>5167</v>
      </c>
      <c r="N1508" s="1" t="s">
        <v>8714</v>
      </c>
    </row>
    <row r="1509" spans="1:14" s="1" customFormat="1" x14ac:dyDescent="0.35">
      <c r="A1509" s="1" t="s">
        <v>5171</v>
      </c>
      <c r="B1509" s="1" t="s">
        <v>2812</v>
      </c>
      <c r="C1509" s="1" t="s">
        <v>2885</v>
      </c>
      <c r="D1509" s="1" t="s">
        <v>8720</v>
      </c>
      <c r="E1509" s="1" t="str">
        <f>"1550"</f>
        <v>1550</v>
      </c>
      <c r="F1509" s="1" t="s">
        <v>199</v>
      </c>
      <c r="G1509" s="1" t="s">
        <v>200</v>
      </c>
      <c r="H1509" s="1" t="s">
        <v>16</v>
      </c>
      <c r="I1509" s="4" t="str">
        <f>"4"</f>
        <v>4</v>
      </c>
      <c r="J1509" s="2" t="str">
        <f>"13000"</f>
        <v>13000</v>
      </c>
      <c r="K1509" s="3">
        <v>46155</v>
      </c>
      <c r="L1509" s="3">
        <v>46159</v>
      </c>
      <c r="M1509" s="1" t="s">
        <v>5167</v>
      </c>
      <c r="N1509" s="1" t="s">
        <v>8718</v>
      </c>
    </row>
    <row r="1510" spans="1:14" s="1" customFormat="1" x14ac:dyDescent="0.35">
      <c r="A1510" s="1" t="s">
        <v>5171</v>
      </c>
      <c r="B1510" s="1" t="s">
        <v>2812</v>
      </c>
      <c r="C1510" s="1" t="s">
        <v>2885</v>
      </c>
      <c r="D1510" s="1" t="s">
        <v>8719</v>
      </c>
      <c r="E1510" s="1" t="str">
        <f>"1550"</f>
        <v>1550</v>
      </c>
      <c r="F1510" s="1" t="s">
        <v>199</v>
      </c>
      <c r="G1510" s="1" t="s">
        <v>200</v>
      </c>
      <c r="H1510" s="1" t="s">
        <v>16</v>
      </c>
      <c r="I1510" s="4" t="str">
        <f>"2"</f>
        <v>2</v>
      </c>
      <c r="J1510" s="2" t="str">
        <f>"9999"</f>
        <v>9999</v>
      </c>
      <c r="K1510" s="3">
        <v>46155</v>
      </c>
      <c r="L1510" s="3">
        <v>46159</v>
      </c>
      <c r="M1510" s="1" t="s">
        <v>5167</v>
      </c>
      <c r="N1510" s="1" t="s">
        <v>8718</v>
      </c>
    </row>
    <row r="1511" spans="1:14" s="1" customFormat="1" x14ac:dyDescent="0.35">
      <c r="A1511" s="1" t="s">
        <v>5171</v>
      </c>
      <c r="B1511" s="1" t="s">
        <v>2812</v>
      </c>
      <c r="C1511" s="1" t="s">
        <v>2885</v>
      </c>
      <c r="D1511" s="1" t="s">
        <v>8717</v>
      </c>
      <c r="E1511" s="1" t="str">
        <f>"6545"</f>
        <v>6545</v>
      </c>
      <c r="F1511" s="1" t="str">
        <f>"015324962"</f>
        <v>015324962</v>
      </c>
      <c r="G1511" s="1" t="s">
        <v>2053</v>
      </c>
      <c r="H1511" s="1" t="s">
        <v>215</v>
      </c>
      <c r="I1511" s="4" t="str">
        <f>"2"</f>
        <v>2</v>
      </c>
      <c r="J1511" s="2">
        <v>1868.26</v>
      </c>
      <c r="K1511" s="3">
        <v>46155</v>
      </c>
      <c r="L1511" s="3">
        <v>46165</v>
      </c>
      <c r="M1511" s="1" t="s">
        <v>5167</v>
      </c>
      <c r="N1511" s="1" t="s">
        <v>8714</v>
      </c>
    </row>
    <row r="1512" spans="1:14" s="1" customFormat="1" x14ac:dyDescent="0.35">
      <c r="A1512" s="1" t="s">
        <v>5171</v>
      </c>
      <c r="B1512" s="1" t="s">
        <v>2812</v>
      </c>
      <c r="C1512" s="1" t="s">
        <v>2885</v>
      </c>
      <c r="D1512" s="1" t="s">
        <v>8716</v>
      </c>
      <c r="E1512" s="1" t="str">
        <f>"6545"</f>
        <v>6545</v>
      </c>
      <c r="F1512" s="1" t="str">
        <f>"015324962"</f>
        <v>015324962</v>
      </c>
      <c r="G1512" s="1" t="s">
        <v>2053</v>
      </c>
      <c r="H1512" s="1" t="s">
        <v>215</v>
      </c>
      <c r="I1512" s="4" t="str">
        <f>"1"</f>
        <v>1</v>
      </c>
      <c r="J1512" s="2">
        <v>1868.26</v>
      </c>
      <c r="K1512" s="3">
        <v>46155</v>
      </c>
      <c r="L1512" s="3">
        <v>46165</v>
      </c>
      <c r="M1512" s="1" t="s">
        <v>5167</v>
      </c>
      <c r="N1512" s="1" t="s">
        <v>8714</v>
      </c>
    </row>
    <row r="1513" spans="1:14" s="1" customFormat="1" x14ac:dyDescent="0.35">
      <c r="A1513" s="1" t="s">
        <v>5171</v>
      </c>
      <c r="B1513" s="1" t="s">
        <v>2812</v>
      </c>
      <c r="C1513" s="1" t="s">
        <v>2885</v>
      </c>
      <c r="D1513" s="1" t="s">
        <v>8715</v>
      </c>
      <c r="E1513" s="1" t="str">
        <f>"6545"</f>
        <v>6545</v>
      </c>
      <c r="F1513" s="1" t="str">
        <f>"015324962"</f>
        <v>015324962</v>
      </c>
      <c r="G1513" s="1" t="s">
        <v>2053</v>
      </c>
      <c r="H1513" s="1" t="s">
        <v>215</v>
      </c>
      <c r="I1513" s="4" t="str">
        <f>"3"</f>
        <v>3</v>
      </c>
      <c r="J1513" s="2">
        <v>1868.26</v>
      </c>
      <c r="K1513" s="3">
        <v>46155</v>
      </c>
      <c r="L1513" s="3">
        <v>46165</v>
      </c>
      <c r="M1513" s="1" t="s">
        <v>5167</v>
      </c>
      <c r="N1513" s="1" t="s">
        <v>8714</v>
      </c>
    </row>
    <row r="1514" spans="1:14" s="1" customFormat="1" x14ac:dyDescent="0.35">
      <c r="A1514" s="1" t="s">
        <v>5171</v>
      </c>
      <c r="B1514" s="1" t="s">
        <v>2812</v>
      </c>
      <c r="C1514" s="1" t="s">
        <v>2885</v>
      </c>
      <c r="D1514" s="1" t="s">
        <v>8713</v>
      </c>
      <c r="E1514" s="1" t="str">
        <f>"1385"</f>
        <v>1385</v>
      </c>
      <c r="F1514" s="1" t="str">
        <f>"015736046"</f>
        <v>015736046</v>
      </c>
      <c r="G1514" s="1" t="s">
        <v>540</v>
      </c>
      <c r="H1514" s="1" t="s">
        <v>16</v>
      </c>
      <c r="I1514" s="4" t="str">
        <f>"1"</f>
        <v>1</v>
      </c>
      <c r="J1514" s="2">
        <v>284528.08</v>
      </c>
      <c r="K1514" s="3">
        <v>46170</v>
      </c>
      <c r="L1514" s="3">
        <v>46172</v>
      </c>
      <c r="M1514" s="1" t="s">
        <v>8712</v>
      </c>
      <c r="N1514" s="1" t="s">
        <v>8711</v>
      </c>
    </row>
    <row r="1515" spans="1:14" s="1" customFormat="1" x14ac:dyDescent="0.35">
      <c r="A1515" s="1" t="s">
        <v>5171</v>
      </c>
      <c r="B1515" s="1" t="s">
        <v>2891</v>
      </c>
      <c r="C1515" s="1" t="s">
        <v>3029</v>
      </c>
      <c r="D1515" s="1" t="s">
        <v>8710</v>
      </c>
      <c r="E1515" s="1" t="str">
        <f>"2320"</f>
        <v>2320</v>
      </c>
      <c r="F1515" s="1" t="str">
        <f>"008925938"</f>
        <v>008925938</v>
      </c>
      <c r="G1515" s="1" t="s">
        <v>271</v>
      </c>
      <c r="H1515" s="1" t="s">
        <v>16</v>
      </c>
      <c r="I1515" s="4" t="str">
        <f>"1"</f>
        <v>1</v>
      </c>
      <c r="J1515" s="2" t="str">
        <f>"27290"</f>
        <v>27290</v>
      </c>
      <c r="K1515" s="3">
        <v>46110</v>
      </c>
      <c r="L1515" s="3">
        <v>46113</v>
      </c>
      <c r="M1515" s="1" t="s">
        <v>8709</v>
      </c>
      <c r="N1515" s="1" t="s">
        <v>8708</v>
      </c>
    </row>
    <row r="1516" spans="1:14" s="1" customFormat="1" x14ac:dyDescent="0.35">
      <c r="A1516" s="1" t="s">
        <v>5171</v>
      </c>
      <c r="B1516" s="1" t="s">
        <v>2891</v>
      </c>
      <c r="C1516" s="1" t="s">
        <v>3029</v>
      </c>
      <c r="D1516" s="1" t="s">
        <v>8710</v>
      </c>
      <c r="E1516" s="1" t="str">
        <f>"2320"</f>
        <v>2320</v>
      </c>
      <c r="F1516" s="1" t="str">
        <f>"008925938"</f>
        <v>008925938</v>
      </c>
      <c r="G1516" s="1" t="s">
        <v>271</v>
      </c>
      <c r="H1516" s="1" t="s">
        <v>16</v>
      </c>
      <c r="I1516" s="4" t="str">
        <f>"1"</f>
        <v>1</v>
      </c>
      <c r="J1516" s="2" t="str">
        <f>"27290"</f>
        <v>27290</v>
      </c>
      <c r="K1516" s="3">
        <v>46110</v>
      </c>
      <c r="L1516" s="3">
        <v>46113</v>
      </c>
      <c r="M1516" s="1" t="s">
        <v>8709</v>
      </c>
      <c r="N1516" s="1" t="s">
        <v>8708</v>
      </c>
    </row>
    <row r="1517" spans="1:14" s="1" customFormat="1" x14ac:dyDescent="0.35">
      <c r="A1517" s="1" t="s">
        <v>5171</v>
      </c>
      <c r="B1517" s="1" t="s">
        <v>2891</v>
      </c>
      <c r="C1517" s="1" t="s">
        <v>3029</v>
      </c>
      <c r="D1517" s="1" t="s">
        <v>8707</v>
      </c>
      <c r="E1517" s="1" t="str">
        <f>"2340"</f>
        <v>2340</v>
      </c>
      <c r="F1517" s="1" t="s">
        <v>84</v>
      </c>
      <c r="G1517" s="1" t="s">
        <v>85</v>
      </c>
      <c r="H1517" s="1" t="s">
        <v>16</v>
      </c>
      <c r="I1517" s="4" t="str">
        <f>"1"</f>
        <v>1</v>
      </c>
      <c r="J1517" s="2">
        <v>16829.71</v>
      </c>
      <c r="K1517" s="3">
        <v>46111</v>
      </c>
      <c r="L1517" s="3">
        <v>46113</v>
      </c>
      <c r="M1517" s="1" t="s">
        <v>8706</v>
      </c>
      <c r="N1517" s="1" t="s">
        <v>8705</v>
      </c>
    </row>
    <row r="1518" spans="1:14" s="1" customFormat="1" x14ac:dyDescent="0.35">
      <c r="A1518" s="1" t="s">
        <v>5171</v>
      </c>
      <c r="B1518" s="1" t="s">
        <v>2891</v>
      </c>
      <c r="C1518" s="1" t="s">
        <v>3029</v>
      </c>
      <c r="D1518" s="1" t="s">
        <v>8704</v>
      </c>
      <c r="E1518" s="1" t="str">
        <f>"2320"</f>
        <v>2320</v>
      </c>
      <c r="F1518" s="1" t="str">
        <f>"015016635"</f>
        <v>015016635</v>
      </c>
      <c r="G1518" s="1" t="s">
        <v>2303</v>
      </c>
      <c r="H1518" s="1" t="s">
        <v>16</v>
      </c>
      <c r="I1518" s="4" t="str">
        <f>"1"</f>
        <v>1</v>
      </c>
      <c r="J1518" s="2" t="str">
        <f>"45602"</f>
        <v>45602</v>
      </c>
      <c r="K1518" s="3">
        <v>46111</v>
      </c>
      <c r="L1518" s="3">
        <v>46114</v>
      </c>
      <c r="M1518" s="1" t="s">
        <v>8703</v>
      </c>
      <c r="N1518" s="1" t="s">
        <v>8702</v>
      </c>
    </row>
    <row r="1519" spans="1:14" s="1" customFormat="1" x14ac:dyDescent="0.35">
      <c r="A1519" s="1" t="s">
        <v>5171</v>
      </c>
      <c r="B1519" s="1" t="s">
        <v>2891</v>
      </c>
      <c r="C1519" s="1" t="s">
        <v>2921</v>
      </c>
      <c r="D1519" s="1" t="s">
        <v>8701</v>
      </c>
      <c r="E1519" s="1" t="str">
        <f>"2330"</f>
        <v>2330</v>
      </c>
      <c r="F1519" s="1" t="s">
        <v>70</v>
      </c>
      <c r="G1519" s="1" t="s">
        <v>71</v>
      </c>
      <c r="H1519" s="1" t="s">
        <v>16</v>
      </c>
      <c r="I1519" s="4" t="str">
        <f>"1"</f>
        <v>1</v>
      </c>
      <c r="J1519" s="2" t="str">
        <f>"4500"</f>
        <v>4500</v>
      </c>
      <c r="K1519" s="3">
        <v>46105</v>
      </c>
      <c r="L1519" s="3">
        <v>46116</v>
      </c>
      <c r="M1519" s="1" t="s">
        <v>8700</v>
      </c>
      <c r="N1519" s="1" t="s">
        <v>8699</v>
      </c>
    </row>
    <row r="1520" spans="1:14" s="1" customFormat="1" x14ac:dyDescent="0.35">
      <c r="A1520" s="1" t="s">
        <v>5171</v>
      </c>
      <c r="B1520" s="1" t="s">
        <v>2891</v>
      </c>
      <c r="C1520" s="1" t="s">
        <v>3003</v>
      </c>
      <c r="D1520" s="1" t="s">
        <v>8698</v>
      </c>
      <c r="E1520" s="1" t="str">
        <f>"2310"</f>
        <v>2310</v>
      </c>
      <c r="F1520" s="1" t="s">
        <v>178</v>
      </c>
      <c r="G1520" s="1" t="s">
        <v>179</v>
      </c>
      <c r="H1520" s="1" t="s">
        <v>16</v>
      </c>
      <c r="I1520" s="4" t="str">
        <f>"1"</f>
        <v>1</v>
      </c>
      <c r="J1520" s="2" t="str">
        <f>"38900"</f>
        <v>38900</v>
      </c>
      <c r="K1520" s="3">
        <v>46102</v>
      </c>
      <c r="L1520" s="3">
        <v>46116</v>
      </c>
      <c r="M1520" s="1" t="s">
        <v>8697</v>
      </c>
      <c r="N1520" s="1" t="s">
        <v>8498</v>
      </c>
    </row>
    <row r="1521" spans="1:14" s="1" customFormat="1" x14ac:dyDescent="0.35">
      <c r="A1521" s="1" t="s">
        <v>0</v>
      </c>
      <c r="B1521" s="1" t="s">
        <v>2891</v>
      </c>
      <c r="C1521" s="1" t="s">
        <v>3003</v>
      </c>
      <c r="D1521" s="1" t="s">
        <v>8696</v>
      </c>
      <c r="E1521" s="1" t="str">
        <f>"2310"</f>
        <v>2310</v>
      </c>
      <c r="F1521" s="1" t="str">
        <f>"011350996"</f>
        <v>011350996</v>
      </c>
      <c r="G1521" s="1" t="s">
        <v>1489</v>
      </c>
      <c r="H1521" s="1" t="s">
        <v>16</v>
      </c>
      <c r="I1521" s="4" t="str">
        <f>"1"</f>
        <v>1</v>
      </c>
      <c r="J1521" s="2" t="str">
        <f>"80000"</f>
        <v>80000</v>
      </c>
      <c r="K1521" s="3">
        <v>46116</v>
      </c>
      <c r="L1521" s="3">
        <v>46118</v>
      </c>
      <c r="M1521" s="1" t="s">
        <v>8695</v>
      </c>
      <c r="N1521" s="1" t="s">
        <v>8676</v>
      </c>
    </row>
    <row r="1522" spans="1:14" s="1" customFormat="1" x14ac:dyDescent="0.35">
      <c r="A1522" s="1" t="s">
        <v>5171</v>
      </c>
      <c r="B1522" s="1" t="s">
        <v>2891</v>
      </c>
      <c r="C1522" s="1" t="s">
        <v>2911</v>
      </c>
      <c r="D1522" s="1" t="s">
        <v>8694</v>
      </c>
      <c r="E1522" s="1" t="str">
        <f>"2310"</f>
        <v>2310</v>
      </c>
      <c r="F1522" s="1" t="s">
        <v>178</v>
      </c>
      <c r="G1522" s="1" t="s">
        <v>179</v>
      </c>
      <c r="H1522" s="1" t="s">
        <v>16</v>
      </c>
      <c r="I1522" s="4" t="str">
        <f>"2"</f>
        <v>2</v>
      </c>
      <c r="J1522" s="2" t="str">
        <f>"7500"</f>
        <v>7500</v>
      </c>
      <c r="K1522" s="3">
        <v>46088</v>
      </c>
      <c r="L1522" s="3">
        <v>46118</v>
      </c>
      <c r="M1522" s="1" t="s">
        <v>8693</v>
      </c>
      <c r="N1522" s="1" t="s">
        <v>8692</v>
      </c>
    </row>
    <row r="1523" spans="1:14" s="1" customFormat="1" x14ac:dyDescent="0.35">
      <c r="A1523" s="1" t="s">
        <v>5171</v>
      </c>
      <c r="B1523" s="1" t="s">
        <v>2891</v>
      </c>
      <c r="C1523" s="1" t="s">
        <v>2985</v>
      </c>
      <c r="D1523" s="1" t="s">
        <v>8691</v>
      </c>
      <c r="E1523" s="1" t="str">
        <f>"2320"</f>
        <v>2320</v>
      </c>
      <c r="F1523" s="1" t="str">
        <f>"009263656"</f>
        <v>009263656</v>
      </c>
      <c r="G1523" s="1" t="s">
        <v>271</v>
      </c>
      <c r="H1523" s="1" t="s">
        <v>16</v>
      </c>
      <c r="I1523" s="4" t="str">
        <f>"1"</f>
        <v>1</v>
      </c>
      <c r="J1523" s="2" t="str">
        <f>"4169"</f>
        <v>4169</v>
      </c>
      <c r="K1523" s="3">
        <v>46086</v>
      </c>
      <c r="L1523" s="3">
        <v>46118</v>
      </c>
      <c r="M1523" s="1" t="s">
        <v>8690</v>
      </c>
      <c r="N1523" s="1" t="s">
        <v>8687</v>
      </c>
    </row>
    <row r="1524" spans="1:14" s="1" customFormat="1" x14ac:dyDescent="0.35">
      <c r="A1524" s="1" t="s">
        <v>5171</v>
      </c>
      <c r="B1524" s="1" t="s">
        <v>2891</v>
      </c>
      <c r="C1524" s="1" t="s">
        <v>2985</v>
      </c>
      <c r="D1524" s="1" t="s">
        <v>8689</v>
      </c>
      <c r="E1524" s="1" t="str">
        <f>"2320"</f>
        <v>2320</v>
      </c>
      <c r="F1524" s="1" t="str">
        <f>"010907831"</f>
        <v>010907831</v>
      </c>
      <c r="G1524" s="1" t="s">
        <v>370</v>
      </c>
      <c r="H1524" s="1" t="s">
        <v>16</v>
      </c>
      <c r="I1524" s="4" t="str">
        <f>"1"</f>
        <v>1</v>
      </c>
      <c r="J1524" s="2" t="str">
        <f>"15000"</f>
        <v>15000</v>
      </c>
      <c r="K1524" s="3">
        <v>46086</v>
      </c>
      <c r="L1524" s="3">
        <v>46118</v>
      </c>
      <c r="M1524" s="1" t="s">
        <v>8688</v>
      </c>
      <c r="N1524" s="1" t="s">
        <v>8687</v>
      </c>
    </row>
    <row r="1525" spans="1:14" s="1" customFormat="1" x14ac:dyDescent="0.35">
      <c r="A1525" s="1" t="s">
        <v>5171</v>
      </c>
      <c r="B1525" s="1" t="s">
        <v>2891</v>
      </c>
      <c r="C1525" s="1" t="s">
        <v>2911</v>
      </c>
      <c r="D1525" s="1" t="s">
        <v>8686</v>
      </c>
      <c r="E1525" s="1" t="str">
        <f>"2320"</f>
        <v>2320</v>
      </c>
      <c r="F1525" s="1" t="s">
        <v>971</v>
      </c>
      <c r="G1525" s="1" t="s">
        <v>972</v>
      </c>
      <c r="H1525" s="1" t="s">
        <v>16</v>
      </c>
      <c r="I1525" s="4" t="str">
        <f>"1"</f>
        <v>1</v>
      </c>
      <c r="J1525" s="2" t="str">
        <f>"10000"</f>
        <v>10000</v>
      </c>
      <c r="K1525" s="3">
        <v>46089</v>
      </c>
      <c r="L1525" s="3">
        <v>46119</v>
      </c>
      <c r="M1525" s="1" t="s">
        <v>8685</v>
      </c>
      <c r="N1525" s="1" t="s">
        <v>8684</v>
      </c>
    </row>
    <row r="1526" spans="1:14" s="1" customFormat="1" x14ac:dyDescent="0.35">
      <c r="A1526" s="1" t="s">
        <v>5171</v>
      </c>
      <c r="B1526" s="1" t="s">
        <v>2891</v>
      </c>
      <c r="C1526" s="1" t="s">
        <v>2991</v>
      </c>
      <c r="D1526" s="1" t="s">
        <v>8683</v>
      </c>
      <c r="E1526" s="1" t="str">
        <f>"4910"</f>
        <v>4910</v>
      </c>
      <c r="F1526" s="1" t="s">
        <v>1171</v>
      </c>
      <c r="G1526" s="1" t="s">
        <v>1172</v>
      </c>
      <c r="H1526" s="1" t="s">
        <v>16</v>
      </c>
      <c r="I1526" s="4" t="str">
        <f>"2"</f>
        <v>2</v>
      </c>
      <c r="J1526" s="2" t="str">
        <f>"75"</f>
        <v>75</v>
      </c>
      <c r="K1526" s="3">
        <v>46098</v>
      </c>
      <c r="L1526" s="3">
        <v>46119</v>
      </c>
      <c r="M1526" s="1" t="s">
        <v>8682</v>
      </c>
      <c r="N1526" s="1" t="s">
        <v>8681</v>
      </c>
    </row>
    <row r="1527" spans="1:14" s="1" customFormat="1" x14ac:dyDescent="0.35">
      <c r="A1527" s="1" t="s">
        <v>5216</v>
      </c>
      <c r="B1527" s="1" t="s">
        <v>2891</v>
      </c>
      <c r="C1527" s="1" t="s">
        <v>8661</v>
      </c>
      <c r="D1527" s="1" t="s">
        <v>8680</v>
      </c>
      <c r="E1527" s="1" t="str">
        <f>"2320"</f>
        <v>2320</v>
      </c>
      <c r="F1527" s="1" t="s">
        <v>975</v>
      </c>
      <c r="G1527" s="1" t="s">
        <v>976</v>
      </c>
      <c r="H1527" s="1" t="s">
        <v>16</v>
      </c>
      <c r="I1527" s="4" t="str">
        <f>"1"</f>
        <v>1</v>
      </c>
      <c r="J1527" s="2" t="str">
        <f>"80000"</f>
        <v>80000</v>
      </c>
      <c r="K1527" s="3">
        <v>46120</v>
      </c>
      <c r="L1527" s="3">
        <v>46120</v>
      </c>
      <c r="M1527" s="1" t="s">
        <v>5469</v>
      </c>
      <c r="N1527" s="1" t="s">
        <v>8679</v>
      </c>
    </row>
    <row r="1528" spans="1:14" s="1" customFormat="1" x14ac:dyDescent="0.35">
      <c r="A1528" s="1" t="s">
        <v>5171</v>
      </c>
      <c r="B1528" s="1" t="s">
        <v>2891</v>
      </c>
      <c r="C1528" s="1" t="s">
        <v>3003</v>
      </c>
      <c r="D1528" s="1" t="s">
        <v>8678</v>
      </c>
      <c r="E1528" s="1" t="str">
        <f>"2310"</f>
        <v>2310</v>
      </c>
      <c r="F1528" s="1" t="str">
        <f>"011350996"</f>
        <v>011350996</v>
      </c>
      <c r="G1528" s="1" t="s">
        <v>1489</v>
      </c>
      <c r="H1528" s="1" t="s">
        <v>16</v>
      </c>
      <c r="I1528" s="4" t="str">
        <f>"1"</f>
        <v>1</v>
      </c>
      <c r="J1528" s="2" t="str">
        <f>"80000"</f>
        <v>80000</v>
      </c>
      <c r="K1528" s="3">
        <v>46116</v>
      </c>
      <c r="L1528" s="3">
        <v>46121</v>
      </c>
      <c r="M1528" s="1" t="s">
        <v>8677</v>
      </c>
      <c r="N1528" s="1" t="s">
        <v>8676</v>
      </c>
    </row>
    <row r="1529" spans="1:14" s="1" customFormat="1" x14ac:dyDescent="0.35">
      <c r="A1529" s="1" t="s">
        <v>5171</v>
      </c>
      <c r="B1529" s="1" t="s">
        <v>2891</v>
      </c>
      <c r="C1529" s="1" t="s">
        <v>2921</v>
      </c>
      <c r="D1529" s="1" t="s">
        <v>8675</v>
      </c>
      <c r="E1529" s="1" t="str">
        <f>"2330"</f>
        <v>2330</v>
      </c>
      <c r="F1529" s="1" t="s">
        <v>70</v>
      </c>
      <c r="G1529" s="1" t="s">
        <v>71</v>
      </c>
      <c r="H1529" s="1" t="s">
        <v>16</v>
      </c>
      <c r="I1529" s="4" t="str">
        <f>"1"</f>
        <v>1</v>
      </c>
      <c r="J1529" s="2" t="str">
        <f>"14000"</f>
        <v>14000</v>
      </c>
      <c r="K1529" s="3">
        <v>46111</v>
      </c>
      <c r="L1529" s="3">
        <v>46123</v>
      </c>
      <c r="M1529" s="1" t="s">
        <v>8674</v>
      </c>
      <c r="N1529" s="1" t="s">
        <v>2925</v>
      </c>
    </row>
    <row r="1530" spans="1:14" s="1" customFormat="1" x14ac:dyDescent="0.35">
      <c r="A1530" s="1" t="s">
        <v>5171</v>
      </c>
      <c r="B1530" s="1" t="s">
        <v>2891</v>
      </c>
      <c r="C1530" s="1" t="s">
        <v>2991</v>
      </c>
      <c r="D1530" s="1" t="s">
        <v>8673</v>
      </c>
      <c r="E1530" s="1" t="str">
        <f>"6730"</f>
        <v>6730</v>
      </c>
      <c r="F1530" s="1" t="s">
        <v>3021</v>
      </c>
      <c r="G1530" s="1" t="s">
        <v>3022</v>
      </c>
      <c r="H1530" s="1" t="s">
        <v>16</v>
      </c>
      <c r="I1530" s="4" t="str">
        <f>"2"</f>
        <v>2</v>
      </c>
      <c r="J1530" s="2" t="str">
        <f>"500"</f>
        <v>500</v>
      </c>
      <c r="K1530" s="3">
        <v>46117</v>
      </c>
      <c r="L1530" s="3">
        <v>46123</v>
      </c>
      <c r="M1530" s="1" t="s">
        <v>8672</v>
      </c>
      <c r="N1530" s="1" t="s">
        <v>8671</v>
      </c>
    </row>
    <row r="1531" spans="1:14" s="1" customFormat="1" x14ac:dyDescent="0.35">
      <c r="A1531" s="1" t="s">
        <v>5171</v>
      </c>
      <c r="B1531" s="1" t="s">
        <v>2891</v>
      </c>
      <c r="C1531" s="1" t="s">
        <v>3029</v>
      </c>
      <c r="D1531" s="1" t="s">
        <v>8670</v>
      </c>
      <c r="E1531" s="1" t="str">
        <f>"2320"</f>
        <v>2320</v>
      </c>
      <c r="F1531" s="1" t="s">
        <v>971</v>
      </c>
      <c r="G1531" s="1" t="s">
        <v>972</v>
      </c>
      <c r="H1531" s="1" t="s">
        <v>16</v>
      </c>
      <c r="I1531" s="4" t="str">
        <f>"1"</f>
        <v>1</v>
      </c>
      <c r="J1531" s="2" t="str">
        <f>"55000"</f>
        <v>55000</v>
      </c>
      <c r="K1531" s="3">
        <v>46110</v>
      </c>
      <c r="L1531" s="3">
        <v>46123</v>
      </c>
      <c r="M1531" s="1" t="s">
        <v>8669</v>
      </c>
      <c r="N1531" s="1" t="s">
        <v>8668</v>
      </c>
    </row>
    <row r="1532" spans="1:14" s="1" customFormat="1" x14ac:dyDescent="0.35">
      <c r="A1532" s="1" t="s">
        <v>5171</v>
      </c>
      <c r="B1532" s="1" t="s">
        <v>2891</v>
      </c>
      <c r="C1532" s="1" t="s">
        <v>3029</v>
      </c>
      <c r="D1532" s="1" t="s">
        <v>8667</v>
      </c>
      <c r="E1532" s="1" t="str">
        <f>"2330"</f>
        <v>2330</v>
      </c>
      <c r="F1532" s="1" t="s">
        <v>70</v>
      </c>
      <c r="G1532" s="1" t="s">
        <v>71</v>
      </c>
      <c r="H1532" s="1" t="s">
        <v>16</v>
      </c>
      <c r="I1532" s="4" t="str">
        <f>"1"</f>
        <v>1</v>
      </c>
      <c r="J1532" s="2" t="str">
        <f>"14000"</f>
        <v>14000</v>
      </c>
      <c r="K1532" s="3">
        <v>46111</v>
      </c>
      <c r="L1532" s="3">
        <v>46123</v>
      </c>
      <c r="M1532" s="1" t="s">
        <v>8666</v>
      </c>
      <c r="N1532" s="1" t="s">
        <v>8665</v>
      </c>
    </row>
    <row r="1533" spans="1:14" s="1" customFormat="1" x14ac:dyDescent="0.35">
      <c r="A1533" s="1" t="s">
        <v>5171</v>
      </c>
      <c r="B1533" s="1" t="s">
        <v>2891</v>
      </c>
      <c r="C1533" s="1" t="s">
        <v>3029</v>
      </c>
      <c r="D1533" s="1" t="s">
        <v>8664</v>
      </c>
      <c r="E1533" s="1" t="str">
        <f>"2420"</f>
        <v>2420</v>
      </c>
      <c r="F1533" s="1" t="str">
        <f>"013916071"</f>
        <v>013916071</v>
      </c>
      <c r="G1533" s="1" t="s">
        <v>98</v>
      </c>
      <c r="H1533" s="1" t="s">
        <v>16</v>
      </c>
      <c r="I1533" s="4" t="str">
        <f>"1"</f>
        <v>1</v>
      </c>
      <c r="J1533" s="2" t="str">
        <f>"23945"</f>
        <v>23945</v>
      </c>
      <c r="K1533" s="3">
        <v>46111</v>
      </c>
      <c r="L1533" s="3">
        <v>46123</v>
      </c>
      <c r="M1533" s="1" t="s">
        <v>8663</v>
      </c>
      <c r="N1533" s="1" t="s">
        <v>8662</v>
      </c>
    </row>
    <row r="1534" spans="1:14" s="1" customFormat="1" x14ac:dyDescent="0.35">
      <c r="A1534" s="1" t="s">
        <v>5216</v>
      </c>
      <c r="B1534" s="1" t="s">
        <v>2891</v>
      </c>
      <c r="C1534" s="1" t="s">
        <v>8661</v>
      </c>
      <c r="D1534" s="1" t="s">
        <v>8660</v>
      </c>
      <c r="E1534" s="1" t="str">
        <f>"2320"</f>
        <v>2320</v>
      </c>
      <c r="F1534" s="1" t="str">
        <f>"010907889"</f>
        <v>010907889</v>
      </c>
      <c r="G1534" s="1" t="s">
        <v>271</v>
      </c>
      <c r="H1534" s="1" t="s">
        <v>16</v>
      </c>
      <c r="I1534" s="4" t="str">
        <f>"1"</f>
        <v>1</v>
      </c>
      <c r="J1534" s="2" t="str">
        <f>"18000"</f>
        <v>18000</v>
      </c>
      <c r="K1534" s="3">
        <v>46126</v>
      </c>
      <c r="L1534" s="3">
        <v>46126</v>
      </c>
      <c r="M1534" s="1" t="s">
        <v>5469</v>
      </c>
      <c r="N1534" s="1" t="s">
        <v>8659</v>
      </c>
    </row>
    <row r="1535" spans="1:14" s="1" customFormat="1" x14ac:dyDescent="0.35">
      <c r="A1535" s="1" t="s">
        <v>5171</v>
      </c>
      <c r="B1535" s="1" t="s">
        <v>2891</v>
      </c>
      <c r="C1535" s="1" t="s">
        <v>2991</v>
      </c>
      <c r="D1535" s="1" t="s">
        <v>8658</v>
      </c>
      <c r="E1535" s="1" t="str">
        <f>"1005"</f>
        <v>1005</v>
      </c>
      <c r="F1535" s="1" t="s">
        <v>94</v>
      </c>
      <c r="G1535" s="1" t="s">
        <v>95</v>
      </c>
      <c r="H1535" s="1" t="s">
        <v>16</v>
      </c>
      <c r="I1535" s="4" t="str">
        <f>"4"</f>
        <v>4</v>
      </c>
      <c r="J1535" s="2" t="str">
        <f>"25"</f>
        <v>25</v>
      </c>
      <c r="K1535" s="3">
        <v>46098</v>
      </c>
      <c r="L1535" s="3">
        <v>46127</v>
      </c>
      <c r="M1535" s="1" t="s">
        <v>8657</v>
      </c>
      <c r="N1535" s="1" t="s">
        <v>8656</v>
      </c>
    </row>
    <row r="1536" spans="1:14" s="1" customFormat="1" x14ac:dyDescent="0.35">
      <c r="A1536" s="1" t="s">
        <v>5230</v>
      </c>
      <c r="B1536" s="1" t="s">
        <v>2891</v>
      </c>
      <c r="C1536" s="1" t="s">
        <v>2979</v>
      </c>
      <c r="D1536" s="1" t="s">
        <v>8655</v>
      </c>
      <c r="E1536" s="1" t="str">
        <f>"2310"</f>
        <v>2310</v>
      </c>
      <c r="F1536" s="1" t="s">
        <v>4971</v>
      </c>
      <c r="G1536" s="1" t="s">
        <v>4972</v>
      </c>
      <c r="H1536" s="1" t="s">
        <v>16</v>
      </c>
      <c r="I1536" s="4" t="str">
        <f>"1"</f>
        <v>1</v>
      </c>
      <c r="J1536" s="2" t="str">
        <f>"48000"</f>
        <v>48000</v>
      </c>
      <c r="K1536" s="3">
        <v>46128</v>
      </c>
      <c r="L1536" s="3">
        <v>46128</v>
      </c>
      <c r="N1536" s="1" t="s">
        <v>8654</v>
      </c>
    </row>
    <row r="1537" spans="1:14" s="1" customFormat="1" x14ac:dyDescent="0.35">
      <c r="A1537" s="1" t="s">
        <v>5171</v>
      </c>
      <c r="B1537" s="1" t="s">
        <v>2891</v>
      </c>
      <c r="C1537" s="1" t="s">
        <v>2991</v>
      </c>
      <c r="D1537" s="1" t="s">
        <v>8653</v>
      </c>
      <c r="E1537" s="1" t="str">
        <f>"5180"</f>
        <v>5180</v>
      </c>
      <c r="F1537" s="1" t="str">
        <f>"015068287"</f>
        <v>015068287</v>
      </c>
      <c r="G1537" s="1" t="s">
        <v>1076</v>
      </c>
      <c r="H1537" s="1" t="s">
        <v>215</v>
      </c>
      <c r="I1537" s="4" t="str">
        <f>"1"</f>
        <v>1</v>
      </c>
      <c r="J1537" s="2" t="str">
        <f>"1774"</f>
        <v>1774</v>
      </c>
      <c r="K1537" s="3">
        <v>46117</v>
      </c>
      <c r="L1537" s="3">
        <v>46128</v>
      </c>
      <c r="M1537" s="1" t="s">
        <v>8652</v>
      </c>
      <c r="N1537" s="1" t="s">
        <v>8651</v>
      </c>
    </row>
    <row r="1538" spans="1:14" s="1" customFormat="1" x14ac:dyDescent="0.35">
      <c r="A1538" s="1" t="s">
        <v>5171</v>
      </c>
      <c r="B1538" s="1" t="s">
        <v>2891</v>
      </c>
      <c r="C1538" s="1" t="s">
        <v>2991</v>
      </c>
      <c r="D1538" s="1" t="s">
        <v>8650</v>
      </c>
      <c r="E1538" s="1" t="str">
        <f>"4910"</f>
        <v>4910</v>
      </c>
      <c r="F1538" s="1" t="s">
        <v>1171</v>
      </c>
      <c r="G1538" s="1" t="s">
        <v>1172</v>
      </c>
      <c r="H1538" s="1" t="s">
        <v>16</v>
      </c>
      <c r="I1538" s="4" t="str">
        <f>"1"</f>
        <v>1</v>
      </c>
      <c r="J1538" s="2" t="str">
        <f>"75"</f>
        <v>75</v>
      </c>
      <c r="K1538" s="3">
        <v>46125</v>
      </c>
      <c r="L1538" s="3">
        <v>46128</v>
      </c>
      <c r="M1538" s="1" t="s">
        <v>8649</v>
      </c>
      <c r="N1538" s="1" t="s">
        <v>8648</v>
      </c>
    </row>
    <row r="1539" spans="1:14" s="1" customFormat="1" x14ac:dyDescent="0.35">
      <c r="A1539" s="1" t="s">
        <v>5171</v>
      </c>
      <c r="B1539" s="1" t="s">
        <v>2891</v>
      </c>
      <c r="C1539" s="1" t="s">
        <v>8416</v>
      </c>
      <c r="D1539" s="1" t="s">
        <v>8647</v>
      </c>
      <c r="E1539" s="1" t="str">
        <f>"4240"</f>
        <v>4240</v>
      </c>
      <c r="F1539" s="1" t="str">
        <f>"016188334"</f>
        <v>016188334</v>
      </c>
      <c r="G1539" s="1" t="s">
        <v>8646</v>
      </c>
      <c r="H1539" s="1" t="s">
        <v>16</v>
      </c>
      <c r="I1539" s="4" t="str">
        <f>"9"</f>
        <v>9</v>
      </c>
      <c r="J1539" s="2">
        <v>1255.69</v>
      </c>
      <c r="K1539" s="3">
        <v>46127</v>
      </c>
      <c r="L1539" s="3">
        <v>46128</v>
      </c>
      <c r="M1539" s="1" t="s">
        <v>8645</v>
      </c>
      <c r="N1539" s="1" t="s">
        <v>8644</v>
      </c>
    </row>
    <row r="1540" spans="1:14" s="1" customFormat="1" x14ac:dyDescent="0.35">
      <c r="A1540" s="1" t="s">
        <v>5171</v>
      </c>
      <c r="B1540" s="1" t="s">
        <v>2891</v>
      </c>
      <c r="C1540" s="1" t="s">
        <v>2898</v>
      </c>
      <c r="D1540" s="1" t="s">
        <v>8643</v>
      </c>
      <c r="E1540" s="1" t="str">
        <f>"5855"</f>
        <v>5855</v>
      </c>
      <c r="F1540" s="1" t="str">
        <f>"015345931"</f>
        <v>015345931</v>
      </c>
      <c r="G1540" s="1" t="s">
        <v>1379</v>
      </c>
      <c r="H1540" s="1" t="s">
        <v>16</v>
      </c>
      <c r="I1540" s="4" t="str">
        <f>"83"</f>
        <v>83</v>
      </c>
      <c r="J1540" s="2" t="str">
        <f>"970"</f>
        <v>970</v>
      </c>
      <c r="K1540" s="3">
        <v>46128</v>
      </c>
      <c r="L1540" s="3">
        <v>46129</v>
      </c>
      <c r="M1540" s="1" t="s">
        <v>5167</v>
      </c>
      <c r="N1540" s="1" t="s">
        <v>8642</v>
      </c>
    </row>
    <row r="1541" spans="1:14" s="1" customFormat="1" x14ac:dyDescent="0.35">
      <c r="A1541" s="1" t="s">
        <v>5171</v>
      </c>
      <c r="B1541" s="1" t="s">
        <v>2891</v>
      </c>
      <c r="C1541" s="1" t="s">
        <v>3003</v>
      </c>
      <c r="D1541" s="1" t="s">
        <v>8641</v>
      </c>
      <c r="E1541" s="1" t="str">
        <f>"2320"</f>
        <v>2320</v>
      </c>
      <c r="F1541" s="1" t="s">
        <v>975</v>
      </c>
      <c r="G1541" s="1" t="s">
        <v>976</v>
      </c>
      <c r="H1541" s="1" t="s">
        <v>16</v>
      </c>
      <c r="I1541" s="4" t="str">
        <f>"1"</f>
        <v>1</v>
      </c>
      <c r="J1541" s="2" t="str">
        <f>"121000"</f>
        <v>121000</v>
      </c>
      <c r="K1541" s="3">
        <v>46110</v>
      </c>
      <c r="L1541" s="3">
        <v>46129</v>
      </c>
      <c r="M1541" s="1" t="s">
        <v>8640</v>
      </c>
      <c r="N1541" s="1" t="s">
        <v>8576</v>
      </c>
    </row>
    <row r="1542" spans="1:14" s="1" customFormat="1" x14ac:dyDescent="0.35">
      <c r="A1542" s="1" t="s">
        <v>5171</v>
      </c>
      <c r="B1542" s="1" t="s">
        <v>2891</v>
      </c>
      <c r="C1542" s="1" t="s">
        <v>2991</v>
      </c>
      <c r="D1542" s="1" t="s">
        <v>8639</v>
      </c>
      <c r="E1542" s="1" t="str">
        <f>"2320"</f>
        <v>2320</v>
      </c>
      <c r="F1542" s="1" t="s">
        <v>975</v>
      </c>
      <c r="G1542" s="1" t="s">
        <v>976</v>
      </c>
      <c r="H1542" s="1" t="s">
        <v>16</v>
      </c>
      <c r="I1542" s="4" t="str">
        <f>"1"</f>
        <v>1</v>
      </c>
      <c r="J1542" s="2" t="str">
        <f>"6500"</f>
        <v>6500</v>
      </c>
      <c r="K1542" s="3">
        <v>46117</v>
      </c>
      <c r="L1542" s="3">
        <v>46130</v>
      </c>
      <c r="M1542" s="1" t="s">
        <v>8638</v>
      </c>
      <c r="N1542" s="1" t="s">
        <v>8637</v>
      </c>
    </row>
    <row r="1543" spans="1:14" s="1" customFormat="1" x14ac:dyDescent="0.35">
      <c r="A1543" s="1" t="s">
        <v>5171</v>
      </c>
      <c r="B1543" s="1" t="s">
        <v>2891</v>
      </c>
      <c r="C1543" s="1" t="s">
        <v>2991</v>
      </c>
      <c r="D1543" s="1" t="s">
        <v>8636</v>
      </c>
      <c r="E1543" s="1" t="str">
        <f>"2340"</f>
        <v>2340</v>
      </c>
      <c r="F1543" s="1" t="s">
        <v>84</v>
      </c>
      <c r="G1543" s="1" t="s">
        <v>85</v>
      </c>
      <c r="H1543" s="1" t="s">
        <v>16</v>
      </c>
      <c r="I1543" s="4" t="str">
        <f>"1"</f>
        <v>1</v>
      </c>
      <c r="J1543" s="2" t="str">
        <f>"19891"</f>
        <v>19891</v>
      </c>
      <c r="K1543" s="3">
        <v>46117</v>
      </c>
      <c r="L1543" s="3">
        <v>46130</v>
      </c>
      <c r="M1543" s="1" t="s">
        <v>8635</v>
      </c>
      <c r="N1543" s="1" t="s">
        <v>8634</v>
      </c>
    </row>
    <row r="1544" spans="1:14" s="1" customFormat="1" x14ac:dyDescent="0.35">
      <c r="A1544" s="1" t="s">
        <v>5171</v>
      </c>
      <c r="B1544" s="1" t="s">
        <v>2891</v>
      </c>
      <c r="C1544" s="1" t="s">
        <v>3024</v>
      </c>
      <c r="D1544" s="1" t="s">
        <v>8633</v>
      </c>
      <c r="E1544" s="1" t="str">
        <f>"2310"</f>
        <v>2310</v>
      </c>
      <c r="F1544" s="1" t="s">
        <v>178</v>
      </c>
      <c r="G1544" s="1" t="s">
        <v>179</v>
      </c>
      <c r="H1544" s="1" t="s">
        <v>16</v>
      </c>
      <c r="I1544" s="4" t="str">
        <f>"1"</f>
        <v>1</v>
      </c>
      <c r="J1544" s="2" t="str">
        <f>"12554"</f>
        <v>12554</v>
      </c>
      <c r="K1544" s="3">
        <v>46130</v>
      </c>
      <c r="L1544" s="3">
        <v>46134</v>
      </c>
      <c r="M1544" s="1" t="s">
        <v>8632</v>
      </c>
      <c r="N1544" s="1" t="s">
        <v>8595</v>
      </c>
    </row>
    <row r="1545" spans="1:14" s="1" customFormat="1" x14ac:dyDescent="0.35">
      <c r="A1545" s="1" t="s">
        <v>5230</v>
      </c>
      <c r="B1545" s="1" t="s">
        <v>2891</v>
      </c>
      <c r="C1545" s="1" t="s">
        <v>2921</v>
      </c>
      <c r="D1545" s="1" t="s">
        <v>8631</v>
      </c>
      <c r="E1545" s="1" t="str">
        <f>"6665"</f>
        <v>6665</v>
      </c>
      <c r="F1545" s="1" t="s">
        <v>2949</v>
      </c>
      <c r="G1545" s="1" t="s">
        <v>2950</v>
      </c>
      <c r="H1545" s="1" t="s">
        <v>16</v>
      </c>
      <c r="I1545" s="4" t="str">
        <f>"2"</f>
        <v>2</v>
      </c>
      <c r="J1545" s="2">
        <v>1244.97</v>
      </c>
      <c r="K1545" s="3">
        <v>46135</v>
      </c>
      <c r="L1545" s="3">
        <v>46135</v>
      </c>
      <c r="N1545" s="1" t="s">
        <v>2951</v>
      </c>
    </row>
    <row r="1546" spans="1:14" s="1" customFormat="1" x14ac:dyDescent="0.35">
      <c r="A1546" s="1" t="s">
        <v>5171</v>
      </c>
      <c r="B1546" s="1" t="s">
        <v>2891</v>
      </c>
      <c r="C1546" s="1" t="s">
        <v>8416</v>
      </c>
      <c r="D1546" s="1" t="s">
        <v>8630</v>
      </c>
      <c r="E1546" s="1" t="str">
        <f>"6720"</f>
        <v>6720</v>
      </c>
      <c r="F1546" s="1" t="str">
        <f>"016802811"</f>
        <v>016802811</v>
      </c>
      <c r="G1546" s="1" t="s">
        <v>2611</v>
      </c>
      <c r="H1546" s="1" t="s">
        <v>16</v>
      </c>
      <c r="I1546" s="4" t="str">
        <f>"2"</f>
        <v>2</v>
      </c>
      <c r="J1546" s="2" t="str">
        <f>"573"</f>
        <v>573</v>
      </c>
      <c r="K1546" s="3">
        <v>46133</v>
      </c>
      <c r="L1546" s="3">
        <v>46135</v>
      </c>
      <c r="M1546" s="1" t="s">
        <v>8629</v>
      </c>
      <c r="N1546" s="1" t="s">
        <v>8628</v>
      </c>
    </row>
    <row r="1547" spans="1:14" s="1" customFormat="1" x14ac:dyDescent="0.35">
      <c r="A1547" s="1" t="s">
        <v>5230</v>
      </c>
      <c r="B1547" s="1" t="s">
        <v>2891</v>
      </c>
      <c r="C1547" s="1" t="s">
        <v>2921</v>
      </c>
      <c r="D1547" s="1" t="s">
        <v>8627</v>
      </c>
      <c r="E1547" s="1" t="str">
        <f>"5805"</f>
        <v>5805</v>
      </c>
      <c r="F1547" s="1" t="s">
        <v>6090</v>
      </c>
      <c r="G1547" s="1" t="s">
        <v>6089</v>
      </c>
      <c r="H1547" s="1" t="s">
        <v>16</v>
      </c>
      <c r="I1547" s="4" t="str">
        <f>"40"</f>
        <v>40</v>
      </c>
      <c r="J1547" s="2">
        <v>601.96</v>
      </c>
      <c r="K1547" s="3">
        <v>46135</v>
      </c>
      <c r="L1547" s="3">
        <v>46136</v>
      </c>
      <c r="N1547" s="1" t="s">
        <v>8626</v>
      </c>
    </row>
    <row r="1548" spans="1:14" s="1" customFormat="1" x14ac:dyDescent="0.35">
      <c r="A1548" s="1" t="s">
        <v>5230</v>
      </c>
      <c r="B1548" s="1" t="s">
        <v>2891</v>
      </c>
      <c r="C1548" s="1" t="s">
        <v>2921</v>
      </c>
      <c r="D1548" s="1" t="s">
        <v>8625</v>
      </c>
      <c r="E1548" s="1" t="str">
        <f>"6230"</f>
        <v>6230</v>
      </c>
      <c r="F1548" s="1" t="str">
        <f>"015659188"</f>
        <v>015659188</v>
      </c>
      <c r="G1548" s="1" t="s">
        <v>66</v>
      </c>
      <c r="H1548" s="1" t="s">
        <v>16</v>
      </c>
      <c r="I1548" s="4" t="str">
        <f>"6"</f>
        <v>6</v>
      </c>
      <c r="J1548" s="2">
        <v>1049.01</v>
      </c>
      <c r="K1548" s="3">
        <v>46136</v>
      </c>
      <c r="L1548" s="3">
        <v>46136</v>
      </c>
      <c r="N1548" s="1" t="s">
        <v>8615</v>
      </c>
    </row>
    <row r="1549" spans="1:14" s="1" customFormat="1" x14ac:dyDescent="0.35">
      <c r="A1549" s="1" t="s">
        <v>5230</v>
      </c>
      <c r="B1549" s="1" t="s">
        <v>2891</v>
      </c>
      <c r="C1549" s="1" t="s">
        <v>2921</v>
      </c>
      <c r="D1549" s="1" t="s">
        <v>8624</v>
      </c>
      <c r="E1549" s="1" t="str">
        <f>"6230"</f>
        <v>6230</v>
      </c>
      <c r="F1549" s="1" t="str">
        <f>"012422016"</f>
        <v>012422016</v>
      </c>
      <c r="G1549" s="1" t="s">
        <v>5291</v>
      </c>
      <c r="H1549" s="1" t="s">
        <v>458</v>
      </c>
      <c r="I1549" s="4" t="str">
        <f>"2"</f>
        <v>2</v>
      </c>
      <c r="J1549" s="2">
        <v>1075.68</v>
      </c>
      <c r="K1549" s="3">
        <v>46136</v>
      </c>
      <c r="L1549" s="3">
        <v>46136</v>
      </c>
      <c r="N1549" s="1" t="s">
        <v>8615</v>
      </c>
    </row>
    <row r="1550" spans="1:14" s="1" customFormat="1" x14ac:dyDescent="0.35">
      <c r="A1550" s="1" t="s">
        <v>5230</v>
      </c>
      <c r="B1550" s="1" t="s">
        <v>2891</v>
      </c>
      <c r="C1550" s="1" t="s">
        <v>2921</v>
      </c>
      <c r="D1550" s="1" t="s">
        <v>8623</v>
      </c>
      <c r="E1550" s="1" t="str">
        <f>"6230"</f>
        <v>6230</v>
      </c>
      <c r="F1550" s="1" t="str">
        <f>"015659188"</f>
        <v>015659188</v>
      </c>
      <c r="G1550" s="1" t="s">
        <v>66</v>
      </c>
      <c r="H1550" s="1" t="s">
        <v>16</v>
      </c>
      <c r="I1550" s="4" t="str">
        <f>"8"</f>
        <v>8</v>
      </c>
      <c r="J1550" s="2">
        <v>1049.01</v>
      </c>
      <c r="K1550" s="3">
        <v>46136</v>
      </c>
      <c r="L1550" s="3">
        <v>46136</v>
      </c>
      <c r="N1550" s="1" t="s">
        <v>8615</v>
      </c>
    </row>
    <row r="1551" spans="1:14" s="1" customFormat="1" x14ac:dyDescent="0.35">
      <c r="A1551" s="1" t="s">
        <v>5171</v>
      </c>
      <c r="B1551" s="1" t="s">
        <v>2891</v>
      </c>
      <c r="C1551" s="1" t="s">
        <v>2911</v>
      </c>
      <c r="D1551" s="1" t="s">
        <v>8622</v>
      </c>
      <c r="E1551" s="1" t="str">
        <f>"7025"</f>
        <v>7025</v>
      </c>
      <c r="F1551" s="1" t="str">
        <f>"016551973"</f>
        <v>016551973</v>
      </c>
      <c r="G1551" s="1" t="s">
        <v>5177</v>
      </c>
      <c r="H1551" s="1" t="s">
        <v>16</v>
      </c>
      <c r="I1551" s="4" t="str">
        <f>"3"</f>
        <v>3</v>
      </c>
      <c r="J1551" s="2">
        <v>399.84</v>
      </c>
      <c r="K1551" s="3">
        <v>46135</v>
      </c>
      <c r="L1551" s="3">
        <v>46136</v>
      </c>
      <c r="M1551" s="1" t="s">
        <v>8621</v>
      </c>
      <c r="N1551" s="1" t="s">
        <v>8620</v>
      </c>
    </row>
    <row r="1552" spans="1:14" s="1" customFormat="1" x14ac:dyDescent="0.35">
      <c r="A1552" s="1" t="s">
        <v>5171</v>
      </c>
      <c r="B1552" s="1" t="s">
        <v>2891</v>
      </c>
      <c r="C1552" s="1" t="s">
        <v>8619</v>
      </c>
      <c r="D1552" s="1" t="s">
        <v>8618</v>
      </c>
      <c r="E1552" s="1" t="str">
        <f>"7025"</f>
        <v>7025</v>
      </c>
      <c r="F1552" s="1" t="str">
        <f>"016551973"</f>
        <v>016551973</v>
      </c>
      <c r="G1552" s="1" t="s">
        <v>5177</v>
      </c>
      <c r="H1552" s="1" t="s">
        <v>16</v>
      </c>
      <c r="I1552" s="4" t="str">
        <f>"1"</f>
        <v>1</v>
      </c>
      <c r="J1552" s="2">
        <v>399.84</v>
      </c>
      <c r="K1552" s="3">
        <v>46135</v>
      </c>
      <c r="L1552" s="3">
        <v>46136</v>
      </c>
      <c r="M1552" s="1" t="s">
        <v>5167</v>
      </c>
      <c r="N1552" s="1" t="s">
        <v>8617</v>
      </c>
    </row>
    <row r="1553" spans="1:14" s="1" customFormat="1" x14ac:dyDescent="0.35">
      <c r="A1553" s="1" t="s">
        <v>5171</v>
      </c>
      <c r="B1553" s="1" t="s">
        <v>2891</v>
      </c>
      <c r="C1553" s="1" t="s">
        <v>2921</v>
      </c>
      <c r="D1553" s="1" t="s">
        <v>8616</v>
      </c>
      <c r="E1553" s="1" t="str">
        <f>"6230"</f>
        <v>6230</v>
      </c>
      <c r="F1553" s="1" t="str">
        <f>"015659188"</f>
        <v>015659188</v>
      </c>
      <c r="G1553" s="1" t="s">
        <v>66</v>
      </c>
      <c r="H1553" s="1" t="s">
        <v>16</v>
      </c>
      <c r="I1553" s="4" t="str">
        <f>"11"</f>
        <v>11</v>
      </c>
      <c r="J1553" s="2">
        <v>1049.01</v>
      </c>
      <c r="K1553" s="3">
        <v>46136</v>
      </c>
      <c r="L1553" s="3">
        <v>46137</v>
      </c>
      <c r="M1553" s="1" t="s">
        <v>5167</v>
      </c>
      <c r="N1553" s="1" t="s">
        <v>8615</v>
      </c>
    </row>
    <row r="1554" spans="1:14" s="1" customFormat="1" x14ac:dyDescent="0.35">
      <c r="A1554" s="1" t="s">
        <v>5216</v>
      </c>
      <c r="B1554" s="1" t="s">
        <v>2891</v>
      </c>
      <c r="C1554" s="1" t="s">
        <v>2898</v>
      </c>
      <c r="D1554" s="1" t="s">
        <v>8614</v>
      </c>
      <c r="E1554" s="1" t="str">
        <f>"8465"</f>
        <v>8465</v>
      </c>
      <c r="F1554" s="1" t="str">
        <f>"015801300"</f>
        <v>015801300</v>
      </c>
      <c r="G1554" s="1" t="s">
        <v>2866</v>
      </c>
      <c r="H1554" s="1" t="s">
        <v>16</v>
      </c>
      <c r="I1554" s="4" t="str">
        <f>"1"</f>
        <v>1</v>
      </c>
      <c r="J1554" s="2">
        <v>13.29</v>
      </c>
      <c r="K1554" s="3">
        <v>46127</v>
      </c>
      <c r="L1554" s="3">
        <v>46139</v>
      </c>
      <c r="M1554" s="1" t="s">
        <v>7703</v>
      </c>
      <c r="N1554" s="1" t="s">
        <v>8613</v>
      </c>
    </row>
    <row r="1555" spans="1:14" s="1" customFormat="1" x14ac:dyDescent="0.35">
      <c r="A1555" s="1" t="s">
        <v>5216</v>
      </c>
      <c r="B1555" s="1" t="s">
        <v>2891</v>
      </c>
      <c r="C1555" s="1" t="s">
        <v>2898</v>
      </c>
      <c r="D1555" s="1" t="s">
        <v>8612</v>
      </c>
      <c r="E1555" s="1" t="str">
        <f>"8415"</f>
        <v>8415</v>
      </c>
      <c r="F1555" s="1" t="str">
        <f>"015802782"</f>
        <v>015802782</v>
      </c>
      <c r="G1555" s="1" t="s">
        <v>1892</v>
      </c>
      <c r="H1555" s="1" t="s">
        <v>16</v>
      </c>
      <c r="I1555" s="4" t="str">
        <f>"14"</f>
        <v>14</v>
      </c>
      <c r="J1555" s="2">
        <v>146.81</v>
      </c>
      <c r="K1555" s="3">
        <v>46127</v>
      </c>
      <c r="L1555" s="3">
        <v>46139</v>
      </c>
      <c r="M1555" s="1" t="s">
        <v>5224</v>
      </c>
      <c r="N1555" s="1" t="s">
        <v>8610</v>
      </c>
    </row>
    <row r="1556" spans="1:14" s="1" customFormat="1" x14ac:dyDescent="0.35">
      <c r="A1556" s="1" t="s">
        <v>5216</v>
      </c>
      <c r="B1556" s="1" t="s">
        <v>2891</v>
      </c>
      <c r="C1556" s="1" t="s">
        <v>2898</v>
      </c>
      <c r="D1556" s="1" t="s">
        <v>8611</v>
      </c>
      <c r="E1556" s="1" t="str">
        <f>"8415"</f>
        <v>8415</v>
      </c>
      <c r="F1556" s="1" t="str">
        <f>"015802854"</f>
        <v>015802854</v>
      </c>
      <c r="G1556" s="1" t="s">
        <v>1892</v>
      </c>
      <c r="H1556" s="1" t="s">
        <v>16</v>
      </c>
      <c r="I1556" s="4" t="str">
        <f>"11"</f>
        <v>11</v>
      </c>
      <c r="J1556" s="2">
        <v>146.83000000000001</v>
      </c>
      <c r="K1556" s="3">
        <v>46127</v>
      </c>
      <c r="L1556" s="3">
        <v>46139</v>
      </c>
      <c r="M1556" s="1" t="s">
        <v>5224</v>
      </c>
      <c r="N1556" s="1" t="s">
        <v>8610</v>
      </c>
    </row>
    <row r="1557" spans="1:14" s="1" customFormat="1" x14ac:dyDescent="0.35">
      <c r="A1557" s="1" t="s">
        <v>5216</v>
      </c>
      <c r="B1557" s="1" t="s">
        <v>2891</v>
      </c>
      <c r="C1557" s="1" t="s">
        <v>2898</v>
      </c>
      <c r="D1557" s="1" t="s">
        <v>8609</v>
      </c>
      <c r="E1557" s="1" t="str">
        <f>"8465"</f>
        <v>8465</v>
      </c>
      <c r="F1557" s="1" t="str">
        <f>"016419395"</f>
        <v>016419395</v>
      </c>
      <c r="G1557" s="1" t="s">
        <v>2866</v>
      </c>
      <c r="H1557" s="1" t="s">
        <v>16</v>
      </c>
      <c r="I1557" s="4" t="str">
        <f>"12"</f>
        <v>12</v>
      </c>
      <c r="J1557" s="2">
        <v>21.07</v>
      </c>
      <c r="K1557" s="3">
        <v>46127</v>
      </c>
      <c r="L1557" s="3">
        <v>46139</v>
      </c>
      <c r="M1557" s="1" t="s">
        <v>5224</v>
      </c>
      <c r="N1557" s="1" t="s">
        <v>8608</v>
      </c>
    </row>
    <row r="1558" spans="1:14" s="1" customFormat="1" x14ac:dyDescent="0.35">
      <c r="A1558" s="1" t="s">
        <v>0</v>
      </c>
      <c r="B1558" s="1" t="s">
        <v>2891</v>
      </c>
      <c r="C1558" s="1" t="s">
        <v>8416</v>
      </c>
      <c r="D1558" s="1" t="s">
        <v>8607</v>
      </c>
      <c r="E1558" s="1" t="str">
        <f>"2340"</f>
        <v>2340</v>
      </c>
      <c r="F1558" s="1" t="s">
        <v>84</v>
      </c>
      <c r="G1558" s="1" t="s">
        <v>85</v>
      </c>
      <c r="H1558" s="1" t="s">
        <v>16</v>
      </c>
      <c r="I1558" s="4" t="str">
        <f>"1"</f>
        <v>1</v>
      </c>
      <c r="J1558" s="2">
        <v>31905.14</v>
      </c>
      <c r="K1558" s="3">
        <v>46138</v>
      </c>
      <c r="L1558" s="3">
        <v>46139</v>
      </c>
      <c r="M1558" s="1" t="s">
        <v>8602</v>
      </c>
      <c r="N1558" s="1" t="s">
        <v>8565</v>
      </c>
    </row>
    <row r="1559" spans="1:14" s="1" customFormat="1" x14ac:dyDescent="0.35">
      <c r="A1559" s="1" t="s">
        <v>0</v>
      </c>
      <c r="B1559" s="1" t="s">
        <v>2891</v>
      </c>
      <c r="C1559" s="1" t="s">
        <v>8416</v>
      </c>
      <c r="D1559" s="1" t="s">
        <v>8606</v>
      </c>
      <c r="E1559" s="1" t="str">
        <f>"2340"</f>
        <v>2340</v>
      </c>
      <c r="F1559" s="1" t="s">
        <v>84</v>
      </c>
      <c r="G1559" s="1" t="s">
        <v>85</v>
      </c>
      <c r="H1559" s="1" t="s">
        <v>16</v>
      </c>
      <c r="I1559" s="4" t="str">
        <f>"1"</f>
        <v>1</v>
      </c>
      <c r="J1559" s="2">
        <v>31905.14</v>
      </c>
      <c r="K1559" s="3">
        <v>46138</v>
      </c>
      <c r="L1559" s="3">
        <v>46139</v>
      </c>
      <c r="M1559" s="1" t="s">
        <v>8602</v>
      </c>
      <c r="N1559" s="1" t="s">
        <v>8565</v>
      </c>
    </row>
    <row r="1560" spans="1:14" s="1" customFormat="1" x14ac:dyDescent="0.35">
      <c r="A1560" s="1" t="s">
        <v>0</v>
      </c>
      <c r="B1560" s="1" t="s">
        <v>2891</v>
      </c>
      <c r="C1560" s="1" t="s">
        <v>3024</v>
      </c>
      <c r="D1560" s="1" t="s">
        <v>8605</v>
      </c>
      <c r="E1560" s="1" t="str">
        <f>"2340"</f>
        <v>2340</v>
      </c>
      <c r="F1560" s="1" t="s">
        <v>84</v>
      </c>
      <c r="G1560" s="1" t="s">
        <v>85</v>
      </c>
      <c r="H1560" s="1" t="s">
        <v>16</v>
      </c>
      <c r="I1560" s="4" t="str">
        <f>"1"</f>
        <v>1</v>
      </c>
      <c r="J1560" s="2">
        <v>31905.14</v>
      </c>
      <c r="K1560" s="3">
        <v>46137</v>
      </c>
      <c r="L1560" s="3">
        <v>46139</v>
      </c>
      <c r="M1560" s="1" t="s">
        <v>8602</v>
      </c>
      <c r="N1560" s="1" t="s">
        <v>8560</v>
      </c>
    </row>
    <row r="1561" spans="1:14" s="1" customFormat="1" x14ac:dyDescent="0.35">
      <c r="A1561" s="1" t="s">
        <v>0</v>
      </c>
      <c r="B1561" s="1" t="s">
        <v>2891</v>
      </c>
      <c r="C1561" s="1" t="s">
        <v>3024</v>
      </c>
      <c r="D1561" s="1" t="s">
        <v>8604</v>
      </c>
      <c r="E1561" s="1" t="str">
        <f>"2340"</f>
        <v>2340</v>
      </c>
      <c r="F1561" s="1" t="s">
        <v>84</v>
      </c>
      <c r="G1561" s="1" t="s">
        <v>85</v>
      </c>
      <c r="H1561" s="1" t="s">
        <v>16</v>
      </c>
      <c r="I1561" s="4" t="str">
        <f>"1"</f>
        <v>1</v>
      </c>
      <c r="J1561" s="2">
        <v>31905.14</v>
      </c>
      <c r="K1561" s="3">
        <v>46137</v>
      </c>
      <c r="L1561" s="3">
        <v>46139</v>
      </c>
      <c r="M1561" s="1" t="s">
        <v>8602</v>
      </c>
      <c r="N1561" s="1" t="s">
        <v>8560</v>
      </c>
    </row>
    <row r="1562" spans="1:14" s="1" customFormat="1" x14ac:dyDescent="0.35">
      <c r="A1562" s="1" t="s">
        <v>0</v>
      </c>
      <c r="B1562" s="1" t="s">
        <v>2891</v>
      </c>
      <c r="C1562" s="1" t="s">
        <v>3029</v>
      </c>
      <c r="D1562" s="1" t="s">
        <v>8603</v>
      </c>
      <c r="E1562" s="1" t="str">
        <f>"2340"</f>
        <v>2340</v>
      </c>
      <c r="F1562" s="1" t="s">
        <v>84</v>
      </c>
      <c r="G1562" s="1" t="s">
        <v>85</v>
      </c>
      <c r="H1562" s="1" t="s">
        <v>16</v>
      </c>
      <c r="I1562" s="4" t="str">
        <f>"1"</f>
        <v>1</v>
      </c>
      <c r="J1562" s="2">
        <v>31905.14</v>
      </c>
      <c r="K1562" s="3">
        <v>46137</v>
      </c>
      <c r="L1562" s="3">
        <v>46139</v>
      </c>
      <c r="M1562" s="1" t="s">
        <v>8602</v>
      </c>
      <c r="N1562" s="1" t="s">
        <v>8601</v>
      </c>
    </row>
    <row r="1563" spans="1:14" s="1" customFormat="1" x14ac:dyDescent="0.35">
      <c r="A1563" s="1" t="s">
        <v>5171</v>
      </c>
      <c r="B1563" s="1" t="s">
        <v>2891</v>
      </c>
      <c r="C1563" s="1" t="s">
        <v>8483</v>
      </c>
      <c r="D1563" s="1" t="s">
        <v>8600</v>
      </c>
      <c r="E1563" s="1" t="str">
        <f>"2320"</f>
        <v>2320</v>
      </c>
      <c r="F1563" s="1" t="s">
        <v>975</v>
      </c>
      <c r="G1563" s="1" t="s">
        <v>976</v>
      </c>
      <c r="H1563" s="1" t="s">
        <v>16</v>
      </c>
      <c r="I1563" s="4" t="str">
        <f>"1"</f>
        <v>1</v>
      </c>
      <c r="J1563" s="2" t="str">
        <f>"121000"</f>
        <v>121000</v>
      </c>
      <c r="K1563" s="3">
        <v>46106</v>
      </c>
      <c r="L1563" s="3">
        <v>46139</v>
      </c>
      <c r="M1563" s="1" t="s">
        <v>8599</v>
      </c>
      <c r="N1563" s="1" t="s">
        <v>8598</v>
      </c>
    </row>
    <row r="1564" spans="1:14" s="1" customFormat="1" x14ac:dyDescent="0.35">
      <c r="A1564" s="1" t="s">
        <v>5171</v>
      </c>
      <c r="B1564" s="1" t="s">
        <v>2891</v>
      </c>
      <c r="C1564" s="1" t="s">
        <v>3024</v>
      </c>
      <c r="D1564" s="1" t="s">
        <v>8597</v>
      </c>
      <c r="E1564" s="1" t="str">
        <f>"2320"</f>
        <v>2320</v>
      </c>
      <c r="F1564" s="1" t="str">
        <f>"015959568"</f>
        <v>015959568</v>
      </c>
      <c r="G1564" s="1" t="s">
        <v>5404</v>
      </c>
      <c r="H1564" s="1" t="s">
        <v>16</v>
      </c>
      <c r="I1564" s="4" t="str">
        <f>"1"</f>
        <v>1</v>
      </c>
      <c r="J1564" s="2" t="str">
        <f>"31613"</f>
        <v>31613</v>
      </c>
      <c r="K1564" s="3">
        <v>46130</v>
      </c>
      <c r="L1564" s="3">
        <v>46140</v>
      </c>
      <c r="M1564" s="1" t="s">
        <v>8596</v>
      </c>
      <c r="N1564" s="1" t="s">
        <v>8595</v>
      </c>
    </row>
    <row r="1565" spans="1:14" s="1" customFormat="1" x14ac:dyDescent="0.35">
      <c r="A1565" s="1" t="s">
        <v>5171</v>
      </c>
      <c r="B1565" s="1" t="s">
        <v>2891</v>
      </c>
      <c r="C1565" s="1" t="s">
        <v>8594</v>
      </c>
      <c r="D1565" s="1" t="s">
        <v>8593</v>
      </c>
      <c r="E1565" s="1" t="str">
        <f>"2330"</f>
        <v>2330</v>
      </c>
      <c r="F1565" s="1" t="s">
        <v>70</v>
      </c>
      <c r="G1565" s="1" t="s">
        <v>71</v>
      </c>
      <c r="H1565" s="1" t="s">
        <v>16</v>
      </c>
      <c r="I1565" s="4" t="str">
        <f>"1"</f>
        <v>1</v>
      </c>
      <c r="J1565" s="2" t="str">
        <f>"4906"</f>
        <v>4906</v>
      </c>
      <c r="K1565" s="3">
        <v>46132</v>
      </c>
      <c r="L1565" s="3">
        <v>46140</v>
      </c>
      <c r="M1565" s="1" t="s">
        <v>8592</v>
      </c>
      <c r="N1565" s="1" t="s">
        <v>8591</v>
      </c>
    </row>
    <row r="1566" spans="1:14" s="1" customFormat="1" x14ac:dyDescent="0.35">
      <c r="A1566" s="1" t="s">
        <v>5171</v>
      </c>
      <c r="B1566" s="1" t="s">
        <v>2891</v>
      </c>
      <c r="C1566" s="1" t="s">
        <v>8487</v>
      </c>
      <c r="D1566" s="1" t="s">
        <v>8590</v>
      </c>
      <c r="E1566" s="1" t="str">
        <f>"8150"</f>
        <v>8150</v>
      </c>
      <c r="F1566" s="1" t="str">
        <f>"014886545"</f>
        <v>014886545</v>
      </c>
      <c r="G1566" s="1" t="s">
        <v>117</v>
      </c>
      <c r="H1566" s="1" t="s">
        <v>16</v>
      </c>
      <c r="I1566" s="4" t="str">
        <f>"1"</f>
        <v>1</v>
      </c>
      <c r="J1566" s="2">
        <v>11267.94</v>
      </c>
      <c r="K1566" s="3">
        <v>46137</v>
      </c>
      <c r="L1566" s="3">
        <v>46141</v>
      </c>
      <c r="M1566" s="1" t="s">
        <v>8589</v>
      </c>
      <c r="N1566" s="1" t="s">
        <v>8588</v>
      </c>
    </row>
    <row r="1567" spans="1:14" s="1" customFormat="1" x14ac:dyDescent="0.35">
      <c r="A1567" s="1" t="s">
        <v>5171</v>
      </c>
      <c r="B1567" s="1" t="s">
        <v>2891</v>
      </c>
      <c r="C1567" s="1" t="s">
        <v>8487</v>
      </c>
      <c r="D1567" s="1" t="s">
        <v>8587</v>
      </c>
      <c r="E1567" s="1" t="str">
        <f>"8150"</f>
        <v>8150</v>
      </c>
      <c r="F1567" s="1" t="str">
        <f>"014886545"</f>
        <v>014886545</v>
      </c>
      <c r="G1567" s="1" t="s">
        <v>117</v>
      </c>
      <c r="H1567" s="1" t="s">
        <v>16</v>
      </c>
      <c r="I1567" s="4" t="str">
        <f>"1"</f>
        <v>1</v>
      </c>
      <c r="J1567" s="2">
        <v>11267.94</v>
      </c>
      <c r="K1567" s="3">
        <v>46137</v>
      </c>
      <c r="L1567" s="3">
        <v>46141</v>
      </c>
      <c r="M1567" s="1" t="s">
        <v>8586</v>
      </c>
      <c r="N1567" s="1" t="s">
        <v>8585</v>
      </c>
    </row>
    <row r="1568" spans="1:14" s="1" customFormat="1" x14ac:dyDescent="0.35">
      <c r="A1568" s="1" t="s">
        <v>5171</v>
      </c>
      <c r="B1568" s="1" t="s">
        <v>2891</v>
      </c>
      <c r="C1568" s="1" t="s">
        <v>8487</v>
      </c>
      <c r="D1568" s="1" t="s">
        <v>8584</v>
      </c>
      <c r="E1568" s="1" t="str">
        <f>"8150"</f>
        <v>8150</v>
      </c>
      <c r="F1568" s="1" t="str">
        <f>"014886545"</f>
        <v>014886545</v>
      </c>
      <c r="G1568" s="1" t="s">
        <v>117</v>
      </c>
      <c r="H1568" s="1" t="s">
        <v>16</v>
      </c>
      <c r="I1568" s="4" t="str">
        <f>"1"</f>
        <v>1</v>
      </c>
      <c r="J1568" s="2">
        <v>11267.94</v>
      </c>
      <c r="K1568" s="3">
        <v>46137</v>
      </c>
      <c r="L1568" s="3">
        <v>46141</v>
      </c>
      <c r="M1568" s="1" t="s">
        <v>8583</v>
      </c>
      <c r="N1568" s="1" t="s">
        <v>8582</v>
      </c>
    </row>
    <row r="1569" spans="1:14" s="1" customFormat="1" x14ac:dyDescent="0.35">
      <c r="A1569" s="1" t="s">
        <v>5171</v>
      </c>
      <c r="B1569" s="1" t="s">
        <v>2891</v>
      </c>
      <c r="C1569" s="1" t="s">
        <v>8487</v>
      </c>
      <c r="D1569" s="1" t="s">
        <v>8581</v>
      </c>
      <c r="E1569" s="1" t="str">
        <f>"8150"</f>
        <v>8150</v>
      </c>
      <c r="F1569" s="1" t="str">
        <f>"014886545"</f>
        <v>014886545</v>
      </c>
      <c r="G1569" s="1" t="s">
        <v>117</v>
      </c>
      <c r="H1569" s="1" t="s">
        <v>16</v>
      </c>
      <c r="I1569" s="4" t="str">
        <f>"1"</f>
        <v>1</v>
      </c>
      <c r="J1569" s="2">
        <v>11267.94</v>
      </c>
      <c r="K1569" s="3">
        <v>46137</v>
      </c>
      <c r="L1569" s="3">
        <v>46142</v>
      </c>
      <c r="M1569" s="1" t="s">
        <v>8580</v>
      </c>
      <c r="N1569" s="1" t="s">
        <v>8579</v>
      </c>
    </row>
    <row r="1570" spans="1:14" s="1" customFormat="1" x14ac:dyDescent="0.35">
      <c r="A1570" s="1" t="s">
        <v>5171</v>
      </c>
      <c r="B1570" s="1" t="s">
        <v>2891</v>
      </c>
      <c r="C1570" s="1" t="s">
        <v>3003</v>
      </c>
      <c r="D1570" s="1" t="s">
        <v>8578</v>
      </c>
      <c r="E1570" s="1" t="str">
        <f>"2320"</f>
        <v>2320</v>
      </c>
      <c r="F1570" s="1" t="str">
        <f>"000064066"</f>
        <v>000064066</v>
      </c>
      <c r="G1570" s="1" t="s">
        <v>2297</v>
      </c>
      <c r="H1570" s="1" t="s">
        <v>16</v>
      </c>
      <c r="I1570" s="4" t="str">
        <f>"1"</f>
        <v>1</v>
      </c>
      <c r="J1570" s="2" t="str">
        <f>"110751"</f>
        <v>110751</v>
      </c>
      <c r="K1570" s="3">
        <v>46088</v>
      </c>
      <c r="L1570" s="3">
        <v>46142</v>
      </c>
      <c r="M1570" s="1" t="s">
        <v>8577</v>
      </c>
      <c r="N1570" s="1" t="s">
        <v>8576</v>
      </c>
    </row>
    <row r="1571" spans="1:14" s="1" customFormat="1" x14ac:dyDescent="0.35">
      <c r="A1571" s="1" t="s">
        <v>5230</v>
      </c>
      <c r="B1571" s="1" t="s">
        <v>2891</v>
      </c>
      <c r="C1571" s="1" t="s">
        <v>2921</v>
      </c>
      <c r="D1571" s="1" t="s">
        <v>8575</v>
      </c>
      <c r="E1571" s="1" t="str">
        <f>"7025"</f>
        <v>7025</v>
      </c>
      <c r="F1571" s="1" t="s">
        <v>8574</v>
      </c>
      <c r="G1571" s="1" t="s">
        <v>8573</v>
      </c>
      <c r="H1571" s="1" t="s">
        <v>16</v>
      </c>
      <c r="I1571" s="4" t="str">
        <f>"1"</f>
        <v>1</v>
      </c>
      <c r="J1571" s="2" t="str">
        <f>"1500"</f>
        <v>1500</v>
      </c>
      <c r="K1571" s="3">
        <v>46143</v>
      </c>
      <c r="L1571" s="3">
        <v>46143</v>
      </c>
      <c r="N1571" s="1" t="s">
        <v>8572</v>
      </c>
    </row>
    <row r="1572" spans="1:14" s="1" customFormat="1" x14ac:dyDescent="0.35">
      <c r="A1572" s="1" t="s">
        <v>5171</v>
      </c>
      <c r="B1572" s="1" t="s">
        <v>2891</v>
      </c>
      <c r="C1572" s="1" t="s">
        <v>2921</v>
      </c>
      <c r="D1572" s="1" t="s">
        <v>8571</v>
      </c>
      <c r="E1572" s="1" t="str">
        <f>"5180"</f>
        <v>5180</v>
      </c>
      <c r="F1572" s="1" t="s">
        <v>88</v>
      </c>
      <c r="G1572" s="1" t="s">
        <v>89</v>
      </c>
      <c r="H1572" s="1" t="s">
        <v>16</v>
      </c>
      <c r="I1572" s="4" t="str">
        <f>"2"</f>
        <v>2</v>
      </c>
      <c r="J1572" s="2" t="str">
        <f>"500"</f>
        <v>500</v>
      </c>
      <c r="K1572" s="3">
        <v>46142</v>
      </c>
      <c r="L1572" s="3">
        <v>46143</v>
      </c>
      <c r="M1572" s="1" t="s">
        <v>5167</v>
      </c>
      <c r="N1572" s="1" t="s">
        <v>8570</v>
      </c>
    </row>
    <row r="1573" spans="1:14" s="1" customFormat="1" x14ac:dyDescent="0.35">
      <c r="A1573" s="1" t="s">
        <v>5171</v>
      </c>
      <c r="B1573" s="1" t="s">
        <v>2891</v>
      </c>
      <c r="C1573" s="1" t="s">
        <v>8416</v>
      </c>
      <c r="D1573" s="1" t="s">
        <v>8569</v>
      </c>
      <c r="E1573" s="1" t="str">
        <f>"2340"</f>
        <v>2340</v>
      </c>
      <c r="F1573" s="1" t="s">
        <v>84</v>
      </c>
      <c r="G1573" s="1" t="s">
        <v>85</v>
      </c>
      <c r="H1573" s="1" t="s">
        <v>16</v>
      </c>
      <c r="I1573" s="4" t="str">
        <f>"1"</f>
        <v>1</v>
      </c>
      <c r="J1573" s="2">
        <v>31905.14</v>
      </c>
      <c r="K1573" s="3">
        <v>46138</v>
      </c>
      <c r="L1573" s="3">
        <v>46143</v>
      </c>
      <c r="M1573" s="1" t="s">
        <v>8568</v>
      </c>
      <c r="N1573" s="1" t="s">
        <v>8565</v>
      </c>
    </row>
    <row r="1574" spans="1:14" s="1" customFormat="1" x14ac:dyDescent="0.35">
      <c r="A1574" s="1" t="s">
        <v>5171</v>
      </c>
      <c r="B1574" s="1" t="s">
        <v>2891</v>
      </c>
      <c r="C1574" s="1" t="s">
        <v>8416</v>
      </c>
      <c r="D1574" s="1" t="s">
        <v>8567</v>
      </c>
      <c r="E1574" s="1" t="str">
        <f>"2340"</f>
        <v>2340</v>
      </c>
      <c r="F1574" s="1" t="s">
        <v>84</v>
      </c>
      <c r="G1574" s="1" t="s">
        <v>85</v>
      </c>
      <c r="H1574" s="1" t="s">
        <v>16</v>
      </c>
      <c r="I1574" s="4" t="str">
        <f>"1"</f>
        <v>1</v>
      </c>
      <c r="J1574" s="2">
        <v>31905.14</v>
      </c>
      <c r="K1574" s="3">
        <v>46138</v>
      </c>
      <c r="L1574" s="3">
        <v>46143</v>
      </c>
      <c r="M1574" s="1" t="s">
        <v>8566</v>
      </c>
      <c r="N1574" s="1" t="s">
        <v>8565</v>
      </c>
    </row>
    <row r="1575" spans="1:14" s="1" customFormat="1" x14ac:dyDescent="0.35">
      <c r="A1575" s="1" t="s">
        <v>5171</v>
      </c>
      <c r="B1575" s="1" t="s">
        <v>2891</v>
      </c>
      <c r="C1575" s="1" t="s">
        <v>3024</v>
      </c>
      <c r="D1575" s="1" t="s">
        <v>8564</v>
      </c>
      <c r="E1575" s="1" t="str">
        <f>"2340"</f>
        <v>2340</v>
      </c>
      <c r="F1575" s="1" t="s">
        <v>84</v>
      </c>
      <c r="G1575" s="1" t="s">
        <v>85</v>
      </c>
      <c r="H1575" s="1" t="s">
        <v>16</v>
      </c>
      <c r="I1575" s="4" t="str">
        <f>"1"</f>
        <v>1</v>
      </c>
      <c r="J1575" s="2">
        <v>31905.14</v>
      </c>
      <c r="K1575" s="3">
        <v>46137</v>
      </c>
      <c r="L1575" s="3">
        <v>46143</v>
      </c>
      <c r="M1575" s="1" t="s">
        <v>8563</v>
      </c>
      <c r="N1575" s="1" t="s">
        <v>8560</v>
      </c>
    </row>
    <row r="1576" spans="1:14" s="1" customFormat="1" x14ac:dyDescent="0.35">
      <c r="A1576" s="1" t="s">
        <v>5171</v>
      </c>
      <c r="B1576" s="1" t="s">
        <v>2891</v>
      </c>
      <c r="C1576" s="1" t="s">
        <v>3024</v>
      </c>
      <c r="D1576" s="1" t="s">
        <v>8562</v>
      </c>
      <c r="E1576" s="1" t="str">
        <f>"2340"</f>
        <v>2340</v>
      </c>
      <c r="F1576" s="1" t="s">
        <v>84</v>
      </c>
      <c r="G1576" s="1" t="s">
        <v>85</v>
      </c>
      <c r="H1576" s="1" t="s">
        <v>16</v>
      </c>
      <c r="I1576" s="4" t="str">
        <f>"1"</f>
        <v>1</v>
      </c>
      <c r="J1576" s="2">
        <v>31905.14</v>
      </c>
      <c r="K1576" s="3">
        <v>46137</v>
      </c>
      <c r="L1576" s="3">
        <v>46143</v>
      </c>
      <c r="M1576" s="1" t="s">
        <v>8561</v>
      </c>
      <c r="N1576" s="1" t="s">
        <v>8560</v>
      </c>
    </row>
    <row r="1577" spans="1:14" s="1" customFormat="1" x14ac:dyDescent="0.35">
      <c r="A1577" s="1" t="s">
        <v>5171</v>
      </c>
      <c r="B1577" s="1" t="s">
        <v>2891</v>
      </c>
      <c r="C1577" s="1" t="s">
        <v>8416</v>
      </c>
      <c r="D1577" s="1" t="s">
        <v>8559</v>
      </c>
      <c r="E1577" s="1" t="str">
        <f>"6515"</f>
        <v>6515</v>
      </c>
      <c r="F1577" s="1" t="str">
        <f>"016187475"</f>
        <v>016187475</v>
      </c>
      <c r="G1577" s="1" t="s">
        <v>2113</v>
      </c>
      <c r="H1577" s="1" t="s">
        <v>215</v>
      </c>
      <c r="I1577" s="4" t="str">
        <f>"1"</f>
        <v>1</v>
      </c>
      <c r="J1577" s="2">
        <v>418.79</v>
      </c>
      <c r="K1577" s="3">
        <v>46138</v>
      </c>
      <c r="L1577" s="3">
        <v>46145</v>
      </c>
      <c r="M1577" s="1" t="s">
        <v>8558</v>
      </c>
      <c r="N1577" s="1" t="s">
        <v>8557</v>
      </c>
    </row>
    <row r="1578" spans="1:14" s="1" customFormat="1" x14ac:dyDescent="0.35">
      <c r="A1578" s="1" t="s">
        <v>5171</v>
      </c>
      <c r="B1578" s="1" t="s">
        <v>2891</v>
      </c>
      <c r="C1578" s="1" t="s">
        <v>2991</v>
      </c>
      <c r="D1578" s="1" t="s">
        <v>8556</v>
      </c>
      <c r="E1578" s="1" t="str">
        <f>"6730"</f>
        <v>6730</v>
      </c>
      <c r="F1578" s="1" t="s">
        <v>3021</v>
      </c>
      <c r="G1578" s="1" t="s">
        <v>3022</v>
      </c>
      <c r="H1578" s="1" t="s">
        <v>16</v>
      </c>
      <c r="I1578" s="4" t="str">
        <f>"3"</f>
        <v>3</v>
      </c>
      <c r="J1578" s="2" t="str">
        <f>"100"</f>
        <v>100</v>
      </c>
      <c r="K1578" s="3">
        <v>46125</v>
      </c>
      <c r="L1578" s="3">
        <v>46146</v>
      </c>
      <c r="M1578" s="1" t="s">
        <v>8555</v>
      </c>
      <c r="N1578" s="1" t="s">
        <v>8554</v>
      </c>
    </row>
    <row r="1579" spans="1:14" s="1" customFormat="1" x14ac:dyDescent="0.35">
      <c r="A1579" s="1" t="s">
        <v>5171</v>
      </c>
      <c r="B1579" s="1" t="s">
        <v>2891</v>
      </c>
      <c r="C1579" s="1" t="s">
        <v>8487</v>
      </c>
      <c r="D1579" s="1" t="s">
        <v>8553</v>
      </c>
      <c r="E1579" s="1" t="str">
        <f>"7025"</f>
        <v>7025</v>
      </c>
      <c r="F1579" s="1" t="s">
        <v>4953</v>
      </c>
      <c r="G1579" s="1" t="s">
        <v>4954</v>
      </c>
      <c r="H1579" s="1" t="s">
        <v>16</v>
      </c>
      <c r="I1579" s="4" t="str">
        <f>"8"</f>
        <v>8</v>
      </c>
      <c r="J1579" s="2" t="str">
        <f>"299"</f>
        <v>299</v>
      </c>
      <c r="K1579" s="3">
        <v>46144</v>
      </c>
      <c r="L1579" s="3">
        <v>46147</v>
      </c>
      <c r="M1579" s="1" t="s">
        <v>8552</v>
      </c>
      <c r="N1579" s="1" t="s">
        <v>8551</v>
      </c>
    </row>
    <row r="1580" spans="1:14" s="1" customFormat="1" x14ac:dyDescent="0.35">
      <c r="A1580" s="1" t="s">
        <v>5171</v>
      </c>
      <c r="B1580" s="1" t="s">
        <v>2891</v>
      </c>
      <c r="C1580" s="1" t="s">
        <v>2911</v>
      </c>
      <c r="D1580" s="1" t="s">
        <v>8550</v>
      </c>
      <c r="E1580" s="1" t="str">
        <f>"6720"</f>
        <v>6720</v>
      </c>
      <c r="F1580" s="1" t="str">
        <f>"016648198"</f>
        <v>016648198</v>
      </c>
      <c r="G1580" s="1" t="s">
        <v>2611</v>
      </c>
      <c r="H1580" s="1" t="s">
        <v>16</v>
      </c>
      <c r="I1580" s="4" t="str">
        <f>"2"</f>
        <v>2</v>
      </c>
      <c r="J1580" s="2">
        <v>19603.27</v>
      </c>
      <c r="K1580" s="3">
        <v>46147</v>
      </c>
      <c r="L1580" s="3">
        <v>46147</v>
      </c>
      <c r="N1580" s="1" t="s">
        <v>8548</v>
      </c>
    </row>
    <row r="1581" spans="1:14" s="1" customFormat="1" x14ac:dyDescent="0.35">
      <c r="A1581" s="1" t="s">
        <v>5171</v>
      </c>
      <c r="B1581" s="1" t="s">
        <v>2891</v>
      </c>
      <c r="C1581" s="1" t="s">
        <v>2911</v>
      </c>
      <c r="D1581" s="1" t="s">
        <v>8549</v>
      </c>
      <c r="E1581" s="1" t="str">
        <f>"6720"</f>
        <v>6720</v>
      </c>
      <c r="F1581" s="1" t="str">
        <f>"016648198"</f>
        <v>016648198</v>
      </c>
      <c r="G1581" s="1" t="s">
        <v>2611</v>
      </c>
      <c r="H1581" s="1" t="s">
        <v>16</v>
      </c>
      <c r="I1581" s="4" t="str">
        <f>"1"</f>
        <v>1</v>
      </c>
      <c r="J1581" s="2">
        <v>19603.27</v>
      </c>
      <c r="K1581" s="3">
        <v>46147</v>
      </c>
      <c r="L1581" s="3">
        <v>46147</v>
      </c>
      <c r="N1581" s="1" t="s">
        <v>8548</v>
      </c>
    </row>
    <row r="1582" spans="1:14" s="1" customFormat="1" x14ac:dyDescent="0.35">
      <c r="A1582" s="1" t="s">
        <v>0</v>
      </c>
      <c r="B1582" s="1" t="s">
        <v>2891</v>
      </c>
      <c r="C1582" s="1" t="s">
        <v>8483</v>
      </c>
      <c r="D1582" s="1" t="s">
        <v>8547</v>
      </c>
      <c r="E1582" s="1" t="str">
        <f>"7021"</f>
        <v>7021</v>
      </c>
      <c r="F1582" s="1" t="s">
        <v>1644</v>
      </c>
      <c r="G1582" s="1" t="s">
        <v>1645</v>
      </c>
      <c r="H1582" s="1" t="s">
        <v>16</v>
      </c>
      <c r="I1582" s="4" t="str">
        <f>"32"</f>
        <v>32</v>
      </c>
      <c r="J1582" s="2" t="str">
        <f>"100"</f>
        <v>100</v>
      </c>
      <c r="K1582" s="3">
        <v>46150</v>
      </c>
      <c r="L1582" s="3">
        <v>46150</v>
      </c>
      <c r="M1582" s="1" t="s">
        <v>8546</v>
      </c>
      <c r="N1582" s="1" t="s">
        <v>8545</v>
      </c>
    </row>
    <row r="1583" spans="1:14" s="1" customFormat="1" x14ac:dyDescent="0.35">
      <c r="A1583" s="1" t="s">
        <v>5171</v>
      </c>
      <c r="B1583" s="1" t="s">
        <v>2891</v>
      </c>
      <c r="C1583" s="1" t="s">
        <v>2911</v>
      </c>
      <c r="D1583" s="1" t="s">
        <v>8544</v>
      </c>
      <c r="E1583" s="1" t="str">
        <f>"7025"</f>
        <v>7025</v>
      </c>
      <c r="F1583" s="1" t="s">
        <v>8543</v>
      </c>
      <c r="G1583" s="1" t="s">
        <v>8542</v>
      </c>
      <c r="H1583" s="1" t="s">
        <v>16</v>
      </c>
      <c r="I1583" s="4" t="str">
        <f>"6"</f>
        <v>6</v>
      </c>
      <c r="J1583" s="2" t="str">
        <f>"1300"</f>
        <v>1300</v>
      </c>
      <c r="K1583" s="3">
        <v>46147</v>
      </c>
      <c r="L1583" s="3">
        <v>46150</v>
      </c>
      <c r="M1583" s="1" t="s">
        <v>5469</v>
      </c>
      <c r="N1583" s="1" t="s">
        <v>8541</v>
      </c>
    </row>
    <row r="1584" spans="1:14" s="1" customFormat="1" x14ac:dyDescent="0.35">
      <c r="A1584" s="1" t="s">
        <v>5171</v>
      </c>
      <c r="B1584" s="1" t="s">
        <v>2891</v>
      </c>
      <c r="C1584" s="1" t="s">
        <v>8483</v>
      </c>
      <c r="D1584" s="1" t="s">
        <v>8540</v>
      </c>
      <c r="E1584" s="1" t="str">
        <f>"7490"</f>
        <v>7490</v>
      </c>
      <c r="F1584" s="1" t="s">
        <v>3797</v>
      </c>
      <c r="G1584" s="1" t="s">
        <v>3798</v>
      </c>
      <c r="H1584" s="1" t="s">
        <v>16</v>
      </c>
      <c r="I1584" s="4" t="str">
        <f>"1"</f>
        <v>1</v>
      </c>
      <c r="J1584" s="2" t="str">
        <f>"232"</f>
        <v>232</v>
      </c>
      <c r="K1584" s="3">
        <v>46150</v>
      </c>
      <c r="L1584" s="3">
        <v>46150</v>
      </c>
      <c r="M1584" s="1" t="s">
        <v>8539</v>
      </c>
      <c r="N1584" s="1" t="s">
        <v>8538</v>
      </c>
    </row>
    <row r="1585" spans="1:14" s="1" customFormat="1" x14ac:dyDescent="0.35">
      <c r="A1585" s="1" t="s">
        <v>5171</v>
      </c>
      <c r="B1585" s="1" t="s">
        <v>2891</v>
      </c>
      <c r="C1585" s="1" t="s">
        <v>8483</v>
      </c>
      <c r="D1585" s="1" t="s">
        <v>8540</v>
      </c>
      <c r="E1585" s="1" t="str">
        <f>"7490"</f>
        <v>7490</v>
      </c>
      <c r="F1585" s="1" t="s">
        <v>3797</v>
      </c>
      <c r="G1585" s="1" t="s">
        <v>3798</v>
      </c>
      <c r="H1585" s="1" t="s">
        <v>16</v>
      </c>
      <c r="I1585" s="4" t="str">
        <f>"1"</f>
        <v>1</v>
      </c>
      <c r="J1585" s="2" t="str">
        <f>"232"</f>
        <v>232</v>
      </c>
      <c r="K1585" s="3">
        <v>46150</v>
      </c>
      <c r="L1585" s="3">
        <v>46150</v>
      </c>
      <c r="M1585" s="1" t="s">
        <v>8539</v>
      </c>
      <c r="N1585" s="1" t="s">
        <v>8538</v>
      </c>
    </row>
    <row r="1586" spans="1:14" s="1" customFormat="1" x14ac:dyDescent="0.35">
      <c r="A1586" s="1" t="s">
        <v>5171</v>
      </c>
      <c r="B1586" s="1" t="s">
        <v>2891</v>
      </c>
      <c r="C1586" s="1" t="s">
        <v>2911</v>
      </c>
      <c r="D1586" s="1" t="s">
        <v>8537</v>
      </c>
      <c r="E1586" s="1" t="str">
        <f>"5180"</f>
        <v>5180</v>
      </c>
      <c r="F1586" s="1" t="str">
        <f>"016709469"</f>
        <v>016709469</v>
      </c>
      <c r="G1586" s="1" t="s">
        <v>1076</v>
      </c>
      <c r="H1586" s="1" t="s">
        <v>215</v>
      </c>
      <c r="I1586" s="4" t="str">
        <f>"1"</f>
        <v>1</v>
      </c>
      <c r="J1586" s="2" t="str">
        <f>"2211"</f>
        <v>2211</v>
      </c>
      <c r="K1586" s="3">
        <v>46148</v>
      </c>
      <c r="L1586" s="3">
        <v>46151</v>
      </c>
      <c r="M1586" s="1" t="s">
        <v>8536</v>
      </c>
      <c r="N1586" s="1" t="s">
        <v>8535</v>
      </c>
    </row>
    <row r="1587" spans="1:14" s="1" customFormat="1" x14ac:dyDescent="0.35">
      <c r="A1587" s="1" t="s">
        <v>5171</v>
      </c>
      <c r="B1587" s="1" t="s">
        <v>2891</v>
      </c>
      <c r="C1587" s="1" t="s">
        <v>2985</v>
      </c>
      <c r="D1587" s="1" t="s">
        <v>8534</v>
      </c>
      <c r="E1587" s="1" t="str">
        <f>"2320"</f>
        <v>2320</v>
      </c>
      <c r="F1587" s="1" t="s">
        <v>2218</v>
      </c>
      <c r="G1587" s="1" t="s">
        <v>2219</v>
      </c>
      <c r="H1587" s="1" t="s">
        <v>16</v>
      </c>
      <c r="I1587" s="4" t="str">
        <f>"1"</f>
        <v>1</v>
      </c>
      <c r="J1587" s="2" t="str">
        <f>"10000"</f>
        <v>10000</v>
      </c>
      <c r="K1587" s="3">
        <v>46137</v>
      </c>
      <c r="L1587" s="3">
        <v>46151</v>
      </c>
      <c r="M1587" s="1" t="s">
        <v>8533</v>
      </c>
      <c r="N1587" s="1" t="s">
        <v>8532</v>
      </c>
    </row>
    <row r="1588" spans="1:14" s="1" customFormat="1" x14ac:dyDescent="0.35">
      <c r="A1588" s="1" t="s">
        <v>5230</v>
      </c>
      <c r="B1588" s="1" t="s">
        <v>2891</v>
      </c>
      <c r="C1588" s="1" t="s">
        <v>3024</v>
      </c>
      <c r="D1588" s="1" t="s">
        <v>8531</v>
      </c>
      <c r="E1588" s="1" t="str">
        <f>"2320"</f>
        <v>2320</v>
      </c>
      <c r="F1588" s="1" t="str">
        <f>"012300300"</f>
        <v>012300300</v>
      </c>
      <c r="G1588" s="1" t="s">
        <v>360</v>
      </c>
      <c r="H1588" s="1" t="s">
        <v>16</v>
      </c>
      <c r="I1588" s="4" t="str">
        <f>"1"</f>
        <v>1</v>
      </c>
      <c r="J1588" s="2" t="str">
        <f>"111395"</f>
        <v>111395</v>
      </c>
      <c r="K1588" s="3">
        <v>46151</v>
      </c>
      <c r="L1588" s="3">
        <v>46152</v>
      </c>
      <c r="N1588" s="1" t="s">
        <v>3028</v>
      </c>
    </row>
    <row r="1589" spans="1:14" s="1" customFormat="1" x14ac:dyDescent="0.35">
      <c r="A1589" s="1" t="s">
        <v>5171</v>
      </c>
      <c r="B1589" s="1" t="s">
        <v>2891</v>
      </c>
      <c r="C1589" s="1" t="s">
        <v>2991</v>
      </c>
      <c r="D1589" s="1" t="s">
        <v>8530</v>
      </c>
      <c r="E1589" s="1" t="str">
        <f>"2320"</f>
        <v>2320</v>
      </c>
      <c r="F1589" s="1" t="s">
        <v>971</v>
      </c>
      <c r="G1589" s="1" t="s">
        <v>972</v>
      </c>
      <c r="H1589" s="1" t="s">
        <v>16</v>
      </c>
      <c r="I1589" s="4" t="str">
        <f>"1"</f>
        <v>1</v>
      </c>
      <c r="J1589" s="2" t="str">
        <f>"10000"</f>
        <v>10000</v>
      </c>
      <c r="K1589" s="3">
        <v>46125</v>
      </c>
      <c r="L1589" s="3">
        <v>46154</v>
      </c>
      <c r="M1589" s="1" t="s">
        <v>8529</v>
      </c>
      <c r="N1589" s="1" t="s">
        <v>8528</v>
      </c>
    </row>
    <row r="1590" spans="1:14" s="1" customFormat="1" x14ac:dyDescent="0.35">
      <c r="A1590" s="1" t="s">
        <v>5171</v>
      </c>
      <c r="B1590" s="1" t="s">
        <v>2891</v>
      </c>
      <c r="C1590" s="1" t="s">
        <v>2911</v>
      </c>
      <c r="D1590" s="1" t="s">
        <v>8527</v>
      </c>
      <c r="E1590" s="1" t="str">
        <f>"7025"</f>
        <v>7025</v>
      </c>
      <c r="F1590" s="1" t="s">
        <v>4953</v>
      </c>
      <c r="G1590" s="1" t="s">
        <v>4954</v>
      </c>
      <c r="H1590" s="1" t="s">
        <v>16</v>
      </c>
      <c r="I1590" s="4" t="str">
        <f>"1"</f>
        <v>1</v>
      </c>
      <c r="J1590" s="2" t="str">
        <f>"2000"</f>
        <v>2000</v>
      </c>
      <c r="K1590" s="3">
        <v>46135</v>
      </c>
      <c r="L1590" s="3">
        <v>46155</v>
      </c>
      <c r="M1590" s="1" t="s">
        <v>8526</v>
      </c>
      <c r="N1590" s="1" t="s">
        <v>8525</v>
      </c>
    </row>
    <row r="1591" spans="1:14" s="1" customFormat="1" x14ac:dyDescent="0.35">
      <c r="A1591" s="1" t="s">
        <v>0</v>
      </c>
      <c r="B1591" s="1" t="s">
        <v>2891</v>
      </c>
      <c r="C1591" s="1" t="s">
        <v>2921</v>
      </c>
      <c r="D1591" s="1" t="s">
        <v>8524</v>
      </c>
      <c r="E1591" s="1" t="str">
        <f>"7025"</f>
        <v>7025</v>
      </c>
      <c r="F1591" s="1" t="s">
        <v>1128</v>
      </c>
      <c r="G1591" s="1" t="s">
        <v>1129</v>
      </c>
      <c r="H1591" s="1" t="s">
        <v>16</v>
      </c>
      <c r="I1591" s="4" t="str">
        <f>"4"</f>
        <v>4</v>
      </c>
      <c r="J1591" s="2" t="str">
        <f>"400"</f>
        <v>400</v>
      </c>
      <c r="K1591" s="3">
        <v>46156</v>
      </c>
      <c r="L1591" s="3">
        <v>46157</v>
      </c>
      <c r="M1591" s="1" t="s">
        <v>8523</v>
      </c>
      <c r="N1591" s="1" t="s">
        <v>8522</v>
      </c>
    </row>
    <row r="1592" spans="1:14" s="1" customFormat="1" x14ac:dyDescent="0.35">
      <c r="A1592" s="1" t="s">
        <v>5171</v>
      </c>
      <c r="B1592" s="1" t="s">
        <v>2891</v>
      </c>
      <c r="C1592" s="1" t="s">
        <v>8521</v>
      </c>
      <c r="D1592" s="1" t="s">
        <v>8520</v>
      </c>
      <c r="E1592" s="1" t="str">
        <f>"6920"</f>
        <v>6920</v>
      </c>
      <c r="F1592" s="1" t="str">
        <f>"015649656"</f>
        <v>015649656</v>
      </c>
      <c r="G1592" s="1" t="s">
        <v>7567</v>
      </c>
      <c r="H1592" s="1" t="s">
        <v>16</v>
      </c>
      <c r="I1592" s="4" t="str">
        <f>"10"</f>
        <v>10</v>
      </c>
      <c r="J1592" s="2">
        <v>377.12</v>
      </c>
      <c r="K1592" s="3">
        <v>46155</v>
      </c>
      <c r="L1592" s="3">
        <v>46157</v>
      </c>
      <c r="M1592" s="1" t="s">
        <v>8519</v>
      </c>
      <c r="N1592" s="1" t="s">
        <v>8518</v>
      </c>
    </row>
    <row r="1593" spans="1:14" s="1" customFormat="1" x14ac:dyDescent="0.35">
      <c r="A1593" s="1" t="s">
        <v>5171</v>
      </c>
      <c r="B1593" s="1" t="s">
        <v>2891</v>
      </c>
      <c r="C1593" s="1" t="s">
        <v>8416</v>
      </c>
      <c r="D1593" s="1" t="s">
        <v>8517</v>
      </c>
      <c r="E1593" s="1" t="str">
        <f>"4220"</f>
        <v>4220</v>
      </c>
      <c r="F1593" s="1" t="str">
        <f>"015834439"</f>
        <v>015834439</v>
      </c>
      <c r="G1593" s="1" t="s">
        <v>8516</v>
      </c>
      <c r="H1593" s="1" t="s">
        <v>16</v>
      </c>
      <c r="I1593" s="4" t="str">
        <f>"17"</f>
        <v>17</v>
      </c>
      <c r="J1593" s="2">
        <v>1160.28</v>
      </c>
      <c r="K1593" s="3">
        <v>46133</v>
      </c>
      <c r="L1593" s="3">
        <v>46157</v>
      </c>
      <c r="M1593" s="1" t="s">
        <v>8515</v>
      </c>
      <c r="N1593" s="1" t="s">
        <v>8514</v>
      </c>
    </row>
    <row r="1594" spans="1:14" s="1" customFormat="1" x14ac:dyDescent="0.35">
      <c r="A1594" s="1" t="s">
        <v>5171</v>
      </c>
      <c r="B1594" s="1" t="s">
        <v>2891</v>
      </c>
      <c r="C1594" s="1" t="s">
        <v>8416</v>
      </c>
      <c r="D1594" s="1" t="s">
        <v>8513</v>
      </c>
      <c r="E1594" s="1" t="str">
        <f>"5120"</f>
        <v>5120</v>
      </c>
      <c r="F1594" s="1" t="str">
        <f>"002405330"</f>
        <v>002405330</v>
      </c>
      <c r="G1594" s="1" t="s">
        <v>8512</v>
      </c>
      <c r="H1594" s="1" t="s">
        <v>16</v>
      </c>
      <c r="I1594" s="4" t="str">
        <f>"1"</f>
        <v>1</v>
      </c>
      <c r="J1594" s="2">
        <v>10.27</v>
      </c>
      <c r="K1594" s="3">
        <v>46138</v>
      </c>
      <c r="L1594" s="3">
        <v>46157</v>
      </c>
      <c r="M1594" s="1" t="s">
        <v>8511</v>
      </c>
      <c r="N1594" s="1" t="s">
        <v>8510</v>
      </c>
    </row>
    <row r="1595" spans="1:14" s="1" customFormat="1" x14ac:dyDescent="0.35">
      <c r="A1595" s="1" t="s">
        <v>5171</v>
      </c>
      <c r="B1595" s="1" t="s">
        <v>2891</v>
      </c>
      <c r="C1595" s="1" t="s">
        <v>2921</v>
      </c>
      <c r="D1595" s="1" t="s">
        <v>8509</v>
      </c>
      <c r="E1595" s="1" t="str">
        <f>"2330"</f>
        <v>2330</v>
      </c>
      <c r="F1595" s="1" t="s">
        <v>70</v>
      </c>
      <c r="G1595" s="1" t="s">
        <v>71</v>
      </c>
      <c r="H1595" s="1" t="s">
        <v>16</v>
      </c>
      <c r="I1595" s="4" t="str">
        <f>"3"</f>
        <v>3</v>
      </c>
      <c r="J1595" s="2" t="str">
        <f>"9295"</f>
        <v>9295</v>
      </c>
      <c r="K1595" s="3">
        <v>46144</v>
      </c>
      <c r="L1595" s="3">
        <v>46158</v>
      </c>
      <c r="M1595" s="1" t="s">
        <v>8508</v>
      </c>
      <c r="N1595" s="1" t="s">
        <v>8507</v>
      </c>
    </row>
    <row r="1596" spans="1:14" s="1" customFormat="1" x14ac:dyDescent="0.35">
      <c r="A1596" s="1" t="s">
        <v>5230</v>
      </c>
      <c r="B1596" s="1" t="s">
        <v>2891</v>
      </c>
      <c r="C1596" s="1" t="s">
        <v>2921</v>
      </c>
      <c r="D1596" s="1" t="s">
        <v>8506</v>
      </c>
      <c r="E1596" s="1" t="str">
        <f>"7010"</f>
        <v>7010</v>
      </c>
      <c r="F1596" s="1" t="str">
        <f>"016946843"</f>
        <v>016946843</v>
      </c>
      <c r="G1596" s="1" t="s">
        <v>3667</v>
      </c>
      <c r="H1596" s="1" t="s">
        <v>16</v>
      </c>
      <c r="I1596" s="4" t="str">
        <f>"8"</f>
        <v>8</v>
      </c>
      <c r="J1596" s="2" t="str">
        <f>"6930"</f>
        <v>6930</v>
      </c>
      <c r="K1596" s="3">
        <v>46161</v>
      </c>
      <c r="L1596" s="3">
        <v>46161</v>
      </c>
      <c r="N1596" s="1" t="s">
        <v>8505</v>
      </c>
    </row>
    <row r="1597" spans="1:14" s="1" customFormat="1" x14ac:dyDescent="0.35">
      <c r="A1597" s="1" t="s">
        <v>5171</v>
      </c>
      <c r="B1597" s="1" t="s">
        <v>2891</v>
      </c>
      <c r="C1597" s="1" t="s">
        <v>2911</v>
      </c>
      <c r="D1597" s="1" t="s">
        <v>8504</v>
      </c>
      <c r="E1597" s="1" t="str">
        <f>"7025"</f>
        <v>7025</v>
      </c>
      <c r="F1597" s="1" t="s">
        <v>4953</v>
      </c>
      <c r="G1597" s="1" t="s">
        <v>4954</v>
      </c>
      <c r="H1597" s="1" t="s">
        <v>16</v>
      </c>
      <c r="I1597" s="4" t="str">
        <f>"8"</f>
        <v>8</v>
      </c>
      <c r="J1597" s="2" t="str">
        <f>"100"</f>
        <v>100</v>
      </c>
      <c r="K1597" s="3">
        <v>46160</v>
      </c>
      <c r="L1597" s="3">
        <v>46161</v>
      </c>
      <c r="N1597" s="1" t="s">
        <v>8503</v>
      </c>
    </row>
    <row r="1598" spans="1:14" s="1" customFormat="1" x14ac:dyDescent="0.35">
      <c r="A1598" s="1" t="s">
        <v>5171</v>
      </c>
      <c r="B1598" s="1" t="s">
        <v>2891</v>
      </c>
      <c r="C1598" s="1" t="s">
        <v>2921</v>
      </c>
      <c r="D1598" s="1" t="s">
        <v>8502</v>
      </c>
      <c r="E1598" s="1" t="str">
        <f>"2320"</f>
        <v>2320</v>
      </c>
      <c r="F1598" s="1" t="str">
        <f>"010919076"</f>
        <v>010919076</v>
      </c>
      <c r="G1598" s="1" t="s">
        <v>2303</v>
      </c>
      <c r="H1598" s="1" t="s">
        <v>16</v>
      </c>
      <c r="I1598" s="4" t="str">
        <f>"1"</f>
        <v>1</v>
      </c>
      <c r="J1598" s="2" t="str">
        <f>"18044"</f>
        <v>18044</v>
      </c>
      <c r="K1598" s="3">
        <v>46158</v>
      </c>
      <c r="L1598" s="3">
        <v>46161</v>
      </c>
      <c r="M1598" s="1" t="s">
        <v>8501</v>
      </c>
      <c r="N1598" s="1" t="s">
        <v>2923</v>
      </c>
    </row>
    <row r="1599" spans="1:14" s="1" customFormat="1" x14ac:dyDescent="0.35">
      <c r="A1599" s="1" t="s">
        <v>5171</v>
      </c>
      <c r="B1599" s="1" t="s">
        <v>2891</v>
      </c>
      <c r="C1599" s="1" t="s">
        <v>3003</v>
      </c>
      <c r="D1599" s="1" t="s">
        <v>8500</v>
      </c>
      <c r="E1599" s="1" t="str">
        <f>"2310"</f>
        <v>2310</v>
      </c>
      <c r="F1599" s="1" t="s">
        <v>178</v>
      </c>
      <c r="G1599" s="1" t="s">
        <v>179</v>
      </c>
      <c r="H1599" s="1" t="s">
        <v>16</v>
      </c>
      <c r="I1599" s="4" t="str">
        <f>"1"</f>
        <v>1</v>
      </c>
      <c r="J1599" s="2" t="str">
        <f>"24000"</f>
        <v>24000</v>
      </c>
      <c r="K1599" s="3">
        <v>46102</v>
      </c>
      <c r="L1599" s="3">
        <v>46163</v>
      </c>
      <c r="M1599" s="1" t="s">
        <v>8499</v>
      </c>
      <c r="N1599" s="1" t="s">
        <v>8498</v>
      </c>
    </row>
    <row r="1600" spans="1:14" s="1" customFormat="1" x14ac:dyDescent="0.35">
      <c r="A1600" s="1" t="s">
        <v>5171</v>
      </c>
      <c r="B1600" s="1" t="s">
        <v>2891</v>
      </c>
      <c r="C1600" s="1" t="s">
        <v>8495</v>
      </c>
      <c r="D1600" s="1" t="s">
        <v>8497</v>
      </c>
      <c r="E1600" s="1" t="str">
        <f>"2340"</f>
        <v>2340</v>
      </c>
      <c r="F1600" s="1" t="s">
        <v>84</v>
      </c>
      <c r="G1600" s="1" t="s">
        <v>85</v>
      </c>
      <c r="H1600" s="1" t="s">
        <v>16</v>
      </c>
      <c r="I1600" s="4" t="str">
        <f>"1"</f>
        <v>1</v>
      </c>
      <c r="J1600" s="2" t="str">
        <f>"6494"</f>
        <v>6494</v>
      </c>
      <c r="K1600" s="3">
        <v>46153</v>
      </c>
      <c r="L1600" s="3">
        <v>46164</v>
      </c>
      <c r="M1600" s="1" t="s">
        <v>8496</v>
      </c>
      <c r="N1600" s="1" t="s">
        <v>8492</v>
      </c>
    </row>
    <row r="1601" spans="1:14" s="1" customFormat="1" x14ac:dyDescent="0.35">
      <c r="A1601" s="1" t="s">
        <v>5171</v>
      </c>
      <c r="B1601" s="1" t="s">
        <v>2891</v>
      </c>
      <c r="C1601" s="1" t="s">
        <v>8495</v>
      </c>
      <c r="D1601" s="1" t="s">
        <v>8494</v>
      </c>
      <c r="E1601" s="1" t="str">
        <f>"2340"</f>
        <v>2340</v>
      </c>
      <c r="F1601" s="1" t="s">
        <v>84</v>
      </c>
      <c r="G1601" s="1" t="s">
        <v>85</v>
      </c>
      <c r="H1601" s="1" t="s">
        <v>16</v>
      </c>
      <c r="I1601" s="4" t="str">
        <f>"1"</f>
        <v>1</v>
      </c>
      <c r="J1601" s="2" t="str">
        <f>"6494"</f>
        <v>6494</v>
      </c>
      <c r="K1601" s="3">
        <v>46153</v>
      </c>
      <c r="L1601" s="3">
        <v>46164</v>
      </c>
      <c r="M1601" s="1" t="s">
        <v>8493</v>
      </c>
      <c r="N1601" s="1" t="s">
        <v>8492</v>
      </c>
    </row>
    <row r="1602" spans="1:14" s="1" customFormat="1" x14ac:dyDescent="0.35">
      <c r="A1602" s="1" t="s">
        <v>5171</v>
      </c>
      <c r="B1602" s="1" t="s">
        <v>2891</v>
      </c>
      <c r="C1602" s="1" t="s">
        <v>2921</v>
      </c>
      <c r="D1602" s="1" t="s">
        <v>8491</v>
      </c>
      <c r="E1602" s="1" t="str">
        <f>"2320"</f>
        <v>2320</v>
      </c>
      <c r="F1602" s="1" t="str">
        <f>"010919076"</f>
        <v>010919076</v>
      </c>
      <c r="G1602" s="1" t="s">
        <v>2303</v>
      </c>
      <c r="H1602" s="1" t="s">
        <v>16</v>
      </c>
      <c r="I1602" s="4" t="str">
        <f>"1"</f>
        <v>1</v>
      </c>
      <c r="J1602" s="2" t="str">
        <f>"18044"</f>
        <v>18044</v>
      </c>
      <c r="K1602" s="3">
        <v>46158</v>
      </c>
      <c r="L1602" s="3">
        <v>46164</v>
      </c>
      <c r="M1602" s="1" t="s">
        <v>8490</v>
      </c>
      <c r="N1602" s="1" t="s">
        <v>2923</v>
      </c>
    </row>
    <row r="1603" spans="1:14" s="1" customFormat="1" x14ac:dyDescent="0.35">
      <c r="A1603" s="1" t="s">
        <v>5171</v>
      </c>
      <c r="B1603" s="1" t="s">
        <v>2891</v>
      </c>
      <c r="C1603" s="1" t="s">
        <v>2898</v>
      </c>
      <c r="D1603" s="1" t="s">
        <v>8489</v>
      </c>
      <c r="E1603" s="1" t="str">
        <f>"5855"</f>
        <v>5855</v>
      </c>
      <c r="F1603" s="1" t="str">
        <f>"016036141"</f>
        <v>016036141</v>
      </c>
      <c r="G1603" s="1" t="s">
        <v>1379</v>
      </c>
      <c r="H1603" s="1" t="s">
        <v>16</v>
      </c>
      <c r="I1603" s="4" t="str">
        <f>"5"</f>
        <v>5</v>
      </c>
      <c r="J1603" s="2" t="str">
        <f>"26000"</f>
        <v>26000</v>
      </c>
      <c r="K1603" s="3">
        <v>46154</v>
      </c>
      <c r="L1603" s="3">
        <v>46165</v>
      </c>
      <c r="M1603" s="1" t="s">
        <v>8488</v>
      </c>
      <c r="N1603" s="1" t="s">
        <v>2902</v>
      </c>
    </row>
    <row r="1604" spans="1:14" s="1" customFormat="1" x14ac:dyDescent="0.35">
      <c r="A1604" s="1" t="s">
        <v>5171</v>
      </c>
      <c r="B1604" s="1" t="s">
        <v>2891</v>
      </c>
      <c r="C1604" s="1" t="s">
        <v>8487</v>
      </c>
      <c r="D1604" s="1" t="s">
        <v>8486</v>
      </c>
      <c r="E1604" s="1" t="str">
        <f>"2330"</f>
        <v>2330</v>
      </c>
      <c r="F1604" s="1" t="s">
        <v>70</v>
      </c>
      <c r="G1604" s="1" t="s">
        <v>71</v>
      </c>
      <c r="H1604" s="1" t="s">
        <v>16</v>
      </c>
      <c r="I1604" s="4" t="str">
        <f>"1"</f>
        <v>1</v>
      </c>
      <c r="J1604" s="2" t="str">
        <f>"14000"</f>
        <v>14000</v>
      </c>
      <c r="K1604" s="3">
        <v>46151</v>
      </c>
      <c r="L1604" s="3">
        <v>46165</v>
      </c>
      <c r="M1604" s="1" t="s">
        <v>8485</v>
      </c>
      <c r="N1604" s="1" t="s">
        <v>8484</v>
      </c>
    </row>
    <row r="1605" spans="1:14" s="1" customFormat="1" x14ac:dyDescent="0.35">
      <c r="A1605" s="1" t="s">
        <v>5171</v>
      </c>
      <c r="B1605" s="1" t="s">
        <v>2891</v>
      </c>
      <c r="C1605" s="1" t="s">
        <v>8483</v>
      </c>
      <c r="D1605" s="1" t="s">
        <v>8482</v>
      </c>
      <c r="E1605" s="1" t="str">
        <f>"2320"</f>
        <v>2320</v>
      </c>
      <c r="F1605" s="1" t="s">
        <v>975</v>
      </c>
      <c r="G1605" s="1" t="s">
        <v>976</v>
      </c>
      <c r="H1605" s="1" t="s">
        <v>16</v>
      </c>
      <c r="I1605" s="4" t="str">
        <f>"1"</f>
        <v>1</v>
      </c>
      <c r="J1605" s="2" t="str">
        <f>"121000"</f>
        <v>121000</v>
      </c>
      <c r="K1605" s="3">
        <v>46150</v>
      </c>
      <c r="L1605" s="3">
        <v>46169</v>
      </c>
      <c r="M1605" s="1" t="s">
        <v>8481</v>
      </c>
      <c r="N1605" s="1" t="s">
        <v>8480</v>
      </c>
    </row>
    <row r="1606" spans="1:14" s="1" customFormat="1" x14ac:dyDescent="0.35">
      <c r="A1606" s="1" t="s">
        <v>5171</v>
      </c>
      <c r="B1606" s="1" t="s">
        <v>2891</v>
      </c>
      <c r="C1606" s="1" t="s">
        <v>2911</v>
      </c>
      <c r="D1606" s="1" t="s">
        <v>8479</v>
      </c>
      <c r="E1606" s="1" t="str">
        <f>"5836"</f>
        <v>5836</v>
      </c>
      <c r="F1606" s="1" t="s">
        <v>8476</v>
      </c>
      <c r="G1606" s="1" t="s">
        <v>8475</v>
      </c>
      <c r="H1606" s="1" t="s">
        <v>16</v>
      </c>
      <c r="I1606" s="4" t="str">
        <f>"1"</f>
        <v>1</v>
      </c>
      <c r="J1606" s="2" t="str">
        <f>"2647"</f>
        <v>2647</v>
      </c>
      <c r="K1606" s="3">
        <v>46169</v>
      </c>
      <c r="L1606" s="3">
        <v>46170</v>
      </c>
      <c r="M1606" s="1" t="s">
        <v>5167</v>
      </c>
      <c r="N1606" s="1" t="s">
        <v>8453</v>
      </c>
    </row>
    <row r="1607" spans="1:14" s="1" customFormat="1" x14ac:dyDescent="0.35">
      <c r="A1607" s="1" t="s">
        <v>5171</v>
      </c>
      <c r="B1607" s="1" t="s">
        <v>2891</v>
      </c>
      <c r="C1607" s="1" t="s">
        <v>2911</v>
      </c>
      <c r="D1607" s="1" t="s">
        <v>8478</v>
      </c>
      <c r="E1607" s="1" t="str">
        <f>"5836"</f>
        <v>5836</v>
      </c>
      <c r="F1607" s="1" t="s">
        <v>8476</v>
      </c>
      <c r="G1607" s="1" t="s">
        <v>8475</v>
      </c>
      <c r="H1607" s="1" t="s">
        <v>16</v>
      </c>
      <c r="I1607" s="4" t="str">
        <f>"1"</f>
        <v>1</v>
      </c>
      <c r="J1607" s="2" t="str">
        <f>"2647"</f>
        <v>2647</v>
      </c>
      <c r="K1607" s="3">
        <v>46169</v>
      </c>
      <c r="L1607" s="3">
        <v>46170</v>
      </c>
      <c r="M1607" s="1" t="s">
        <v>5167</v>
      </c>
      <c r="N1607" s="1" t="s">
        <v>8453</v>
      </c>
    </row>
    <row r="1608" spans="1:14" s="1" customFormat="1" x14ac:dyDescent="0.35">
      <c r="A1608" s="1" t="s">
        <v>5171</v>
      </c>
      <c r="B1608" s="1" t="s">
        <v>2891</v>
      </c>
      <c r="C1608" s="1" t="s">
        <v>2911</v>
      </c>
      <c r="D1608" s="1" t="s">
        <v>8477</v>
      </c>
      <c r="E1608" s="1" t="str">
        <f>"5836"</f>
        <v>5836</v>
      </c>
      <c r="F1608" s="1" t="s">
        <v>8476</v>
      </c>
      <c r="G1608" s="1" t="s">
        <v>8475</v>
      </c>
      <c r="H1608" s="1" t="s">
        <v>16</v>
      </c>
      <c r="I1608" s="4" t="str">
        <f>"1"</f>
        <v>1</v>
      </c>
      <c r="J1608" s="2" t="str">
        <f>"2647"</f>
        <v>2647</v>
      </c>
      <c r="K1608" s="3">
        <v>46169</v>
      </c>
      <c r="L1608" s="3">
        <v>46170</v>
      </c>
      <c r="M1608" s="1" t="s">
        <v>5167</v>
      </c>
      <c r="N1608" s="1" t="s">
        <v>8453</v>
      </c>
    </row>
    <row r="1609" spans="1:14" s="1" customFormat="1" x14ac:dyDescent="0.35">
      <c r="A1609" s="1" t="s">
        <v>5171</v>
      </c>
      <c r="B1609" s="1" t="s">
        <v>2891</v>
      </c>
      <c r="C1609" s="1" t="s">
        <v>8416</v>
      </c>
      <c r="D1609" s="1" t="s">
        <v>8474</v>
      </c>
      <c r="E1609" s="1" t="str">
        <f>"7025"</f>
        <v>7025</v>
      </c>
      <c r="F1609" s="1" t="s">
        <v>2915</v>
      </c>
      <c r="G1609" s="1" t="s">
        <v>2916</v>
      </c>
      <c r="H1609" s="1" t="s">
        <v>16</v>
      </c>
      <c r="I1609" s="4" t="str">
        <f>"12"</f>
        <v>12</v>
      </c>
      <c r="J1609" s="2" t="str">
        <f>"5"</f>
        <v>5</v>
      </c>
      <c r="K1609" s="3">
        <v>46142</v>
      </c>
      <c r="L1609" s="3">
        <v>46170</v>
      </c>
      <c r="M1609" s="1" t="s">
        <v>8473</v>
      </c>
      <c r="N1609" s="1" t="s">
        <v>8472</v>
      </c>
    </row>
    <row r="1610" spans="1:14" s="1" customFormat="1" x14ac:dyDescent="0.35">
      <c r="A1610" s="1" t="s">
        <v>5171</v>
      </c>
      <c r="B1610" s="1" t="s">
        <v>2891</v>
      </c>
      <c r="C1610" s="1" t="s">
        <v>2911</v>
      </c>
      <c r="D1610" s="1" t="s">
        <v>8471</v>
      </c>
      <c r="E1610" s="1" t="str">
        <f>"5836"</f>
        <v>5836</v>
      </c>
      <c r="F1610" s="1" t="s">
        <v>8456</v>
      </c>
      <c r="G1610" s="1" t="s">
        <v>8455</v>
      </c>
      <c r="H1610" s="1" t="s">
        <v>16</v>
      </c>
      <c r="I1610" s="4" t="str">
        <f>"1"</f>
        <v>1</v>
      </c>
      <c r="J1610" s="2" t="str">
        <f>"2647"</f>
        <v>2647</v>
      </c>
      <c r="K1610" s="3">
        <v>46169</v>
      </c>
      <c r="L1610" s="3">
        <v>46171</v>
      </c>
      <c r="M1610" s="1" t="s">
        <v>8470</v>
      </c>
      <c r="N1610" s="1" t="s">
        <v>8453</v>
      </c>
    </row>
    <row r="1611" spans="1:14" s="1" customFormat="1" x14ac:dyDescent="0.35">
      <c r="A1611" s="1" t="s">
        <v>5171</v>
      </c>
      <c r="B1611" s="1" t="s">
        <v>2891</v>
      </c>
      <c r="C1611" s="1" t="s">
        <v>2921</v>
      </c>
      <c r="D1611" s="1" t="s">
        <v>8469</v>
      </c>
      <c r="E1611" s="1" t="str">
        <f>"4210"</f>
        <v>4210</v>
      </c>
      <c r="F1611" s="1" t="s">
        <v>1017</v>
      </c>
      <c r="G1611" s="1" t="s">
        <v>1018</v>
      </c>
      <c r="H1611" s="1" t="s">
        <v>16</v>
      </c>
      <c r="I1611" s="4" t="str">
        <f>"1"</f>
        <v>1</v>
      </c>
      <c r="J1611" s="2" t="str">
        <f>"1000"</f>
        <v>1000</v>
      </c>
      <c r="K1611" s="3">
        <v>46160</v>
      </c>
      <c r="L1611" s="3">
        <v>46172</v>
      </c>
      <c r="M1611" s="1" t="s">
        <v>8468</v>
      </c>
      <c r="N1611" s="1" t="s">
        <v>8467</v>
      </c>
    </row>
    <row r="1612" spans="1:14" s="1" customFormat="1" x14ac:dyDescent="0.35">
      <c r="A1612" s="1" t="s">
        <v>5216</v>
      </c>
      <c r="B1612" s="1" t="s">
        <v>2891</v>
      </c>
      <c r="C1612" s="1" t="s">
        <v>8405</v>
      </c>
      <c r="D1612" s="1" t="s">
        <v>8466</v>
      </c>
      <c r="E1612" s="1" t="str">
        <f>"4520"</f>
        <v>4520</v>
      </c>
      <c r="F1612" s="1" t="s">
        <v>3104</v>
      </c>
      <c r="G1612" s="1" t="s">
        <v>3105</v>
      </c>
      <c r="H1612" s="1" t="s">
        <v>16</v>
      </c>
      <c r="I1612" s="4" t="str">
        <f>"2"</f>
        <v>2</v>
      </c>
      <c r="J1612" s="2">
        <v>782.19</v>
      </c>
      <c r="K1612" s="3">
        <v>46177</v>
      </c>
      <c r="L1612" s="3">
        <v>46178</v>
      </c>
      <c r="M1612" s="1" t="s">
        <v>8465</v>
      </c>
      <c r="N1612" s="1" t="s">
        <v>8464</v>
      </c>
    </row>
    <row r="1613" spans="1:14" s="1" customFormat="1" x14ac:dyDescent="0.35">
      <c r="A1613" s="1" t="s">
        <v>5171</v>
      </c>
      <c r="B1613" s="1" t="s">
        <v>2891</v>
      </c>
      <c r="C1613" s="1" t="s">
        <v>8405</v>
      </c>
      <c r="D1613" s="1" t="s">
        <v>8463</v>
      </c>
      <c r="E1613" s="1" t="str">
        <f>"8150"</f>
        <v>8150</v>
      </c>
      <c r="F1613" s="1" t="str">
        <f>"014839125"</f>
        <v>014839125</v>
      </c>
      <c r="G1613" s="1" t="s">
        <v>117</v>
      </c>
      <c r="H1613" s="1" t="s">
        <v>16</v>
      </c>
      <c r="I1613" s="4" t="str">
        <f>"3"</f>
        <v>3</v>
      </c>
      <c r="J1613" s="2">
        <v>7265.03</v>
      </c>
      <c r="K1613" s="3">
        <v>46177</v>
      </c>
      <c r="L1613" s="3">
        <v>46178</v>
      </c>
      <c r="M1613" s="1" t="s">
        <v>5167</v>
      </c>
      <c r="N1613" s="1" t="s">
        <v>8462</v>
      </c>
    </row>
    <row r="1614" spans="1:14" s="1" customFormat="1" x14ac:dyDescent="0.35">
      <c r="A1614" s="1" t="s">
        <v>5171</v>
      </c>
      <c r="B1614" s="1" t="s">
        <v>2891</v>
      </c>
      <c r="C1614" s="1" t="s">
        <v>8405</v>
      </c>
      <c r="D1614" s="1" t="s">
        <v>8461</v>
      </c>
      <c r="E1614" s="1" t="str">
        <f>"4030"</f>
        <v>4030</v>
      </c>
      <c r="F1614" s="1" t="str">
        <f>"003694043"</f>
        <v>003694043</v>
      </c>
      <c r="G1614" s="1" t="s">
        <v>8460</v>
      </c>
      <c r="H1614" s="1" t="s">
        <v>16</v>
      </c>
      <c r="I1614" s="4" t="str">
        <f>"6"</f>
        <v>6</v>
      </c>
      <c r="J1614" s="2">
        <v>809.55</v>
      </c>
      <c r="K1614" s="3">
        <v>46177</v>
      </c>
      <c r="L1614" s="3">
        <v>46178</v>
      </c>
      <c r="M1614" s="1" t="s">
        <v>8459</v>
      </c>
      <c r="N1614" s="1" t="s">
        <v>8458</v>
      </c>
    </row>
    <row r="1615" spans="1:14" s="1" customFormat="1" x14ac:dyDescent="0.35">
      <c r="A1615" s="1" t="s">
        <v>5171</v>
      </c>
      <c r="B1615" s="1" t="s">
        <v>2891</v>
      </c>
      <c r="C1615" s="1" t="s">
        <v>8405</v>
      </c>
      <c r="D1615" s="1" t="s">
        <v>8461</v>
      </c>
      <c r="E1615" s="1" t="str">
        <f>"4030"</f>
        <v>4030</v>
      </c>
      <c r="F1615" s="1" t="str">
        <f>"003694043"</f>
        <v>003694043</v>
      </c>
      <c r="G1615" s="1" t="s">
        <v>8460</v>
      </c>
      <c r="H1615" s="1" t="s">
        <v>16</v>
      </c>
      <c r="I1615" s="4" t="str">
        <f>"6"</f>
        <v>6</v>
      </c>
      <c r="J1615" s="2">
        <v>809.55</v>
      </c>
      <c r="K1615" s="3">
        <v>46177</v>
      </c>
      <c r="L1615" s="3">
        <v>46178</v>
      </c>
      <c r="M1615" s="1" t="s">
        <v>8459</v>
      </c>
      <c r="N1615" s="1" t="s">
        <v>8458</v>
      </c>
    </row>
    <row r="1616" spans="1:14" s="1" customFormat="1" x14ac:dyDescent="0.35">
      <c r="A1616" s="1" t="s">
        <v>5171</v>
      </c>
      <c r="B1616" s="1" t="s">
        <v>2891</v>
      </c>
      <c r="C1616" s="1" t="s">
        <v>2911</v>
      </c>
      <c r="D1616" s="1" t="s">
        <v>8457</v>
      </c>
      <c r="E1616" s="1" t="str">
        <f>"5836"</f>
        <v>5836</v>
      </c>
      <c r="F1616" s="1" t="s">
        <v>8456</v>
      </c>
      <c r="G1616" s="1" t="s">
        <v>8455</v>
      </c>
      <c r="H1616" s="1" t="s">
        <v>16</v>
      </c>
      <c r="I1616" s="4" t="str">
        <f>"1"</f>
        <v>1</v>
      </c>
      <c r="J1616" s="2" t="str">
        <f>"2647"</f>
        <v>2647</v>
      </c>
      <c r="K1616" s="3">
        <v>46169</v>
      </c>
      <c r="L1616" s="3">
        <v>46179</v>
      </c>
      <c r="M1616" s="1" t="s">
        <v>8454</v>
      </c>
      <c r="N1616" s="1" t="s">
        <v>8453</v>
      </c>
    </row>
    <row r="1617" spans="1:14" s="1" customFormat="1" x14ac:dyDescent="0.35">
      <c r="A1617" s="1" t="s">
        <v>0</v>
      </c>
      <c r="B1617" s="1" t="s">
        <v>2891</v>
      </c>
      <c r="C1617" s="1" t="s">
        <v>8405</v>
      </c>
      <c r="D1617" s="1" t="s">
        <v>8452</v>
      </c>
      <c r="E1617" s="1" t="str">
        <f>"5445"</f>
        <v>5445</v>
      </c>
      <c r="F1617" s="1" t="str">
        <f>"997991297"</f>
        <v>997991297</v>
      </c>
      <c r="G1617" s="1" t="s">
        <v>8427</v>
      </c>
      <c r="H1617" s="1" t="s">
        <v>16</v>
      </c>
      <c r="I1617" s="4" t="str">
        <f>"1"</f>
        <v>1</v>
      </c>
      <c r="J1617" s="2" t="str">
        <f>"174850"</f>
        <v>174850</v>
      </c>
      <c r="K1617" s="3">
        <v>46182</v>
      </c>
      <c r="L1617" s="3">
        <v>46183</v>
      </c>
      <c r="M1617" s="1" t="s">
        <v>8426</v>
      </c>
      <c r="N1617" s="1" t="s">
        <v>8451</v>
      </c>
    </row>
    <row r="1618" spans="1:14" s="1" customFormat="1" x14ac:dyDescent="0.35">
      <c r="A1618" s="1" t="s">
        <v>5171</v>
      </c>
      <c r="B1618" s="1" t="s">
        <v>2891</v>
      </c>
      <c r="C1618" s="1" t="s">
        <v>2921</v>
      </c>
      <c r="D1618" s="1" t="s">
        <v>8450</v>
      </c>
      <c r="E1618" s="1" t="str">
        <f>"5180"</f>
        <v>5180</v>
      </c>
      <c r="F1618" s="1" t="str">
        <f>"016282375"</f>
        <v>016282375</v>
      </c>
      <c r="G1618" s="1" t="s">
        <v>2993</v>
      </c>
      <c r="H1618" s="1" t="s">
        <v>215</v>
      </c>
      <c r="I1618" s="4" t="str">
        <f>"4"</f>
        <v>4</v>
      </c>
      <c r="J1618" s="2" t="str">
        <f>"3655"</f>
        <v>3655</v>
      </c>
      <c r="K1618" s="3">
        <v>46182</v>
      </c>
      <c r="L1618" s="3">
        <v>46183</v>
      </c>
      <c r="M1618" s="1" t="s">
        <v>5167</v>
      </c>
      <c r="N1618" s="1" t="s">
        <v>2939</v>
      </c>
    </row>
    <row r="1619" spans="1:14" s="1" customFormat="1" x14ac:dyDescent="0.35">
      <c r="A1619" s="1" t="s">
        <v>5171</v>
      </c>
      <c r="B1619" s="1" t="s">
        <v>2891</v>
      </c>
      <c r="C1619" s="1" t="s">
        <v>8405</v>
      </c>
      <c r="D1619" s="1" t="s">
        <v>8449</v>
      </c>
      <c r="E1619" s="1" t="str">
        <f>"5180"</f>
        <v>5180</v>
      </c>
      <c r="F1619" s="1" t="str">
        <f>"016282375"</f>
        <v>016282375</v>
      </c>
      <c r="G1619" s="1" t="s">
        <v>2993</v>
      </c>
      <c r="H1619" s="1" t="s">
        <v>215</v>
      </c>
      <c r="I1619" s="4" t="str">
        <f>"1"</f>
        <v>1</v>
      </c>
      <c r="J1619" s="2" t="str">
        <f>"3655"</f>
        <v>3655</v>
      </c>
      <c r="K1619" s="3">
        <v>46182</v>
      </c>
      <c r="L1619" s="3">
        <v>46183</v>
      </c>
      <c r="M1619" s="1" t="s">
        <v>5167</v>
      </c>
      <c r="N1619" s="1" t="s">
        <v>8448</v>
      </c>
    </row>
    <row r="1620" spans="1:14" s="1" customFormat="1" x14ac:dyDescent="0.35">
      <c r="A1620" s="1" t="s">
        <v>5171</v>
      </c>
      <c r="B1620" s="1" t="s">
        <v>2891</v>
      </c>
      <c r="C1620" s="1" t="s">
        <v>3024</v>
      </c>
      <c r="D1620" s="1" t="s">
        <v>8447</v>
      </c>
      <c r="E1620" s="1" t="str">
        <f>"2320"</f>
        <v>2320</v>
      </c>
      <c r="F1620" s="1" t="str">
        <f>"014476343"</f>
        <v>014476343</v>
      </c>
      <c r="G1620" s="1" t="s">
        <v>271</v>
      </c>
      <c r="H1620" s="1" t="s">
        <v>16</v>
      </c>
      <c r="I1620" s="4" t="str">
        <f>"1"</f>
        <v>1</v>
      </c>
      <c r="J1620" s="2" t="str">
        <f>"176428"</f>
        <v>176428</v>
      </c>
      <c r="K1620" s="3">
        <v>46151</v>
      </c>
      <c r="L1620" s="3">
        <v>46184</v>
      </c>
      <c r="M1620" s="1" t="s">
        <v>8446</v>
      </c>
      <c r="N1620" s="1" t="s">
        <v>3028</v>
      </c>
    </row>
    <row r="1621" spans="1:14" s="1" customFormat="1" x14ac:dyDescent="0.35">
      <c r="A1621" s="1" t="s">
        <v>0</v>
      </c>
      <c r="B1621" s="1" t="s">
        <v>2891</v>
      </c>
      <c r="C1621" s="1" t="s">
        <v>8445</v>
      </c>
      <c r="D1621" s="1" t="s">
        <v>8444</v>
      </c>
      <c r="E1621" s="1" t="str">
        <f>"5445"</f>
        <v>5445</v>
      </c>
      <c r="F1621" s="1" t="str">
        <f>"997991297"</f>
        <v>997991297</v>
      </c>
      <c r="G1621" s="1" t="s">
        <v>8427</v>
      </c>
      <c r="H1621" s="1" t="s">
        <v>16</v>
      </c>
      <c r="I1621" s="4" t="str">
        <f>"1"</f>
        <v>1</v>
      </c>
      <c r="J1621" s="2" t="str">
        <f>"174850"</f>
        <v>174850</v>
      </c>
      <c r="K1621" s="3">
        <v>46185</v>
      </c>
      <c r="L1621" s="3">
        <v>46185</v>
      </c>
      <c r="M1621" s="1" t="s">
        <v>8426</v>
      </c>
      <c r="N1621" s="1" t="s">
        <v>8443</v>
      </c>
    </row>
    <row r="1622" spans="1:14" s="1" customFormat="1" x14ac:dyDescent="0.35">
      <c r="A1622" s="1" t="s">
        <v>5171</v>
      </c>
      <c r="B1622" s="1" t="s">
        <v>2891</v>
      </c>
      <c r="C1622" s="1" t="s">
        <v>8405</v>
      </c>
      <c r="D1622" s="1" t="s">
        <v>8442</v>
      </c>
      <c r="E1622" s="1" t="str">
        <f>"8340"</f>
        <v>8340</v>
      </c>
      <c r="F1622" s="1" t="s">
        <v>1135</v>
      </c>
      <c r="G1622" s="1" t="s">
        <v>1136</v>
      </c>
      <c r="H1622" s="1" t="s">
        <v>16</v>
      </c>
      <c r="I1622" s="4" t="str">
        <f>"2"</f>
        <v>2</v>
      </c>
      <c r="J1622" s="2" t="str">
        <f>"500"</f>
        <v>500</v>
      </c>
      <c r="K1622" s="3">
        <v>46182</v>
      </c>
      <c r="L1622" s="3">
        <v>46185</v>
      </c>
      <c r="M1622" s="1" t="s">
        <v>8441</v>
      </c>
      <c r="N1622" s="1" t="s">
        <v>8440</v>
      </c>
    </row>
    <row r="1623" spans="1:14" s="1" customFormat="1" x14ac:dyDescent="0.35">
      <c r="A1623" s="1" t="s">
        <v>5171</v>
      </c>
      <c r="B1623" s="1" t="s">
        <v>2891</v>
      </c>
      <c r="C1623" s="1" t="s">
        <v>2911</v>
      </c>
      <c r="D1623" s="1" t="s">
        <v>8439</v>
      </c>
      <c r="E1623" s="1" t="str">
        <f>"7025"</f>
        <v>7025</v>
      </c>
      <c r="F1623" s="1" t="s">
        <v>2495</v>
      </c>
      <c r="G1623" s="1" t="s">
        <v>2496</v>
      </c>
      <c r="H1623" s="1" t="s">
        <v>16</v>
      </c>
      <c r="I1623" s="4" t="str">
        <f>"5"</f>
        <v>5</v>
      </c>
      <c r="J1623" s="2" t="str">
        <f>"3920"</f>
        <v>3920</v>
      </c>
      <c r="K1623" s="3">
        <v>46180</v>
      </c>
      <c r="L1623" s="3">
        <v>46186</v>
      </c>
      <c r="M1623" s="1" t="s">
        <v>8438</v>
      </c>
      <c r="N1623" s="1" t="s">
        <v>8437</v>
      </c>
    </row>
    <row r="1624" spans="1:14" s="1" customFormat="1" x14ac:dyDescent="0.35">
      <c r="A1624" s="1" t="s">
        <v>5171</v>
      </c>
      <c r="B1624" s="1" t="s">
        <v>2891</v>
      </c>
      <c r="C1624" s="1" t="s">
        <v>3029</v>
      </c>
      <c r="D1624" s="1" t="s">
        <v>8436</v>
      </c>
      <c r="E1624" s="1" t="str">
        <f>"2330"</f>
        <v>2330</v>
      </c>
      <c r="F1624" s="1" t="s">
        <v>70</v>
      </c>
      <c r="G1624" s="1" t="s">
        <v>71</v>
      </c>
      <c r="H1624" s="1" t="s">
        <v>16</v>
      </c>
      <c r="I1624" s="4" t="str">
        <f>"1"</f>
        <v>1</v>
      </c>
      <c r="J1624" s="2" t="str">
        <f>"14555"</f>
        <v>14555</v>
      </c>
      <c r="K1624" s="3">
        <v>46179</v>
      </c>
      <c r="L1624" s="3">
        <v>46186</v>
      </c>
      <c r="M1624" s="1" t="s">
        <v>8435</v>
      </c>
      <c r="N1624" s="1" t="s">
        <v>8434</v>
      </c>
    </row>
    <row r="1625" spans="1:14" s="1" customFormat="1" x14ac:dyDescent="0.35">
      <c r="A1625" s="1" t="s">
        <v>5171</v>
      </c>
      <c r="B1625" s="1" t="s">
        <v>2891</v>
      </c>
      <c r="C1625" s="1" t="s">
        <v>8405</v>
      </c>
      <c r="D1625" s="1" t="s">
        <v>8433</v>
      </c>
      <c r="E1625" s="1" t="str">
        <f>"5855"</f>
        <v>5855</v>
      </c>
      <c r="F1625" s="1" t="str">
        <f>"015777174"</f>
        <v>015777174</v>
      </c>
      <c r="G1625" s="1" t="s">
        <v>1366</v>
      </c>
      <c r="H1625" s="1" t="s">
        <v>16</v>
      </c>
      <c r="I1625" s="4" t="str">
        <f>"30"</f>
        <v>30</v>
      </c>
      <c r="J1625" s="2" t="str">
        <f>"1791"</f>
        <v>1791</v>
      </c>
      <c r="K1625" s="3">
        <v>46185</v>
      </c>
      <c r="L1625" s="3">
        <v>46187</v>
      </c>
      <c r="M1625" s="1" t="s">
        <v>5167</v>
      </c>
      <c r="N1625" s="1" t="s">
        <v>8432</v>
      </c>
    </row>
    <row r="1626" spans="1:14" s="1" customFormat="1" x14ac:dyDescent="0.35">
      <c r="A1626" s="1" t="s">
        <v>0</v>
      </c>
      <c r="B1626" s="1" t="s">
        <v>2891</v>
      </c>
      <c r="C1626" s="1" t="s">
        <v>8431</v>
      </c>
      <c r="D1626" s="1" t="s">
        <v>8430</v>
      </c>
      <c r="E1626" s="1" t="str">
        <f>"1240"</f>
        <v>1240</v>
      </c>
      <c r="F1626" s="1" t="str">
        <f>"014111265"</f>
        <v>014111265</v>
      </c>
      <c r="G1626" s="1" t="s">
        <v>1103</v>
      </c>
      <c r="H1626" s="1" t="s">
        <v>16</v>
      </c>
      <c r="I1626" s="4" t="str">
        <f>"20"</f>
        <v>20</v>
      </c>
      <c r="J1626" s="2" t="str">
        <f>"339"</f>
        <v>339</v>
      </c>
      <c r="K1626" s="3">
        <v>46188</v>
      </c>
      <c r="L1626" s="3">
        <v>46188</v>
      </c>
      <c r="M1626" s="1" t="s">
        <v>8426</v>
      </c>
      <c r="N1626" s="1" t="s">
        <v>8429</v>
      </c>
    </row>
    <row r="1627" spans="1:14" s="1" customFormat="1" x14ac:dyDescent="0.35">
      <c r="A1627" s="1" t="s">
        <v>0</v>
      </c>
      <c r="B1627" s="1" t="s">
        <v>2891</v>
      </c>
      <c r="C1627" s="1" t="s">
        <v>8416</v>
      </c>
      <c r="D1627" s="1" t="s">
        <v>8428</v>
      </c>
      <c r="E1627" s="1" t="str">
        <f>"5445"</f>
        <v>5445</v>
      </c>
      <c r="F1627" s="1" t="str">
        <f>"997991297"</f>
        <v>997991297</v>
      </c>
      <c r="G1627" s="1" t="s">
        <v>8427</v>
      </c>
      <c r="H1627" s="1" t="s">
        <v>16</v>
      </c>
      <c r="I1627" s="4" t="str">
        <f>"1"</f>
        <v>1</v>
      </c>
      <c r="J1627" s="2" t="str">
        <f>"174850"</f>
        <v>174850</v>
      </c>
      <c r="K1627" s="3">
        <v>46188</v>
      </c>
      <c r="L1627" s="3">
        <v>46189</v>
      </c>
      <c r="M1627" s="1" t="s">
        <v>8426</v>
      </c>
      <c r="N1627" s="1" t="s">
        <v>8425</v>
      </c>
    </row>
    <row r="1628" spans="1:14" s="1" customFormat="1" x14ac:dyDescent="0.35">
      <c r="A1628" s="1" t="s">
        <v>0</v>
      </c>
      <c r="B1628" s="1" t="s">
        <v>2891</v>
      </c>
      <c r="C1628" s="1" t="s">
        <v>3011</v>
      </c>
      <c r="D1628" s="1" t="s">
        <v>8424</v>
      </c>
      <c r="E1628" s="1" t="str">
        <f>"2320"</f>
        <v>2320</v>
      </c>
      <c r="F1628" s="1" t="str">
        <f>"014474938"</f>
        <v>014474938</v>
      </c>
      <c r="G1628" s="1" t="s">
        <v>360</v>
      </c>
      <c r="H1628" s="1" t="s">
        <v>16</v>
      </c>
      <c r="I1628" s="4" t="str">
        <f>"1"</f>
        <v>1</v>
      </c>
      <c r="J1628" s="2" t="str">
        <f>"230363"</f>
        <v>230363</v>
      </c>
      <c r="K1628" s="3">
        <v>46190</v>
      </c>
      <c r="L1628" s="3">
        <v>46190</v>
      </c>
      <c r="M1628" s="1" t="s">
        <v>8421</v>
      </c>
      <c r="N1628" s="1" t="s">
        <v>8423</v>
      </c>
    </row>
    <row r="1629" spans="1:14" s="1" customFormat="1" x14ac:dyDescent="0.35">
      <c r="A1629" s="1" t="s">
        <v>0</v>
      </c>
      <c r="B1629" s="1" t="s">
        <v>2891</v>
      </c>
      <c r="C1629" s="1" t="s">
        <v>3011</v>
      </c>
      <c r="D1629" s="1" t="s">
        <v>8422</v>
      </c>
      <c r="E1629" s="1" t="str">
        <f>"2320"</f>
        <v>2320</v>
      </c>
      <c r="F1629" s="1" t="str">
        <f>"014476343"</f>
        <v>014476343</v>
      </c>
      <c r="G1629" s="1" t="s">
        <v>271</v>
      </c>
      <c r="H1629" s="1" t="s">
        <v>16</v>
      </c>
      <c r="I1629" s="4" t="str">
        <f>"1"</f>
        <v>1</v>
      </c>
      <c r="J1629" s="2" t="str">
        <f>"176428"</f>
        <v>176428</v>
      </c>
      <c r="K1629" s="3">
        <v>46190</v>
      </c>
      <c r="L1629" s="3">
        <v>46190</v>
      </c>
      <c r="M1629" s="1" t="s">
        <v>8421</v>
      </c>
      <c r="N1629" s="1" t="s">
        <v>8420</v>
      </c>
    </row>
    <row r="1630" spans="1:14" s="1" customFormat="1" x14ac:dyDescent="0.35">
      <c r="A1630" s="1" t="s">
        <v>5171</v>
      </c>
      <c r="B1630" s="1" t="s">
        <v>2891</v>
      </c>
      <c r="C1630" s="1" t="s">
        <v>2911</v>
      </c>
      <c r="D1630" s="1" t="s">
        <v>8419</v>
      </c>
      <c r="E1630" s="1" t="str">
        <f>"5130"</f>
        <v>5130</v>
      </c>
      <c r="F1630" s="1" t="s">
        <v>744</v>
      </c>
      <c r="G1630" s="1" t="s">
        <v>745</v>
      </c>
      <c r="H1630" s="1" t="s">
        <v>16</v>
      </c>
      <c r="I1630" s="4" t="str">
        <f>"1"</f>
        <v>1</v>
      </c>
      <c r="J1630" s="2" t="str">
        <f>"1399"</f>
        <v>1399</v>
      </c>
      <c r="K1630" s="3">
        <v>46188</v>
      </c>
      <c r="L1630" s="3">
        <v>46191</v>
      </c>
      <c r="M1630" s="1" t="s">
        <v>8418</v>
      </c>
      <c r="N1630" s="1" t="s">
        <v>8417</v>
      </c>
    </row>
    <row r="1631" spans="1:14" s="1" customFormat="1" x14ac:dyDescent="0.35">
      <c r="A1631" s="1" t="s">
        <v>5171</v>
      </c>
      <c r="B1631" s="1" t="s">
        <v>2891</v>
      </c>
      <c r="C1631" s="1" t="s">
        <v>8416</v>
      </c>
      <c r="D1631" s="1" t="s">
        <v>8415</v>
      </c>
      <c r="E1631" s="1" t="str">
        <f>"3990"</f>
        <v>3990</v>
      </c>
      <c r="F1631" s="1" t="str">
        <f>"016884520"</f>
        <v>016884520</v>
      </c>
      <c r="G1631" s="1" t="s">
        <v>7466</v>
      </c>
      <c r="H1631" s="1" t="s">
        <v>16</v>
      </c>
      <c r="I1631" s="4" t="str">
        <f>"10"</f>
        <v>10</v>
      </c>
      <c r="J1631" s="2">
        <v>22.24</v>
      </c>
      <c r="K1631" s="3">
        <v>46188</v>
      </c>
      <c r="L1631" s="3">
        <v>46192</v>
      </c>
      <c r="M1631" s="1" t="s">
        <v>8414</v>
      </c>
      <c r="N1631" s="1" t="s">
        <v>8413</v>
      </c>
    </row>
    <row r="1632" spans="1:14" s="1" customFormat="1" x14ac:dyDescent="0.35">
      <c r="A1632" s="1" t="s">
        <v>5171</v>
      </c>
      <c r="B1632" s="1" t="s">
        <v>2891</v>
      </c>
      <c r="C1632" s="1" t="s">
        <v>3024</v>
      </c>
      <c r="D1632" s="1" t="s">
        <v>8412</v>
      </c>
      <c r="E1632" s="1" t="str">
        <f>"2320"</f>
        <v>2320</v>
      </c>
      <c r="F1632" s="1" t="str">
        <f>"014476343"</f>
        <v>014476343</v>
      </c>
      <c r="G1632" s="1" t="s">
        <v>271</v>
      </c>
      <c r="H1632" s="1" t="s">
        <v>16</v>
      </c>
      <c r="I1632" s="4" t="str">
        <f>"1"</f>
        <v>1</v>
      </c>
      <c r="J1632" s="2" t="str">
        <f>"176428"</f>
        <v>176428</v>
      </c>
      <c r="K1632" s="3">
        <v>46137</v>
      </c>
      <c r="L1632" s="3">
        <v>46196</v>
      </c>
      <c r="M1632" s="1" t="s">
        <v>8411</v>
      </c>
      <c r="N1632" s="1" t="s">
        <v>3026</v>
      </c>
    </row>
    <row r="1633" spans="1:14" s="1" customFormat="1" x14ac:dyDescent="0.35">
      <c r="A1633" s="1" t="s">
        <v>5171</v>
      </c>
      <c r="B1633" s="1" t="s">
        <v>2891</v>
      </c>
      <c r="C1633" s="1" t="s">
        <v>2898</v>
      </c>
      <c r="D1633" s="1" t="s">
        <v>8410</v>
      </c>
      <c r="E1633" s="1" t="str">
        <f>"5180"</f>
        <v>5180</v>
      </c>
      <c r="F1633" s="1" t="str">
        <f>"016282371"</f>
        <v>016282371</v>
      </c>
      <c r="G1633" s="1" t="s">
        <v>2993</v>
      </c>
      <c r="H1633" s="1" t="s">
        <v>215</v>
      </c>
      <c r="I1633" s="4" t="str">
        <f>"2"</f>
        <v>2</v>
      </c>
      <c r="J1633" s="2" t="str">
        <f>"4963"</f>
        <v>4963</v>
      </c>
      <c r="K1633" s="3">
        <v>46194</v>
      </c>
      <c r="L1633" s="3">
        <v>46197</v>
      </c>
      <c r="M1633" s="1" t="s">
        <v>5167</v>
      </c>
      <c r="N1633" s="1" t="s">
        <v>8409</v>
      </c>
    </row>
    <row r="1634" spans="1:14" s="1" customFormat="1" x14ac:dyDescent="0.35">
      <c r="A1634" s="1" t="s">
        <v>0</v>
      </c>
      <c r="B1634" s="1" t="s">
        <v>2891</v>
      </c>
      <c r="C1634" s="1" t="s">
        <v>8405</v>
      </c>
      <c r="D1634" s="1" t="s">
        <v>8408</v>
      </c>
      <c r="E1634" s="1" t="str">
        <f>"6760"</f>
        <v>6760</v>
      </c>
      <c r="F1634" s="1" t="s">
        <v>5456</v>
      </c>
      <c r="G1634" s="1" t="s">
        <v>5455</v>
      </c>
      <c r="H1634" s="1" t="s">
        <v>16</v>
      </c>
      <c r="I1634" s="4" t="str">
        <f>"5"</f>
        <v>5</v>
      </c>
      <c r="J1634" s="2">
        <v>596.95000000000005</v>
      </c>
      <c r="K1634" s="3">
        <v>46197</v>
      </c>
      <c r="L1634" s="3">
        <v>46198</v>
      </c>
      <c r="M1634" s="1" t="s">
        <v>8407</v>
      </c>
      <c r="N1634" s="1" t="s">
        <v>8406</v>
      </c>
    </row>
    <row r="1635" spans="1:14" s="1" customFormat="1" x14ac:dyDescent="0.35">
      <c r="A1635" s="1" t="s">
        <v>5171</v>
      </c>
      <c r="B1635" s="1" t="s">
        <v>2891</v>
      </c>
      <c r="C1635" s="1" t="s">
        <v>8405</v>
      </c>
      <c r="D1635" s="1" t="s">
        <v>8404</v>
      </c>
      <c r="E1635" s="1" t="str">
        <f>"6720"</f>
        <v>6720</v>
      </c>
      <c r="F1635" s="1" t="s">
        <v>2250</v>
      </c>
      <c r="G1635" s="1" t="s">
        <v>2251</v>
      </c>
      <c r="H1635" s="1" t="s">
        <v>16</v>
      </c>
      <c r="I1635" s="4" t="str">
        <f>"5"</f>
        <v>5</v>
      </c>
      <c r="J1635" s="2" t="str">
        <f>"2850"</f>
        <v>2850</v>
      </c>
      <c r="K1635" s="3">
        <v>46191</v>
      </c>
      <c r="L1635" s="3">
        <v>46200</v>
      </c>
      <c r="M1635" s="1" t="s">
        <v>8403</v>
      </c>
      <c r="N1635" s="1" t="s">
        <v>8402</v>
      </c>
    </row>
    <row r="1636" spans="1:14" s="1" customFormat="1" x14ac:dyDescent="0.35">
      <c r="A1636" s="1" t="s">
        <v>5171</v>
      </c>
      <c r="B1636" s="1" t="s">
        <v>2891</v>
      </c>
      <c r="C1636" s="1" t="s">
        <v>3029</v>
      </c>
      <c r="D1636" s="1" t="s">
        <v>8401</v>
      </c>
      <c r="E1636" s="1" t="str">
        <f>"2330"</f>
        <v>2330</v>
      </c>
      <c r="F1636" s="1" t="s">
        <v>70</v>
      </c>
      <c r="G1636" s="1" t="s">
        <v>71</v>
      </c>
      <c r="H1636" s="1" t="s">
        <v>16</v>
      </c>
      <c r="I1636" s="4" t="str">
        <f>"1"</f>
        <v>1</v>
      </c>
      <c r="J1636" s="2" t="str">
        <f>"26680"</f>
        <v>26680</v>
      </c>
      <c r="K1636" s="3">
        <v>46186</v>
      </c>
      <c r="L1636" s="3">
        <v>46200</v>
      </c>
      <c r="M1636" s="1" t="s">
        <v>8400</v>
      </c>
      <c r="N1636" s="1" t="s">
        <v>8399</v>
      </c>
    </row>
    <row r="1637" spans="1:14" s="1" customFormat="1" x14ac:dyDescent="0.35">
      <c r="A1637" s="1" t="s">
        <v>0</v>
      </c>
      <c r="B1637" s="1" t="s">
        <v>2891</v>
      </c>
      <c r="C1637" s="1" t="s">
        <v>8398</v>
      </c>
      <c r="D1637" s="1" t="s">
        <v>8397</v>
      </c>
      <c r="E1637" s="1" t="str">
        <f>"2320"</f>
        <v>2320</v>
      </c>
      <c r="F1637" s="1" t="str">
        <f>"015377753"</f>
        <v>015377753</v>
      </c>
      <c r="G1637" s="1" t="s">
        <v>370</v>
      </c>
      <c r="H1637" s="1" t="s">
        <v>16</v>
      </c>
      <c r="I1637" s="4" t="str">
        <f>"1"</f>
        <v>1</v>
      </c>
      <c r="J1637" s="2" t="str">
        <f>"119900"</f>
        <v>119900</v>
      </c>
      <c r="K1637" s="3">
        <v>46199</v>
      </c>
      <c r="L1637" s="3">
        <v>46202</v>
      </c>
      <c r="M1637" s="1" t="s">
        <v>8396</v>
      </c>
      <c r="N1637" s="1" t="s">
        <v>8395</v>
      </c>
    </row>
    <row r="1638" spans="1:14" s="1" customFormat="1" x14ac:dyDescent="0.35">
      <c r="A1638" s="1" t="s">
        <v>5171</v>
      </c>
      <c r="B1638" s="1" t="s">
        <v>2891</v>
      </c>
      <c r="C1638" s="1" t="s">
        <v>2911</v>
      </c>
      <c r="D1638" s="1" t="s">
        <v>8394</v>
      </c>
      <c r="E1638" s="1" t="str">
        <f>"8465"</f>
        <v>8465</v>
      </c>
      <c r="F1638" s="1" t="str">
        <f>"015245250"</f>
        <v>015245250</v>
      </c>
      <c r="G1638" s="1" t="s">
        <v>529</v>
      </c>
      <c r="H1638" s="1" t="s">
        <v>16</v>
      </c>
      <c r="I1638" s="4" t="str">
        <f>"85"</f>
        <v>85</v>
      </c>
      <c r="J1638" s="2">
        <v>75.150000000000006</v>
      </c>
      <c r="K1638" s="3">
        <v>46147</v>
      </c>
      <c r="L1638" s="3">
        <v>46202</v>
      </c>
      <c r="M1638" s="1" t="s">
        <v>8393</v>
      </c>
      <c r="N1638" s="1" t="s">
        <v>8392</v>
      </c>
    </row>
    <row r="1639" spans="1:14" s="1" customFormat="1" x14ac:dyDescent="0.35">
      <c r="A1639" s="1" t="s">
        <v>5171</v>
      </c>
      <c r="B1639" s="1" t="s">
        <v>3043</v>
      </c>
      <c r="C1639" s="1" t="s">
        <v>3073</v>
      </c>
      <c r="D1639" s="1" t="s">
        <v>8391</v>
      </c>
      <c r="E1639" s="1" t="str">
        <f>"8145"</f>
        <v>8145</v>
      </c>
      <c r="F1639" s="1" t="s">
        <v>1879</v>
      </c>
      <c r="G1639" s="1" t="s">
        <v>1880</v>
      </c>
      <c r="H1639" s="1" t="s">
        <v>16</v>
      </c>
      <c r="I1639" s="4" t="str">
        <f>"5"</f>
        <v>5</v>
      </c>
      <c r="J1639" s="2" t="str">
        <f>"95"</f>
        <v>95</v>
      </c>
      <c r="K1639" s="3">
        <v>46113</v>
      </c>
      <c r="L1639" s="3">
        <v>46114</v>
      </c>
      <c r="M1639" s="1" t="s">
        <v>5167</v>
      </c>
      <c r="N1639" s="1" t="s">
        <v>8390</v>
      </c>
    </row>
    <row r="1640" spans="1:14" s="1" customFormat="1" x14ac:dyDescent="0.35">
      <c r="A1640" s="1" t="s">
        <v>5171</v>
      </c>
      <c r="B1640" s="1" t="s">
        <v>3043</v>
      </c>
      <c r="C1640" s="1" t="s">
        <v>3073</v>
      </c>
      <c r="D1640" s="1" t="s">
        <v>8389</v>
      </c>
      <c r="E1640" s="1" t="str">
        <f>"7240"</f>
        <v>7240</v>
      </c>
      <c r="F1640" s="1" t="s">
        <v>8388</v>
      </c>
      <c r="G1640" s="1" t="s">
        <v>8387</v>
      </c>
      <c r="H1640" s="1" t="s">
        <v>16</v>
      </c>
      <c r="I1640" s="4" t="str">
        <f>"15"</f>
        <v>15</v>
      </c>
      <c r="J1640" s="2" t="str">
        <f>"100"</f>
        <v>100</v>
      </c>
      <c r="K1640" s="3">
        <v>46113</v>
      </c>
      <c r="L1640" s="3">
        <v>46114</v>
      </c>
      <c r="M1640" s="1" t="s">
        <v>5167</v>
      </c>
      <c r="N1640" s="1" t="s">
        <v>8386</v>
      </c>
    </row>
    <row r="1641" spans="1:14" s="1" customFormat="1" x14ac:dyDescent="0.35">
      <c r="A1641" s="1" t="s">
        <v>5171</v>
      </c>
      <c r="B1641" s="1" t="s">
        <v>3043</v>
      </c>
      <c r="C1641" s="1" t="s">
        <v>3073</v>
      </c>
      <c r="D1641" s="1" t="s">
        <v>8385</v>
      </c>
      <c r="E1641" s="1" t="str">
        <f>"5965"</f>
        <v>5965</v>
      </c>
      <c r="F1641" s="1" t="s">
        <v>3122</v>
      </c>
      <c r="G1641" s="1" t="s">
        <v>3123</v>
      </c>
      <c r="H1641" s="1" t="s">
        <v>311</v>
      </c>
      <c r="I1641" s="4" t="str">
        <f>"1"</f>
        <v>1</v>
      </c>
      <c r="J1641" s="2" t="str">
        <f>"1000"</f>
        <v>1000</v>
      </c>
      <c r="K1641" s="3">
        <v>46113</v>
      </c>
      <c r="L1641" s="3">
        <v>46114</v>
      </c>
      <c r="M1641" s="1" t="s">
        <v>5167</v>
      </c>
      <c r="N1641" s="1" t="s">
        <v>3124</v>
      </c>
    </row>
    <row r="1642" spans="1:14" s="1" customFormat="1" x14ac:dyDescent="0.35">
      <c r="A1642" s="1" t="s">
        <v>5171</v>
      </c>
      <c r="B1642" s="1" t="s">
        <v>3043</v>
      </c>
      <c r="C1642" s="1" t="s">
        <v>3073</v>
      </c>
      <c r="D1642" s="1" t="s">
        <v>8384</v>
      </c>
      <c r="E1642" s="1" t="str">
        <f>"6115"</f>
        <v>6115</v>
      </c>
      <c r="F1642" s="1" t="s">
        <v>1106</v>
      </c>
      <c r="G1642" s="1" t="s">
        <v>1107</v>
      </c>
      <c r="H1642" s="1" t="s">
        <v>16</v>
      </c>
      <c r="I1642" s="4" t="str">
        <f>"1"</f>
        <v>1</v>
      </c>
      <c r="J1642" s="2" t="str">
        <f>"1990"</f>
        <v>1990</v>
      </c>
      <c r="K1642" s="3">
        <v>46112</v>
      </c>
      <c r="L1642" s="3">
        <v>46115</v>
      </c>
      <c r="M1642" s="1" t="s">
        <v>8383</v>
      </c>
      <c r="N1642" s="1" t="s">
        <v>8382</v>
      </c>
    </row>
    <row r="1643" spans="1:14" s="1" customFormat="1" x14ac:dyDescent="0.35">
      <c r="A1643" s="1" t="s">
        <v>5230</v>
      </c>
      <c r="B1643" s="1" t="s">
        <v>3043</v>
      </c>
      <c r="C1643" s="1" t="s">
        <v>8381</v>
      </c>
      <c r="D1643" s="1" t="s">
        <v>8380</v>
      </c>
      <c r="E1643" s="1" t="str">
        <f>"2320"</f>
        <v>2320</v>
      </c>
      <c r="F1643" s="1" t="str">
        <f>"014559593"</f>
        <v>014559593</v>
      </c>
      <c r="G1643" s="1" t="s">
        <v>414</v>
      </c>
      <c r="H1643" s="1" t="s">
        <v>16</v>
      </c>
      <c r="I1643" s="4" t="str">
        <f>"1"</f>
        <v>1</v>
      </c>
      <c r="J1643" s="2" t="str">
        <f>"60409"</f>
        <v>60409</v>
      </c>
      <c r="K1643" s="3">
        <v>46118</v>
      </c>
      <c r="L1643" s="3">
        <v>46119</v>
      </c>
      <c r="N1643" s="1" t="s">
        <v>8379</v>
      </c>
    </row>
    <row r="1644" spans="1:14" s="1" customFormat="1" x14ac:dyDescent="0.35">
      <c r="A1644" s="1" t="s">
        <v>5171</v>
      </c>
      <c r="B1644" s="1" t="s">
        <v>3043</v>
      </c>
      <c r="C1644" s="1" t="s">
        <v>3073</v>
      </c>
      <c r="D1644" s="1" t="s">
        <v>8378</v>
      </c>
      <c r="E1644" s="1" t="str">
        <f>"5130"</f>
        <v>5130</v>
      </c>
      <c r="F1644" s="1" t="s">
        <v>8359</v>
      </c>
      <c r="G1644" s="1" t="s">
        <v>8358</v>
      </c>
      <c r="H1644" s="1" t="s">
        <v>16</v>
      </c>
      <c r="I1644" s="4" t="str">
        <f>"1"</f>
        <v>1</v>
      </c>
      <c r="J1644" s="2">
        <v>489.02</v>
      </c>
      <c r="K1644" s="3">
        <v>46117</v>
      </c>
      <c r="L1644" s="3">
        <v>46119</v>
      </c>
      <c r="M1644" s="1" t="s">
        <v>8377</v>
      </c>
      <c r="N1644" s="1" t="s">
        <v>8354</v>
      </c>
    </row>
    <row r="1645" spans="1:14" s="1" customFormat="1" x14ac:dyDescent="0.35">
      <c r="A1645" s="1" t="s">
        <v>5171</v>
      </c>
      <c r="B1645" s="1" t="s">
        <v>3043</v>
      </c>
      <c r="C1645" s="1" t="s">
        <v>3073</v>
      </c>
      <c r="D1645" s="1" t="s">
        <v>8378</v>
      </c>
      <c r="E1645" s="1" t="str">
        <f>"5130"</f>
        <v>5130</v>
      </c>
      <c r="F1645" s="1" t="s">
        <v>8359</v>
      </c>
      <c r="G1645" s="1" t="s">
        <v>8358</v>
      </c>
      <c r="H1645" s="1" t="s">
        <v>16</v>
      </c>
      <c r="I1645" s="4" t="str">
        <f>"1"</f>
        <v>1</v>
      </c>
      <c r="J1645" s="2">
        <v>489.02</v>
      </c>
      <c r="K1645" s="3">
        <v>46117</v>
      </c>
      <c r="L1645" s="3">
        <v>46119</v>
      </c>
      <c r="M1645" s="1" t="s">
        <v>8377</v>
      </c>
      <c r="N1645" s="1" t="s">
        <v>8354</v>
      </c>
    </row>
    <row r="1646" spans="1:14" s="1" customFormat="1" x14ac:dyDescent="0.35">
      <c r="A1646" s="1" t="s">
        <v>5171</v>
      </c>
      <c r="B1646" s="1" t="s">
        <v>3043</v>
      </c>
      <c r="C1646" s="1" t="s">
        <v>3073</v>
      </c>
      <c r="D1646" s="1" t="s">
        <v>8376</v>
      </c>
      <c r="E1646" s="1" t="str">
        <f>"4140"</f>
        <v>4140</v>
      </c>
      <c r="F1646" s="1" t="s">
        <v>1013</v>
      </c>
      <c r="G1646" s="1" t="s">
        <v>1014</v>
      </c>
      <c r="H1646" s="1" t="s">
        <v>16</v>
      </c>
      <c r="I1646" s="4" t="str">
        <f>"1"</f>
        <v>1</v>
      </c>
      <c r="J1646" s="2" t="str">
        <f>"400"</f>
        <v>400</v>
      </c>
      <c r="K1646" s="3">
        <v>46117</v>
      </c>
      <c r="L1646" s="3">
        <v>46119</v>
      </c>
      <c r="M1646" s="1" t="s">
        <v>8375</v>
      </c>
      <c r="N1646" s="1" t="s">
        <v>8374</v>
      </c>
    </row>
    <row r="1647" spans="1:14" s="1" customFormat="1" x14ac:dyDescent="0.35">
      <c r="A1647" s="1" t="s">
        <v>5171</v>
      </c>
      <c r="B1647" s="1" t="s">
        <v>3043</v>
      </c>
      <c r="C1647" s="1" t="s">
        <v>3073</v>
      </c>
      <c r="D1647" s="1" t="s">
        <v>8376</v>
      </c>
      <c r="E1647" s="1" t="str">
        <f>"4140"</f>
        <v>4140</v>
      </c>
      <c r="F1647" s="1" t="s">
        <v>1013</v>
      </c>
      <c r="G1647" s="1" t="s">
        <v>1014</v>
      </c>
      <c r="H1647" s="1" t="s">
        <v>16</v>
      </c>
      <c r="I1647" s="4" t="str">
        <f>"1"</f>
        <v>1</v>
      </c>
      <c r="J1647" s="2" t="str">
        <f>"400"</f>
        <v>400</v>
      </c>
      <c r="K1647" s="3">
        <v>46117</v>
      </c>
      <c r="L1647" s="3">
        <v>46119</v>
      </c>
      <c r="M1647" s="1" t="s">
        <v>8375</v>
      </c>
      <c r="N1647" s="1" t="s">
        <v>8374</v>
      </c>
    </row>
    <row r="1648" spans="1:14" s="1" customFormat="1" x14ac:dyDescent="0.35">
      <c r="A1648" s="1" t="s">
        <v>5171</v>
      </c>
      <c r="B1648" s="1" t="s">
        <v>3043</v>
      </c>
      <c r="C1648" s="1" t="s">
        <v>3073</v>
      </c>
      <c r="D1648" s="1" t="s">
        <v>8373</v>
      </c>
      <c r="E1648" s="1" t="str">
        <f>"5130"</f>
        <v>5130</v>
      </c>
      <c r="F1648" s="1" t="s">
        <v>8372</v>
      </c>
      <c r="G1648" s="1" t="s">
        <v>8371</v>
      </c>
      <c r="H1648" s="1" t="s">
        <v>16</v>
      </c>
      <c r="I1648" s="4" t="str">
        <f>"1"</f>
        <v>1</v>
      </c>
      <c r="J1648" s="2" t="str">
        <f>"500"</f>
        <v>500</v>
      </c>
      <c r="K1648" s="3">
        <v>46117</v>
      </c>
      <c r="L1648" s="3">
        <v>46119</v>
      </c>
      <c r="M1648" s="1" t="s">
        <v>8370</v>
      </c>
      <c r="N1648" s="1" t="s">
        <v>8369</v>
      </c>
    </row>
    <row r="1649" spans="1:14" s="1" customFormat="1" x14ac:dyDescent="0.35">
      <c r="A1649" s="1" t="s">
        <v>5171</v>
      </c>
      <c r="B1649" s="1" t="s">
        <v>3043</v>
      </c>
      <c r="C1649" s="1" t="s">
        <v>3073</v>
      </c>
      <c r="D1649" s="1" t="s">
        <v>8373</v>
      </c>
      <c r="E1649" s="1" t="str">
        <f>"5130"</f>
        <v>5130</v>
      </c>
      <c r="F1649" s="1" t="s">
        <v>8372</v>
      </c>
      <c r="G1649" s="1" t="s">
        <v>8371</v>
      </c>
      <c r="H1649" s="1" t="s">
        <v>16</v>
      </c>
      <c r="I1649" s="4" t="str">
        <f>"1"</f>
        <v>1</v>
      </c>
      <c r="J1649" s="2" t="str">
        <f>"500"</f>
        <v>500</v>
      </c>
      <c r="K1649" s="3">
        <v>46117</v>
      </c>
      <c r="L1649" s="3">
        <v>46119</v>
      </c>
      <c r="M1649" s="1" t="s">
        <v>8370</v>
      </c>
      <c r="N1649" s="1" t="s">
        <v>8369</v>
      </c>
    </row>
    <row r="1650" spans="1:14" s="1" customFormat="1" x14ac:dyDescent="0.35">
      <c r="A1650" s="1" t="s">
        <v>5171</v>
      </c>
      <c r="B1650" s="1" t="s">
        <v>3043</v>
      </c>
      <c r="C1650" s="1" t="s">
        <v>3073</v>
      </c>
      <c r="D1650" s="1" t="s">
        <v>8368</v>
      </c>
      <c r="E1650" s="1" t="str">
        <f>"5130"</f>
        <v>5130</v>
      </c>
      <c r="F1650" s="1" t="s">
        <v>8359</v>
      </c>
      <c r="G1650" s="1" t="s">
        <v>8358</v>
      </c>
      <c r="H1650" s="1" t="s">
        <v>16</v>
      </c>
      <c r="I1650" s="4" t="str">
        <f>"1"</f>
        <v>1</v>
      </c>
      <c r="J1650" s="2" t="str">
        <f>"50"</f>
        <v>50</v>
      </c>
      <c r="K1650" s="3">
        <v>46117</v>
      </c>
      <c r="L1650" s="3">
        <v>46119</v>
      </c>
      <c r="M1650" s="1" t="s">
        <v>8367</v>
      </c>
      <c r="N1650" s="1" t="s">
        <v>8354</v>
      </c>
    </row>
    <row r="1651" spans="1:14" s="1" customFormat="1" x14ac:dyDescent="0.35">
      <c r="A1651" s="1" t="s">
        <v>5171</v>
      </c>
      <c r="B1651" s="1" t="s">
        <v>3043</v>
      </c>
      <c r="C1651" s="1" t="s">
        <v>3073</v>
      </c>
      <c r="D1651" s="1" t="s">
        <v>8368</v>
      </c>
      <c r="E1651" s="1" t="str">
        <f>"5130"</f>
        <v>5130</v>
      </c>
      <c r="F1651" s="1" t="s">
        <v>8359</v>
      </c>
      <c r="G1651" s="1" t="s">
        <v>8358</v>
      </c>
      <c r="H1651" s="1" t="s">
        <v>16</v>
      </c>
      <c r="I1651" s="4" t="str">
        <f>"1"</f>
        <v>1</v>
      </c>
      <c r="J1651" s="2" t="str">
        <f>"50"</f>
        <v>50</v>
      </c>
      <c r="K1651" s="3">
        <v>46117</v>
      </c>
      <c r="L1651" s="3">
        <v>46119</v>
      </c>
      <c r="M1651" s="1" t="s">
        <v>8367</v>
      </c>
      <c r="N1651" s="1" t="s">
        <v>8354</v>
      </c>
    </row>
    <row r="1652" spans="1:14" s="1" customFormat="1" x14ac:dyDescent="0.35">
      <c r="A1652" s="1" t="s">
        <v>5171</v>
      </c>
      <c r="B1652" s="1" t="s">
        <v>3043</v>
      </c>
      <c r="C1652" s="1" t="s">
        <v>3073</v>
      </c>
      <c r="D1652" s="1" t="s">
        <v>8366</v>
      </c>
      <c r="E1652" s="1" t="str">
        <f>"5130"</f>
        <v>5130</v>
      </c>
      <c r="F1652" s="1" t="s">
        <v>8359</v>
      </c>
      <c r="G1652" s="1" t="s">
        <v>8358</v>
      </c>
      <c r="H1652" s="1" t="s">
        <v>16</v>
      </c>
      <c r="I1652" s="4" t="str">
        <f>"1"</f>
        <v>1</v>
      </c>
      <c r="J1652" s="2" t="str">
        <f>"100"</f>
        <v>100</v>
      </c>
      <c r="K1652" s="3">
        <v>46117</v>
      </c>
      <c r="L1652" s="3">
        <v>46119</v>
      </c>
      <c r="M1652" s="1" t="s">
        <v>8365</v>
      </c>
      <c r="N1652" s="1" t="s">
        <v>8354</v>
      </c>
    </row>
    <row r="1653" spans="1:14" s="1" customFormat="1" x14ac:dyDescent="0.35">
      <c r="A1653" s="1" t="s">
        <v>5171</v>
      </c>
      <c r="B1653" s="1" t="s">
        <v>3043</v>
      </c>
      <c r="C1653" s="1" t="s">
        <v>3073</v>
      </c>
      <c r="D1653" s="1" t="s">
        <v>8366</v>
      </c>
      <c r="E1653" s="1" t="str">
        <f>"5130"</f>
        <v>5130</v>
      </c>
      <c r="F1653" s="1" t="s">
        <v>8359</v>
      </c>
      <c r="G1653" s="1" t="s">
        <v>8358</v>
      </c>
      <c r="H1653" s="1" t="s">
        <v>16</v>
      </c>
      <c r="I1653" s="4" t="str">
        <f>"1"</f>
        <v>1</v>
      </c>
      <c r="J1653" s="2" t="str">
        <f>"100"</f>
        <v>100</v>
      </c>
      <c r="K1653" s="3">
        <v>46117</v>
      </c>
      <c r="L1653" s="3">
        <v>46119</v>
      </c>
      <c r="M1653" s="1" t="s">
        <v>8365</v>
      </c>
      <c r="N1653" s="1" t="s">
        <v>8354</v>
      </c>
    </row>
    <row r="1654" spans="1:14" s="1" customFormat="1" x14ac:dyDescent="0.35">
      <c r="A1654" s="1" t="s">
        <v>5171</v>
      </c>
      <c r="B1654" s="1" t="s">
        <v>3043</v>
      </c>
      <c r="C1654" s="1" t="s">
        <v>3073</v>
      </c>
      <c r="D1654" s="1" t="s">
        <v>8364</v>
      </c>
      <c r="E1654" s="1" t="str">
        <f>"5130"</f>
        <v>5130</v>
      </c>
      <c r="F1654" s="1" t="s">
        <v>8359</v>
      </c>
      <c r="G1654" s="1" t="s">
        <v>8358</v>
      </c>
      <c r="H1654" s="1" t="s">
        <v>16</v>
      </c>
      <c r="I1654" s="4" t="str">
        <f>"1"</f>
        <v>1</v>
      </c>
      <c r="J1654" s="2" t="str">
        <f>"100"</f>
        <v>100</v>
      </c>
      <c r="K1654" s="3">
        <v>46117</v>
      </c>
      <c r="L1654" s="3">
        <v>46119</v>
      </c>
      <c r="M1654" s="1" t="s">
        <v>8363</v>
      </c>
      <c r="N1654" s="1" t="s">
        <v>8354</v>
      </c>
    </row>
    <row r="1655" spans="1:14" s="1" customFormat="1" x14ac:dyDescent="0.35">
      <c r="A1655" s="1" t="s">
        <v>5171</v>
      </c>
      <c r="B1655" s="1" t="s">
        <v>3043</v>
      </c>
      <c r="C1655" s="1" t="s">
        <v>3073</v>
      </c>
      <c r="D1655" s="1" t="s">
        <v>8364</v>
      </c>
      <c r="E1655" s="1" t="str">
        <f>"5130"</f>
        <v>5130</v>
      </c>
      <c r="F1655" s="1" t="s">
        <v>8359</v>
      </c>
      <c r="G1655" s="1" t="s">
        <v>8358</v>
      </c>
      <c r="H1655" s="1" t="s">
        <v>16</v>
      </c>
      <c r="I1655" s="4" t="str">
        <f>"1"</f>
        <v>1</v>
      </c>
      <c r="J1655" s="2" t="str">
        <f>"100"</f>
        <v>100</v>
      </c>
      <c r="K1655" s="3">
        <v>46117</v>
      </c>
      <c r="L1655" s="3">
        <v>46119</v>
      </c>
      <c r="M1655" s="1" t="s">
        <v>8363</v>
      </c>
      <c r="N1655" s="1" t="s">
        <v>8354</v>
      </c>
    </row>
    <row r="1656" spans="1:14" s="1" customFormat="1" x14ac:dyDescent="0.35">
      <c r="A1656" s="1" t="s">
        <v>5171</v>
      </c>
      <c r="B1656" s="1" t="s">
        <v>3043</v>
      </c>
      <c r="C1656" s="1" t="s">
        <v>3073</v>
      </c>
      <c r="D1656" s="1" t="s">
        <v>8362</v>
      </c>
      <c r="E1656" s="1" t="str">
        <f>"5130"</f>
        <v>5130</v>
      </c>
      <c r="F1656" s="1" t="s">
        <v>8359</v>
      </c>
      <c r="G1656" s="1" t="s">
        <v>8358</v>
      </c>
      <c r="H1656" s="1" t="s">
        <v>16</v>
      </c>
      <c r="I1656" s="4" t="str">
        <f>"1"</f>
        <v>1</v>
      </c>
      <c r="J1656" s="2" t="str">
        <f>"100"</f>
        <v>100</v>
      </c>
      <c r="K1656" s="3">
        <v>46117</v>
      </c>
      <c r="L1656" s="3">
        <v>46119</v>
      </c>
      <c r="M1656" s="1" t="s">
        <v>8361</v>
      </c>
      <c r="N1656" s="1" t="s">
        <v>8354</v>
      </c>
    </row>
    <row r="1657" spans="1:14" s="1" customFormat="1" x14ac:dyDescent="0.35">
      <c r="A1657" s="1" t="s">
        <v>5171</v>
      </c>
      <c r="B1657" s="1" t="s">
        <v>3043</v>
      </c>
      <c r="C1657" s="1" t="s">
        <v>3073</v>
      </c>
      <c r="D1657" s="1" t="s">
        <v>8362</v>
      </c>
      <c r="E1657" s="1" t="str">
        <f>"5130"</f>
        <v>5130</v>
      </c>
      <c r="F1657" s="1" t="s">
        <v>8359</v>
      </c>
      <c r="G1657" s="1" t="s">
        <v>8358</v>
      </c>
      <c r="H1657" s="1" t="s">
        <v>16</v>
      </c>
      <c r="I1657" s="4" t="str">
        <f>"1"</f>
        <v>1</v>
      </c>
      <c r="J1657" s="2" t="str">
        <f>"100"</f>
        <v>100</v>
      </c>
      <c r="K1657" s="3">
        <v>46117</v>
      </c>
      <c r="L1657" s="3">
        <v>46119</v>
      </c>
      <c r="M1657" s="1" t="s">
        <v>8361</v>
      </c>
      <c r="N1657" s="1" t="s">
        <v>8354</v>
      </c>
    </row>
    <row r="1658" spans="1:14" s="1" customFormat="1" x14ac:dyDescent="0.35">
      <c r="A1658" s="1" t="s">
        <v>5171</v>
      </c>
      <c r="B1658" s="1" t="s">
        <v>3043</v>
      </c>
      <c r="C1658" s="1" t="s">
        <v>3073</v>
      </c>
      <c r="D1658" s="1" t="s">
        <v>8360</v>
      </c>
      <c r="E1658" s="1" t="str">
        <f>"5130"</f>
        <v>5130</v>
      </c>
      <c r="F1658" s="1" t="s">
        <v>8359</v>
      </c>
      <c r="G1658" s="1" t="s">
        <v>8358</v>
      </c>
      <c r="H1658" s="1" t="s">
        <v>16</v>
      </c>
      <c r="I1658" s="4" t="str">
        <f>"1"</f>
        <v>1</v>
      </c>
      <c r="J1658" s="2" t="str">
        <f>"100"</f>
        <v>100</v>
      </c>
      <c r="K1658" s="3">
        <v>46117</v>
      </c>
      <c r="L1658" s="3">
        <v>46119</v>
      </c>
      <c r="M1658" s="1" t="s">
        <v>8357</v>
      </c>
      <c r="N1658" s="1" t="s">
        <v>8354</v>
      </c>
    </row>
    <row r="1659" spans="1:14" s="1" customFormat="1" x14ac:dyDescent="0.35">
      <c r="A1659" s="1" t="s">
        <v>5171</v>
      </c>
      <c r="B1659" s="1" t="s">
        <v>3043</v>
      </c>
      <c r="C1659" s="1" t="s">
        <v>3073</v>
      </c>
      <c r="D1659" s="1" t="s">
        <v>8360</v>
      </c>
      <c r="E1659" s="1" t="str">
        <f>"5130"</f>
        <v>5130</v>
      </c>
      <c r="F1659" s="1" t="s">
        <v>8359</v>
      </c>
      <c r="G1659" s="1" t="s">
        <v>8358</v>
      </c>
      <c r="H1659" s="1" t="s">
        <v>16</v>
      </c>
      <c r="I1659" s="4" t="str">
        <f>"1"</f>
        <v>1</v>
      </c>
      <c r="J1659" s="2" t="str">
        <f>"100"</f>
        <v>100</v>
      </c>
      <c r="K1659" s="3">
        <v>46117</v>
      </c>
      <c r="L1659" s="3">
        <v>46119</v>
      </c>
      <c r="M1659" s="1" t="s">
        <v>8357</v>
      </c>
      <c r="N1659" s="1" t="s">
        <v>8354</v>
      </c>
    </row>
    <row r="1660" spans="1:14" s="1" customFormat="1" x14ac:dyDescent="0.35">
      <c r="A1660" s="1" t="s">
        <v>5171</v>
      </c>
      <c r="B1660" s="1" t="s">
        <v>3043</v>
      </c>
      <c r="C1660" s="1" t="s">
        <v>3073</v>
      </c>
      <c r="D1660" s="1" t="s">
        <v>8356</v>
      </c>
      <c r="E1660" s="1" t="str">
        <f>"5130"</f>
        <v>5130</v>
      </c>
      <c r="F1660" s="1" t="s">
        <v>3340</v>
      </c>
      <c r="G1660" s="1" t="s">
        <v>3341</v>
      </c>
      <c r="H1660" s="1" t="s">
        <v>16</v>
      </c>
      <c r="I1660" s="4" t="str">
        <f>"1"</f>
        <v>1</v>
      </c>
      <c r="J1660" s="2" t="str">
        <f>"500"</f>
        <v>500</v>
      </c>
      <c r="K1660" s="3">
        <v>46117</v>
      </c>
      <c r="L1660" s="3">
        <v>46119</v>
      </c>
      <c r="M1660" s="1" t="s">
        <v>8355</v>
      </c>
      <c r="N1660" s="1" t="s">
        <v>8354</v>
      </c>
    </row>
    <row r="1661" spans="1:14" s="1" customFormat="1" x14ac:dyDescent="0.35">
      <c r="A1661" s="1" t="s">
        <v>5171</v>
      </c>
      <c r="B1661" s="1" t="s">
        <v>3043</v>
      </c>
      <c r="C1661" s="1" t="s">
        <v>3073</v>
      </c>
      <c r="D1661" s="1" t="s">
        <v>8356</v>
      </c>
      <c r="E1661" s="1" t="str">
        <f>"5130"</f>
        <v>5130</v>
      </c>
      <c r="F1661" s="1" t="s">
        <v>3340</v>
      </c>
      <c r="G1661" s="1" t="s">
        <v>3341</v>
      </c>
      <c r="H1661" s="1" t="s">
        <v>16</v>
      </c>
      <c r="I1661" s="4" t="str">
        <f>"1"</f>
        <v>1</v>
      </c>
      <c r="J1661" s="2" t="str">
        <f>"500"</f>
        <v>500</v>
      </c>
      <c r="K1661" s="3">
        <v>46117</v>
      </c>
      <c r="L1661" s="3">
        <v>46119</v>
      </c>
      <c r="M1661" s="1" t="s">
        <v>8355</v>
      </c>
      <c r="N1661" s="1" t="s">
        <v>8354</v>
      </c>
    </row>
    <row r="1662" spans="1:14" s="1" customFormat="1" x14ac:dyDescent="0.35">
      <c r="A1662" s="1" t="s">
        <v>5171</v>
      </c>
      <c r="B1662" s="1" t="s">
        <v>3043</v>
      </c>
      <c r="C1662" s="1" t="s">
        <v>3073</v>
      </c>
      <c r="D1662" s="1" t="s">
        <v>8353</v>
      </c>
      <c r="E1662" s="1" t="str">
        <f>"5120"</f>
        <v>5120</v>
      </c>
      <c r="F1662" s="1" t="s">
        <v>576</v>
      </c>
      <c r="G1662" s="1" t="s">
        <v>577</v>
      </c>
      <c r="H1662" s="1" t="s">
        <v>16</v>
      </c>
      <c r="I1662" s="4" t="str">
        <f>"1"</f>
        <v>1</v>
      </c>
      <c r="J1662" s="2" t="str">
        <f>"1439"</f>
        <v>1439</v>
      </c>
      <c r="K1662" s="3">
        <v>46119</v>
      </c>
      <c r="L1662" s="3">
        <v>46121</v>
      </c>
      <c r="M1662" s="1" t="s">
        <v>5469</v>
      </c>
      <c r="N1662" s="1" t="s">
        <v>8352</v>
      </c>
    </row>
    <row r="1663" spans="1:14" s="1" customFormat="1" x14ac:dyDescent="0.35">
      <c r="A1663" s="1" t="s">
        <v>5171</v>
      </c>
      <c r="B1663" s="1" t="s">
        <v>3043</v>
      </c>
      <c r="C1663" s="1" t="s">
        <v>3073</v>
      </c>
      <c r="D1663" s="1" t="s">
        <v>8351</v>
      </c>
      <c r="E1663" s="1" t="str">
        <f>"6720"</f>
        <v>6720</v>
      </c>
      <c r="F1663" s="1" t="s">
        <v>2250</v>
      </c>
      <c r="G1663" s="1" t="s">
        <v>2251</v>
      </c>
      <c r="H1663" s="1" t="s">
        <v>16</v>
      </c>
      <c r="I1663" s="4" t="str">
        <f>"1"</f>
        <v>1</v>
      </c>
      <c r="J1663" s="2">
        <v>5038.07</v>
      </c>
      <c r="K1663" s="3">
        <v>46113</v>
      </c>
      <c r="L1663" s="3">
        <v>46122</v>
      </c>
      <c r="M1663" s="1" t="s">
        <v>8350</v>
      </c>
      <c r="N1663" s="1" t="s">
        <v>8349</v>
      </c>
    </row>
    <row r="1664" spans="1:14" s="1" customFormat="1" x14ac:dyDescent="0.35">
      <c r="A1664" s="1" t="s">
        <v>5171</v>
      </c>
      <c r="B1664" s="1" t="s">
        <v>3043</v>
      </c>
      <c r="C1664" s="1" t="s">
        <v>8346</v>
      </c>
      <c r="D1664" s="1" t="s">
        <v>8348</v>
      </c>
      <c r="E1664" s="1" t="str">
        <f>"1095"</f>
        <v>1095</v>
      </c>
      <c r="F1664" s="1" t="str">
        <f>"004070674"</f>
        <v>004070674</v>
      </c>
      <c r="G1664" s="1" t="s">
        <v>2010</v>
      </c>
      <c r="H1664" s="1" t="s">
        <v>16</v>
      </c>
      <c r="I1664" s="4" t="str">
        <f>"1"</f>
        <v>1</v>
      </c>
      <c r="J1664" s="2">
        <v>1098.96</v>
      </c>
      <c r="K1664" s="3">
        <v>46084</v>
      </c>
      <c r="L1664" s="3">
        <v>46123</v>
      </c>
      <c r="M1664" s="1" t="s">
        <v>5167</v>
      </c>
      <c r="N1664" s="1" t="s">
        <v>8347</v>
      </c>
    </row>
    <row r="1665" spans="1:14" s="1" customFormat="1" x14ac:dyDescent="0.35">
      <c r="A1665" s="1" t="s">
        <v>5171</v>
      </c>
      <c r="B1665" s="1" t="s">
        <v>3043</v>
      </c>
      <c r="C1665" s="1" t="s">
        <v>8346</v>
      </c>
      <c r="D1665" s="1" t="s">
        <v>8345</v>
      </c>
      <c r="E1665" s="1" t="str">
        <f>"8140"</f>
        <v>8140</v>
      </c>
      <c r="F1665" s="1" t="str">
        <f>"009601699"</f>
        <v>009601699</v>
      </c>
      <c r="G1665" s="1" t="s">
        <v>1085</v>
      </c>
      <c r="H1665" s="1" t="s">
        <v>16</v>
      </c>
      <c r="I1665" s="4" t="str">
        <f>"3"</f>
        <v>3</v>
      </c>
      <c r="J1665" s="2">
        <v>11.1</v>
      </c>
      <c r="K1665" s="3">
        <v>46084</v>
      </c>
      <c r="L1665" s="3">
        <v>46123</v>
      </c>
      <c r="M1665" s="1" t="s">
        <v>5167</v>
      </c>
      <c r="N1665" s="1" t="s">
        <v>8344</v>
      </c>
    </row>
    <row r="1666" spans="1:14" s="1" customFormat="1" x14ac:dyDescent="0.35">
      <c r="A1666" s="1" t="s">
        <v>5171</v>
      </c>
      <c r="B1666" s="1" t="s">
        <v>3043</v>
      </c>
      <c r="C1666" s="1" t="s">
        <v>3073</v>
      </c>
      <c r="D1666" s="1" t="s">
        <v>8343</v>
      </c>
      <c r="E1666" s="1" t="str">
        <f>"4140"</f>
        <v>4140</v>
      </c>
      <c r="F1666" s="1" t="s">
        <v>398</v>
      </c>
      <c r="G1666" s="1" t="s">
        <v>399</v>
      </c>
      <c r="H1666" s="1" t="s">
        <v>16</v>
      </c>
      <c r="I1666" s="4" t="str">
        <f>"1"</f>
        <v>1</v>
      </c>
      <c r="J1666" s="2" t="str">
        <f>"200"</f>
        <v>200</v>
      </c>
      <c r="K1666" s="3">
        <v>46109</v>
      </c>
      <c r="L1666" s="3">
        <v>46123</v>
      </c>
      <c r="M1666" s="1" t="s">
        <v>8342</v>
      </c>
      <c r="N1666" s="1" t="s">
        <v>8341</v>
      </c>
    </row>
    <row r="1667" spans="1:14" s="1" customFormat="1" x14ac:dyDescent="0.35">
      <c r="A1667" s="1" t="s">
        <v>5171</v>
      </c>
      <c r="B1667" s="1" t="s">
        <v>3043</v>
      </c>
      <c r="C1667" s="1" t="s">
        <v>3073</v>
      </c>
      <c r="D1667" s="1" t="s">
        <v>8340</v>
      </c>
      <c r="E1667" s="1" t="str">
        <f>"6635"</f>
        <v>6635</v>
      </c>
      <c r="F1667" s="1" t="str">
        <f>"014654473"</f>
        <v>014654473</v>
      </c>
      <c r="G1667" s="1" t="s">
        <v>4122</v>
      </c>
      <c r="H1667" s="1" t="s">
        <v>16</v>
      </c>
      <c r="I1667" s="4" t="str">
        <f>"1"</f>
        <v>1</v>
      </c>
      <c r="J1667" s="2">
        <v>2285.5100000000002</v>
      </c>
      <c r="K1667" s="3">
        <v>46115</v>
      </c>
      <c r="L1667" s="3">
        <v>46123</v>
      </c>
      <c r="M1667" s="1" t="s">
        <v>8339</v>
      </c>
      <c r="N1667" s="1" t="s">
        <v>8338</v>
      </c>
    </row>
    <row r="1668" spans="1:14" s="1" customFormat="1" x14ac:dyDescent="0.35">
      <c r="A1668" s="1" t="s">
        <v>5171</v>
      </c>
      <c r="B1668" s="1" t="s">
        <v>3043</v>
      </c>
      <c r="C1668" s="1" t="s">
        <v>3073</v>
      </c>
      <c r="D1668" s="1" t="s">
        <v>8337</v>
      </c>
      <c r="E1668" s="1" t="str">
        <f>"4140"</f>
        <v>4140</v>
      </c>
      <c r="F1668" s="1" t="s">
        <v>398</v>
      </c>
      <c r="G1668" s="1" t="s">
        <v>399</v>
      </c>
      <c r="H1668" s="1" t="s">
        <v>16</v>
      </c>
      <c r="I1668" s="4" t="str">
        <f>"1"</f>
        <v>1</v>
      </c>
      <c r="J1668" s="2" t="str">
        <f>"650"</f>
        <v>650</v>
      </c>
      <c r="K1668" s="3">
        <v>46119</v>
      </c>
      <c r="L1668" s="3">
        <v>46123</v>
      </c>
      <c r="M1668" s="1" t="s">
        <v>8336</v>
      </c>
      <c r="N1668" s="1" t="s">
        <v>8335</v>
      </c>
    </row>
    <row r="1669" spans="1:14" s="1" customFormat="1" x14ac:dyDescent="0.35">
      <c r="A1669" s="1" t="s">
        <v>5171</v>
      </c>
      <c r="B1669" s="1" t="s">
        <v>3043</v>
      </c>
      <c r="C1669" s="1" t="s">
        <v>3073</v>
      </c>
      <c r="D1669" s="1" t="s">
        <v>8334</v>
      </c>
      <c r="E1669" s="1" t="str">
        <f>"5140"</f>
        <v>5140</v>
      </c>
      <c r="F1669" s="1" t="s">
        <v>761</v>
      </c>
      <c r="G1669" s="1" t="s">
        <v>762</v>
      </c>
      <c r="H1669" s="1" t="s">
        <v>16</v>
      </c>
      <c r="I1669" s="4" t="str">
        <f>"4"</f>
        <v>4</v>
      </c>
      <c r="J1669" s="2" t="str">
        <f>"540"</f>
        <v>540</v>
      </c>
      <c r="K1669" s="3">
        <v>46119</v>
      </c>
      <c r="L1669" s="3">
        <v>46128</v>
      </c>
      <c r="M1669" s="1" t="s">
        <v>8333</v>
      </c>
      <c r="N1669" s="1" t="s">
        <v>8332</v>
      </c>
    </row>
    <row r="1670" spans="1:14" s="1" customFormat="1" x14ac:dyDescent="0.35">
      <c r="A1670" s="1" t="s">
        <v>5171</v>
      </c>
      <c r="B1670" s="1" t="s">
        <v>3043</v>
      </c>
      <c r="C1670" s="1" t="s">
        <v>3073</v>
      </c>
      <c r="D1670" s="1" t="s">
        <v>8331</v>
      </c>
      <c r="E1670" s="1" t="str">
        <f>"4240"</f>
        <v>4240</v>
      </c>
      <c r="F1670" s="1" t="str">
        <f>"015475933"</f>
        <v>015475933</v>
      </c>
      <c r="G1670" s="1" t="s">
        <v>6267</v>
      </c>
      <c r="H1670" s="1" t="s">
        <v>16</v>
      </c>
      <c r="I1670" s="4" t="str">
        <f>"21"</f>
        <v>21</v>
      </c>
      <c r="J1670" s="2">
        <v>59.03</v>
      </c>
      <c r="K1670" s="3">
        <v>46125</v>
      </c>
      <c r="L1670" s="3">
        <v>46128</v>
      </c>
      <c r="M1670" s="1" t="s">
        <v>8330</v>
      </c>
      <c r="N1670" s="1" t="s">
        <v>8326</v>
      </c>
    </row>
    <row r="1671" spans="1:14" s="1" customFormat="1" x14ac:dyDescent="0.35">
      <c r="A1671" s="1" t="s">
        <v>5171</v>
      </c>
      <c r="B1671" s="1" t="s">
        <v>3043</v>
      </c>
      <c r="C1671" s="1" t="s">
        <v>3073</v>
      </c>
      <c r="D1671" s="1" t="s">
        <v>8329</v>
      </c>
      <c r="E1671" s="1" t="str">
        <f>"4240"</f>
        <v>4240</v>
      </c>
      <c r="F1671" s="1" t="str">
        <f>"015439618"</f>
        <v>015439618</v>
      </c>
      <c r="G1671" s="1" t="s">
        <v>8328</v>
      </c>
      <c r="H1671" s="1" t="s">
        <v>16</v>
      </c>
      <c r="I1671" s="4" t="str">
        <f>"31"</f>
        <v>31</v>
      </c>
      <c r="J1671" s="2">
        <v>46.38</v>
      </c>
      <c r="K1671" s="3">
        <v>46125</v>
      </c>
      <c r="L1671" s="3">
        <v>46128</v>
      </c>
      <c r="M1671" s="1" t="s">
        <v>8327</v>
      </c>
      <c r="N1671" s="1" t="s">
        <v>8326</v>
      </c>
    </row>
    <row r="1672" spans="1:14" s="1" customFormat="1" x14ac:dyDescent="0.35">
      <c r="A1672" s="1" t="s">
        <v>5171</v>
      </c>
      <c r="B1672" s="1" t="s">
        <v>3043</v>
      </c>
      <c r="C1672" s="1" t="s">
        <v>3073</v>
      </c>
      <c r="D1672" s="1" t="s">
        <v>8325</v>
      </c>
      <c r="E1672" s="1" t="str">
        <f>"2340"</f>
        <v>2340</v>
      </c>
      <c r="F1672" s="1" t="s">
        <v>84</v>
      </c>
      <c r="G1672" s="1" t="s">
        <v>85</v>
      </c>
      <c r="H1672" s="1" t="s">
        <v>16</v>
      </c>
      <c r="I1672" s="4" t="str">
        <f>"1"</f>
        <v>1</v>
      </c>
      <c r="J1672" s="2" t="str">
        <f>"19891"</f>
        <v>19891</v>
      </c>
      <c r="K1672" s="3">
        <v>46116</v>
      </c>
      <c r="L1672" s="3">
        <v>46130</v>
      </c>
      <c r="M1672" s="1" t="s">
        <v>8324</v>
      </c>
      <c r="N1672" s="1" t="s">
        <v>8323</v>
      </c>
    </row>
    <row r="1673" spans="1:14" s="1" customFormat="1" x14ac:dyDescent="0.35">
      <c r="A1673" s="1" t="s">
        <v>5171</v>
      </c>
      <c r="B1673" s="1" t="s">
        <v>3043</v>
      </c>
      <c r="C1673" s="1" t="s">
        <v>3073</v>
      </c>
      <c r="D1673" s="1" t="s">
        <v>8322</v>
      </c>
      <c r="E1673" s="1" t="str">
        <f>"2340"</f>
        <v>2340</v>
      </c>
      <c r="F1673" s="1" t="s">
        <v>84</v>
      </c>
      <c r="G1673" s="1" t="s">
        <v>85</v>
      </c>
      <c r="H1673" s="1" t="s">
        <v>16</v>
      </c>
      <c r="I1673" s="4" t="str">
        <f>"1"</f>
        <v>1</v>
      </c>
      <c r="J1673" s="2">
        <v>31905.14</v>
      </c>
      <c r="K1673" s="3">
        <v>46137</v>
      </c>
      <c r="L1673" s="3">
        <v>46143</v>
      </c>
      <c r="M1673" s="1" t="s">
        <v>8321</v>
      </c>
      <c r="N1673" s="1" t="s">
        <v>8320</v>
      </c>
    </row>
    <row r="1674" spans="1:14" s="1" customFormat="1" x14ac:dyDescent="0.35">
      <c r="A1674" s="1" t="s">
        <v>5171</v>
      </c>
      <c r="B1674" s="1" t="s">
        <v>3043</v>
      </c>
      <c r="C1674" s="1" t="s">
        <v>3073</v>
      </c>
      <c r="D1674" s="1" t="s">
        <v>8319</v>
      </c>
      <c r="E1674" s="1" t="str">
        <f>"2340"</f>
        <v>2340</v>
      </c>
      <c r="F1674" s="1" t="s">
        <v>84</v>
      </c>
      <c r="G1674" s="1" t="s">
        <v>85</v>
      </c>
      <c r="H1674" s="1" t="s">
        <v>16</v>
      </c>
      <c r="I1674" s="4" t="str">
        <f>"1"</f>
        <v>1</v>
      </c>
      <c r="J1674" s="2">
        <v>31905.14</v>
      </c>
      <c r="K1674" s="3">
        <v>46137</v>
      </c>
      <c r="L1674" s="3">
        <v>46143</v>
      </c>
      <c r="M1674" s="1" t="s">
        <v>8318</v>
      </c>
      <c r="N1674" s="1" t="s">
        <v>8317</v>
      </c>
    </row>
    <row r="1675" spans="1:14" s="1" customFormat="1" x14ac:dyDescent="0.35">
      <c r="A1675" s="1" t="s">
        <v>5230</v>
      </c>
      <c r="B1675" s="1" t="s">
        <v>3043</v>
      </c>
      <c r="C1675" s="1" t="s">
        <v>3073</v>
      </c>
      <c r="D1675" s="1" t="s">
        <v>8316</v>
      </c>
      <c r="E1675" s="1" t="str">
        <f>"2330"</f>
        <v>2330</v>
      </c>
      <c r="F1675" s="1" t="s">
        <v>70</v>
      </c>
      <c r="G1675" s="1" t="s">
        <v>71</v>
      </c>
      <c r="H1675" s="1" t="s">
        <v>16</v>
      </c>
      <c r="I1675" s="4" t="str">
        <f>"1"</f>
        <v>1</v>
      </c>
      <c r="J1675" s="2" t="str">
        <f>"14000"</f>
        <v>14000</v>
      </c>
      <c r="K1675" s="3">
        <v>46151</v>
      </c>
      <c r="L1675" s="3">
        <v>46153</v>
      </c>
      <c r="M1675" s="1" t="s">
        <v>5469</v>
      </c>
      <c r="N1675" s="1" t="s">
        <v>3075</v>
      </c>
    </row>
    <row r="1676" spans="1:14" s="1" customFormat="1" x14ac:dyDescent="0.35">
      <c r="A1676" s="1" t="s">
        <v>5230</v>
      </c>
      <c r="B1676" s="1" t="s">
        <v>3043</v>
      </c>
      <c r="C1676" s="1" t="s">
        <v>3073</v>
      </c>
      <c r="D1676" s="1" t="s">
        <v>8315</v>
      </c>
      <c r="E1676" s="1" t="str">
        <f>"5855"</f>
        <v>5855</v>
      </c>
      <c r="F1676" s="1" t="str">
        <f>"015345931"</f>
        <v>015345931</v>
      </c>
      <c r="G1676" s="1" t="s">
        <v>1379</v>
      </c>
      <c r="H1676" s="1" t="s">
        <v>16</v>
      </c>
      <c r="I1676" s="4" t="str">
        <f>"50"</f>
        <v>50</v>
      </c>
      <c r="J1676" s="2" t="str">
        <f>"970"</f>
        <v>970</v>
      </c>
      <c r="K1676" s="3">
        <v>46153</v>
      </c>
      <c r="L1676" s="3">
        <v>46154</v>
      </c>
      <c r="M1676" s="1" t="s">
        <v>5469</v>
      </c>
      <c r="N1676" s="1" t="s">
        <v>8314</v>
      </c>
    </row>
    <row r="1677" spans="1:14" s="1" customFormat="1" x14ac:dyDescent="0.35">
      <c r="A1677" s="1" t="s">
        <v>5171</v>
      </c>
      <c r="B1677" s="1" t="s">
        <v>3043</v>
      </c>
      <c r="C1677" s="1" t="s">
        <v>3073</v>
      </c>
      <c r="D1677" s="1" t="s">
        <v>8313</v>
      </c>
      <c r="E1677" s="1" t="str">
        <f>"6920"</f>
        <v>6920</v>
      </c>
      <c r="F1677" s="1" t="str">
        <f>"015649656"</f>
        <v>015649656</v>
      </c>
      <c r="G1677" s="1" t="s">
        <v>7567</v>
      </c>
      <c r="H1677" s="1" t="s">
        <v>16</v>
      </c>
      <c r="I1677" s="4" t="str">
        <f>"10"</f>
        <v>10</v>
      </c>
      <c r="J1677" s="2">
        <v>377.12</v>
      </c>
      <c r="K1677" s="3">
        <v>46155</v>
      </c>
      <c r="L1677" s="3">
        <v>46157</v>
      </c>
      <c r="M1677" s="1" t="s">
        <v>8312</v>
      </c>
      <c r="N1677" s="1" t="s">
        <v>8311</v>
      </c>
    </row>
    <row r="1678" spans="1:14" s="1" customFormat="1" x14ac:dyDescent="0.35">
      <c r="A1678" s="1" t="s">
        <v>5171</v>
      </c>
      <c r="B1678" s="1" t="s">
        <v>3043</v>
      </c>
      <c r="C1678" s="1" t="s">
        <v>3044</v>
      </c>
      <c r="D1678" s="1" t="s">
        <v>8310</v>
      </c>
      <c r="E1678" s="1" t="str">
        <f>"5180"</f>
        <v>5180</v>
      </c>
      <c r="F1678" s="1" t="str">
        <f>"015595981"</f>
        <v>015595981</v>
      </c>
      <c r="G1678" s="1" t="s">
        <v>1076</v>
      </c>
      <c r="H1678" s="1" t="s">
        <v>215</v>
      </c>
      <c r="I1678" s="4" t="str">
        <f>"1"</f>
        <v>1</v>
      </c>
      <c r="J1678" s="2" t="str">
        <f>"1774"</f>
        <v>1774</v>
      </c>
      <c r="K1678" s="3">
        <v>46148</v>
      </c>
      <c r="L1678" s="3">
        <v>46158</v>
      </c>
      <c r="M1678" s="1" t="s">
        <v>8309</v>
      </c>
      <c r="N1678" s="1" t="s">
        <v>8308</v>
      </c>
    </row>
    <row r="1679" spans="1:14" s="1" customFormat="1" x14ac:dyDescent="0.35">
      <c r="A1679" s="1" t="s">
        <v>5171</v>
      </c>
      <c r="B1679" s="1" t="s">
        <v>3043</v>
      </c>
      <c r="C1679" s="1" t="s">
        <v>3044</v>
      </c>
      <c r="D1679" s="1" t="s">
        <v>8307</v>
      </c>
      <c r="E1679" s="1" t="str">
        <f>"8415"</f>
        <v>8415</v>
      </c>
      <c r="F1679" s="1" t="str">
        <f>"014567153"</f>
        <v>014567153</v>
      </c>
      <c r="G1679" s="1" t="s">
        <v>48</v>
      </c>
      <c r="H1679" s="1" t="s">
        <v>16</v>
      </c>
      <c r="I1679" s="4" t="str">
        <f>"1"</f>
        <v>1</v>
      </c>
      <c r="J1679" s="2" t="str">
        <f>"328"</f>
        <v>328</v>
      </c>
      <c r="K1679" s="3">
        <v>46157</v>
      </c>
      <c r="L1679" s="3">
        <v>46161</v>
      </c>
      <c r="M1679" s="1" t="s">
        <v>8306</v>
      </c>
      <c r="N1679" s="1" t="s">
        <v>8305</v>
      </c>
    </row>
    <row r="1680" spans="1:14" s="1" customFormat="1" x14ac:dyDescent="0.35">
      <c r="A1680" s="1" t="s">
        <v>5171</v>
      </c>
      <c r="B1680" s="1" t="s">
        <v>3043</v>
      </c>
      <c r="C1680" s="1" t="s">
        <v>3044</v>
      </c>
      <c r="D1680" s="1" t="s">
        <v>8304</v>
      </c>
      <c r="E1680" s="1" t="str">
        <f>"8415"</f>
        <v>8415</v>
      </c>
      <c r="F1680" s="1" t="str">
        <f>"014567153"</f>
        <v>014567153</v>
      </c>
      <c r="G1680" s="1" t="s">
        <v>48</v>
      </c>
      <c r="H1680" s="1" t="s">
        <v>16</v>
      </c>
      <c r="I1680" s="4" t="str">
        <f>"1"</f>
        <v>1</v>
      </c>
      <c r="J1680" s="2" t="str">
        <f>"328"</f>
        <v>328</v>
      </c>
      <c r="K1680" s="3">
        <v>46157</v>
      </c>
      <c r="L1680" s="3">
        <v>46161</v>
      </c>
      <c r="M1680" s="1" t="s">
        <v>8303</v>
      </c>
      <c r="N1680" s="1" t="s">
        <v>8300</v>
      </c>
    </row>
    <row r="1681" spans="1:14" s="1" customFormat="1" x14ac:dyDescent="0.35">
      <c r="A1681" s="1" t="s">
        <v>5171</v>
      </c>
      <c r="B1681" s="1" t="s">
        <v>3043</v>
      </c>
      <c r="C1681" s="1" t="s">
        <v>3044</v>
      </c>
      <c r="D1681" s="1" t="s">
        <v>8302</v>
      </c>
      <c r="E1681" s="1" t="str">
        <f>"8415"</f>
        <v>8415</v>
      </c>
      <c r="F1681" s="1" t="str">
        <f>"014567153"</f>
        <v>014567153</v>
      </c>
      <c r="G1681" s="1" t="s">
        <v>48</v>
      </c>
      <c r="H1681" s="1" t="s">
        <v>16</v>
      </c>
      <c r="I1681" s="4" t="str">
        <f>"1"</f>
        <v>1</v>
      </c>
      <c r="J1681" s="2" t="str">
        <f>"328"</f>
        <v>328</v>
      </c>
      <c r="K1681" s="3">
        <v>46157</v>
      </c>
      <c r="L1681" s="3">
        <v>46161</v>
      </c>
      <c r="M1681" s="1" t="s">
        <v>8301</v>
      </c>
      <c r="N1681" s="1" t="s">
        <v>8300</v>
      </c>
    </row>
    <row r="1682" spans="1:14" s="1" customFormat="1" x14ac:dyDescent="0.35">
      <c r="A1682" s="1" t="s">
        <v>5171</v>
      </c>
      <c r="B1682" s="1" t="s">
        <v>3043</v>
      </c>
      <c r="C1682" s="1" t="s">
        <v>3073</v>
      </c>
      <c r="D1682" s="1" t="s">
        <v>8299</v>
      </c>
      <c r="E1682" s="1" t="str">
        <f>"3815"</f>
        <v>3815</v>
      </c>
      <c r="F1682" s="1" t="str">
        <f>"015023528"</f>
        <v>015023528</v>
      </c>
      <c r="G1682" s="1" t="s">
        <v>8298</v>
      </c>
      <c r="H1682" s="1" t="s">
        <v>16</v>
      </c>
      <c r="I1682" s="4" t="str">
        <f>"1"</f>
        <v>1</v>
      </c>
      <c r="J1682" s="2" t="str">
        <f>"3039"</f>
        <v>3039</v>
      </c>
      <c r="K1682" s="3">
        <v>46159</v>
      </c>
      <c r="L1682" s="3">
        <v>46162</v>
      </c>
      <c r="M1682" s="1" t="s">
        <v>8297</v>
      </c>
      <c r="N1682" s="1" t="s">
        <v>8296</v>
      </c>
    </row>
    <row r="1683" spans="1:14" s="1" customFormat="1" x14ac:dyDescent="0.35">
      <c r="A1683" s="1" t="s">
        <v>5171</v>
      </c>
      <c r="B1683" s="1" t="s">
        <v>3043</v>
      </c>
      <c r="C1683" s="1" t="s">
        <v>8279</v>
      </c>
      <c r="D1683" s="1" t="s">
        <v>8295</v>
      </c>
      <c r="E1683" s="1" t="str">
        <f>"2320"</f>
        <v>2320</v>
      </c>
      <c r="F1683" s="1" t="s">
        <v>975</v>
      </c>
      <c r="G1683" s="1" t="s">
        <v>976</v>
      </c>
      <c r="H1683" s="1" t="s">
        <v>16</v>
      </c>
      <c r="I1683" s="4" t="str">
        <f>"1"</f>
        <v>1</v>
      </c>
      <c r="J1683" s="2" t="str">
        <f>"121000"</f>
        <v>121000</v>
      </c>
      <c r="K1683" s="3">
        <v>46170</v>
      </c>
      <c r="L1683" s="3">
        <v>46172</v>
      </c>
      <c r="M1683" s="1" t="s">
        <v>5167</v>
      </c>
      <c r="N1683" s="1" t="s">
        <v>8293</v>
      </c>
    </row>
    <row r="1684" spans="1:14" s="1" customFormat="1" x14ac:dyDescent="0.35">
      <c r="A1684" s="1" t="s">
        <v>5171</v>
      </c>
      <c r="B1684" s="1" t="s">
        <v>3043</v>
      </c>
      <c r="C1684" s="1" t="s">
        <v>8279</v>
      </c>
      <c r="D1684" s="1" t="s">
        <v>8294</v>
      </c>
      <c r="E1684" s="1" t="str">
        <f>"2320"</f>
        <v>2320</v>
      </c>
      <c r="F1684" s="1" t="s">
        <v>975</v>
      </c>
      <c r="G1684" s="1" t="s">
        <v>976</v>
      </c>
      <c r="H1684" s="1" t="s">
        <v>16</v>
      </c>
      <c r="I1684" s="4" t="str">
        <f>"1"</f>
        <v>1</v>
      </c>
      <c r="J1684" s="2" t="str">
        <f>"121000"</f>
        <v>121000</v>
      </c>
      <c r="K1684" s="3">
        <v>46170</v>
      </c>
      <c r="L1684" s="3">
        <v>46172</v>
      </c>
      <c r="M1684" s="1" t="s">
        <v>5167</v>
      </c>
      <c r="N1684" s="1" t="s">
        <v>8293</v>
      </c>
    </row>
    <row r="1685" spans="1:14" s="1" customFormat="1" x14ac:dyDescent="0.35">
      <c r="A1685" s="1" t="s">
        <v>0</v>
      </c>
      <c r="B1685" s="1" t="s">
        <v>3043</v>
      </c>
      <c r="C1685" s="1" t="s">
        <v>8250</v>
      </c>
      <c r="D1685" s="1" t="s">
        <v>8292</v>
      </c>
      <c r="E1685" s="1" t="str">
        <f>"2320"</f>
        <v>2320</v>
      </c>
      <c r="F1685" s="1" t="str">
        <f>"010907831"</f>
        <v>010907831</v>
      </c>
      <c r="G1685" s="1" t="s">
        <v>370</v>
      </c>
      <c r="H1685" s="1" t="s">
        <v>16</v>
      </c>
      <c r="I1685" s="4" t="str">
        <f>"1"</f>
        <v>1</v>
      </c>
      <c r="J1685" s="2" t="str">
        <f>"15000"</f>
        <v>15000</v>
      </c>
      <c r="K1685" s="3">
        <v>46171</v>
      </c>
      <c r="L1685" s="3">
        <v>46174</v>
      </c>
      <c r="M1685" s="1" t="s">
        <v>8291</v>
      </c>
      <c r="N1685" s="1" t="s">
        <v>8290</v>
      </c>
    </row>
    <row r="1686" spans="1:14" s="1" customFormat="1" x14ac:dyDescent="0.35">
      <c r="A1686" s="1" t="s">
        <v>0</v>
      </c>
      <c r="B1686" s="1" t="s">
        <v>3043</v>
      </c>
      <c r="C1686" s="1" t="s">
        <v>8250</v>
      </c>
      <c r="D1686" s="1" t="s">
        <v>8289</v>
      </c>
      <c r="E1686" s="1" t="str">
        <f>"2320"</f>
        <v>2320</v>
      </c>
      <c r="F1686" s="1" t="str">
        <f>"010907880"</f>
        <v>010907880</v>
      </c>
      <c r="G1686" s="1" t="s">
        <v>271</v>
      </c>
      <c r="H1686" s="1" t="s">
        <v>16</v>
      </c>
      <c r="I1686" s="4" t="str">
        <f>"1"</f>
        <v>1</v>
      </c>
      <c r="J1686" s="2" t="str">
        <f>"11198"</f>
        <v>11198</v>
      </c>
      <c r="K1686" s="3">
        <v>46171</v>
      </c>
      <c r="L1686" s="3">
        <v>46176</v>
      </c>
      <c r="N1686" s="1" t="s">
        <v>8288</v>
      </c>
    </row>
    <row r="1687" spans="1:14" s="1" customFormat="1" x14ac:dyDescent="0.35">
      <c r="A1687" s="1" t="s">
        <v>5171</v>
      </c>
      <c r="B1687" s="1" t="s">
        <v>3043</v>
      </c>
      <c r="C1687" s="1" t="s">
        <v>3073</v>
      </c>
      <c r="D1687" s="1" t="s">
        <v>8287</v>
      </c>
      <c r="E1687" s="1" t="str">
        <f>"3990"</f>
        <v>3990</v>
      </c>
      <c r="F1687" s="1" t="str">
        <f>"016884520"</f>
        <v>016884520</v>
      </c>
      <c r="G1687" s="1" t="s">
        <v>7466</v>
      </c>
      <c r="H1687" s="1" t="s">
        <v>16</v>
      </c>
      <c r="I1687" s="4" t="str">
        <f>"16"</f>
        <v>16</v>
      </c>
      <c r="J1687" s="2">
        <v>22.24</v>
      </c>
      <c r="K1687" s="3">
        <v>46173</v>
      </c>
      <c r="L1687" s="3">
        <v>46176</v>
      </c>
      <c r="M1687" s="1" t="s">
        <v>8286</v>
      </c>
      <c r="N1687" s="1" t="s">
        <v>8285</v>
      </c>
    </row>
    <row r="1688" spans="1:14" s="1" customFormat="1" x14ac:dyDescent="0.35">
      <c r="A1688" s="1" t="s">
        <v>5171</v>
      </c>
      <c r="B1688" s="1" t="s">
        <v>3043</v>
      </c>
      <c r="C1688" s="1" t="s">
        <v>3073</v>
      </c>
      <c r="D1688" s="1" t="s">
        <v>8284</v>
      </c>
      <c r="E1688" s="1" t="str">
        <f>"3820"</f>
        <v>3820</v>
      </c>
      <c r="F1688" s="1" t="str">
        <f>"014732777"</f>
        <v>014732777</v>
      </c>
      <c r="G1688" s="1" t="s">
        <v>8283</v>
      </c>
      <c r="H1688" s="1" t="s">
        <v>16</v>
      </c>
      <c r="I1688" s="4" t="str">
        <f>"1"</f>
        <v>1</v>
      </c>
      <c r="J1688" s="2">
        <v>12889.66</v>
      </c>
      <c r="K1688" s="3">
        <v>46103</v>
      </c>
      <c r="L1688" s="3">
        <v>46177</v>
      </c>
      <c r="M1688" s="1" t="s">
        <v>8282</v>
      </c>
      <c r="N1688" s="1" t="s">
        <v>8281</v>
      </c>
    </row>
    <row r="1689" spans="1:14" s="1" customFormat="1" x14ac:dyDescent="0.35">
      <c r="A1689" s="1" t="s">
        <v>5171</v>
      </c>
      <c r="B1689" s="1" t="s">
        <v>3043</v>
      </c>
      <c r="C1689" s="1" t="s">
        <v>8250</v>
      </c>
      <c r="D1689" s="1" t="s">
        <v>8280</v>
      </c>
      <c r="E1689" s="1" t="str">
        <f>"2320"</f>
        <v>2320</v>
      </c>
      <c r="F1689" s="1" t="str">
        <f>"011233999"</f>
        <v>011233999</v>
      </c>
      <c r="G1689" s="1" t="s">
        <v>271</v>
      </c>
      <c r="H1689" s="1" t="s">
        <v>16</v>
      </c>
      <c r="I1689" s="4" t="str">
        <f>"1"</f>
        <v>1</v>
      </c>
      <c r="J1689" s="2" t="str">
        <f>"11561"</f>
        <v>11561</v>
      </c>
      <c r="K1689" s="3">
        <v>46182</v>
      </c>
      <c r="L1689" s="3">
        <v>46182</v>
      </c>
      <c r="M1689" s="1" t="s">
        <v>5167</v>
      </c>
      <c r="N1689" s="1" t="s">
        <v>8258</v>
      </c>
    </row>
    <row r="1690" spans="1:14" s="1" customFormat="1" x14ac:dyDescent="0.35">
      <c r="A1690" s="1" t="s">
        <v>5171</v>
      </c>
      <c r="B1690" s="1" t="s">
        <v>3043</v>
      </c>
      <c r="C1690" s="1" t="s">
        <v>8279</v>
      </c>
      <c r="D1690" s="1" t="s">
        <v>8278</v>
      </c>
      <c r="E1690" s="1" t="str">
        <f>"6230"</f>
        <v>6230</v>
      </c>
      <c r="F1690" s="1" t="str">
        <f>"015512664"</f>
        <v>015512664</v>
      </c>
      <c r="G1690" s="1" t="s">
        <v>8277</v>
      </c>
      <c r="H1690" s="1" t="s">
        <v>16</v>
      </c>
      <c r="I1690" s="4" t="str">
        <f>"1"</f>
        <v>1</v>
      </c>
      <c r="J1690" s="2" t="str">
        <f>"24930"</f>
        <v>24930</v>
      </c>
      <c r="K1690" s="3">
        <v>46170</v>
      </c>
      <c r="L1690" s="3">
        <v>46188</v>
      </c>
      <c r="M1690" s="1" t="s">
        <v>8276</v>
      </c>
      <c r="N1690" s="1" t="s">
        <v>8275</v>
      </c>
    </row>
    <row r="1691" spans="1:14" s="1" customFormat="1" x14ac:dyDescent="0.35">
      <c r="A1691" s="1" t="s">
        <v>5171</v>
      </c>
      <c r="B1691" s="1" t="s">
        <v>3043</v>
      </c>
      <c r="C1691" s="1" t="s">
        <v>8250</v>
      </c>
      <c r="D1691" s="1" t="s">
        <v>8274</v>
      </c>
      <c r="E1691" s="1" t="str">
        <f>"2330"</f>
        <v>2330</v>
      </c>
      <c r="F1691" s="1" t="str">
        <f>"010911714"</f>
        <v>010911714</v>
      </c>
      <c r="G1691" s="1" t="s">
        <v>8273</v>
      </c>
      <c r="H1691" s="1" t="s">
        <v>16</v>
      </c>
      <c r="I1691" s="4" t="str">
        <f>"1"</f>
        <v>1</v>
      </c>
      <c r="J1691" s="2" t="str">
        <f>"3918"</f>
        <v>3918</v>
      </c>
      <c r="K1691" s="3">
        <v>46188</v>
      </c>
      <c r="L1691" s="3">
        <v>46189</v>
      </c>
      <c r="M1691" s="1" t="s">
        <v>8272</v>
      </c>
      <c r="N1691" s="1" t="s">
        <v>8271</v>
      </c>
    </row>
    <row r="1692" spans="1:14" s="1" customFormat="1" x14ac:dyDescent="0.35">
      <c r="A1692" s="1" t="s">
        <v>5171</v>
      </c>
      <c r="B1692" s="1" t="s">
        <v>3043</v>
      </c>
      <c r="C1692" s="1" t="s">
        <v>8250</v>
      </c>
      <c r="D1692" s="1" t="s">
        <v>8274</v>
      </c>
      <c r="E1692" s="1" t="str">
        <f>"2330"</f>
        <v>2330</v>
      </c>
      <c r="F1692" s="1" t="str">
        <f>"010911714"</f>
        <v>010911714</v>
      </c>
      <c r="G1692" s="1" t="s">
        <v>8273</v>
      </c>
      <c r="H1692" s="1" t="s">
        <v>16</v>
      </c>
      <c r="I1692" s="4" t="str">
        <f>"1"</f>
        <v>1</v>
      </c>
      <c r="J1692" s="2" t="str">
        <f>"3918"</f>
        <v>3918</v>
      </c>
      <c r="K1692" s="3">
        <v>46188</v>
      </c>
      <c r="L1692" s="3">
        <v>46189</v>
      </c>
      <c r="M1692" s="1" t="s">
        <v>8272</v>
      </c>
      <c r="N1692" s="1" t="s">
        <v>8271</v>
      </c>
    </row>
    <row r="1693" spans="1:14" s="1" customFormat="1" x14ac:dyDescent="0.35">
      <c r="A1693" s="1" t="s">
        <v>5171</v>
      </c>
      <c r="B1693" s="1" t="s">
        <v>3043</v>
      </c>
      <c r="C1693" s="1" t="s">
        <v>8250</v>
      </c>
      <c r="D1693" s="1" t="s">
        <v>8270</v>
      </c>
      <c r="E1693" s="1" t="str">
        <f>"2330"</f>
        <v>2330</v>
      </c>
      <c r="F1693" s="1" t="s">
        <v>70</v>
      </c>
      <c r="G1693" s="1" t="s">
        <v>71</v>
      </c>
      <c r="H1693" s="1" t="s">
        <v>16</v>
      </c>
      <c r="I1693" s="4" t="str">
        <f>"1"</f>
        <v>1</v>
      </c>
      <c r="J1693" s="2" t="str">
        <f>"26680"</f>
        <v>26680</v>
      </c>
      <c r="K1693" s="3">
        <v>46188</v>
      </c>
      <c r="L1693" s="3">
        <v>46191</v>
      </c>
      <c r="M1693" s="1" t="s">
        <v>8269</v>
      </c>
      <c r="N1693" s="1" t="s">
        <v>8268</v>
      </c>
    </row>
    <row r="1694" spans="1:14" s="1" customFormat="1" x14ac:dyDescent="0.35">
      <c r="A1694" s="1" t="s">
        <v>5171</v>
      </c>
      <c r="B1694" s="1" t="s">
        <v>3043</v>
      </c>
      <c r="C1694" s="1" t="s">
        <v>3073</v>
      </c>
      <c r="D1694" s="1" t="s">
        <v>8267</v>
      </c>
      <c r="E1694" s="1" t="str">
        <f>"3805"</f>
        <v>3805</v>
      </c>
      <c r="F1694" s="1" t="s">
        <v>384</v>
      </c>
      <c r="G1694" s="1" t="s">
        <v>385</v>
      </c>
      <c r="H1694" s="1" t="s">
        <v>16</v>
      </c>
      <c r="I1694" s="4" t="str">
        <f>"1"</f>
        <v>1</v>
      </c>
      <c r="J1694" s="2" t="str">
        <f>"20000"</f>
        <v>20000</v>
      </c>
      <c r="K1694" s="3">
        <v>46177</v>
      </c>
      <c r="L1694" s="3">
        <v>46196</v>
      </c>
      <c r="M1694" s="1" t="s">
        <v>8266</v>
      </c>
      <c r="N1694" s="1" t="s">
        <v>8265</v>
      </c>
    </row>
    <row r="1695" spans="1:14" s="1" customFormat="1" x14ac:dyDescent="0.35">
      <c r="A1695" s="1" t="s">
        <v>5171</v>
      </c>
      <c r="B1695" s="1" t="s">
        <v>3043</v>
      </c>
      <c r="C1695" s="1" t="s">
        <v>3073</v>
      </c>
      <c r="D1695" s="1" t="s">
        <v>8264</v>
      </c>
      <c r="E1695" s="1" t="str">
        <f>"3413"</f>
        <v>3413</v>
      </c>
      <c r="F1695" s="1" t="str">
        <f>"009263770"</f>
        <v>009263770</v>
      </c>
      <c r="G1695" s="1" t="s">
        <v>8263</v>
      </c>
      <c r="H1695" s="1" t="s">
        <v>16</v>
      </c>
      <c r="I1695" s="4" t="str">
        <f>"3"</f>
        <v>3</v>
      </c>
      <c r="J1695" s="2">
        <v>698.38</v>
      </c>
      <c r="K1695" s="3">
        <v>46196</v>
      </c>
      <c r="L1695" s="3">
        <v>46199</v>
      </c>
      <c r="M1695" s="1" t="s">
        <v>8262</v>
      </c>
      <c r="N1695" s="1" t="s">
        <v>8261</v>
      </c>
    </row>
    <row r="1696" spans="1:14" s="1" customFormat="1" x14ac:dyDescent="0.35">
      <c r="A1696" s="1" t="s">
        <v>5171</v>
      </c>
      <c r="B1696" s="1" t="s">
        <v>3043</v>
      </c>
      <c r="C1696" s="1" t="s">
        <v>8250</v>
      </c>
      <c r="D1696" s="1" t="s">
        <v>8260</v>
      </c>
      <c r="E1696" s="1" t="str">
        <f>"2310"</f>
        <v>2310</v>
      </c>
      <c r="F1696" s="1" t="s">
        <v>178</v>
      </c>
      <c r="G1696" s="1" t="s">
        <v>179</v>
      </c>
      <c r="H1696" s="1" t="s">
        <v>16</v>
      </c>
      <c r="I1696" s="4" t="str">
        <f>"1"</f>
        <v>1</v>
      </c>
      <c r="J1696" s="2" t="str">
        <f>"12554"</f>
        <v>12554</v>
      </c>
      <c r="K1696" s="3">
        <v>46188</v>
      </c>
      <c r="L1696" s="3">
        <v>46200</v>
      </c>
      <c r="M1696" s="1" t="s">
        <v>8259</v>
      </c>
      <c r="N1696" s="1" t="s">
        <v>8258</v>
      </c>
    </row>
    <row r="1697" spans="1:14" s="1" customFormat="1" x14ac:dyDescent="0.35">
      <c r="A1697" s="1" t="s">
        <v>5171</v>
      </c>
      <c r="B1697" s="1" t="s">
        <v>3043</v>
      </c>
      <c r="C1697" s="1" t="s">
        <v>8250</v>
      </c>
      <c r="D1697" s="1" t="s">
        <v>8257</v>
      </c>
      <c r="E1697" s="1" t="str">
        <f>"2330"</f>
        <v>2330</v>
      </c>
      <c r="F1697" s="1" t="s">
        <v>70</v>
      </c>
      <c r="G1697" s="1" t="s">
        <v>71</v>
      </c>
      <c r="H1697" s="1" t="s">
        <v>16</v>
      </c>
      <c r="I1697" s="4" t="str">
        <f>"1"</f>
        <v>1</v>
      </c>
      <c r="J1697" s="2" t="str">
        <f>"26680"</f>
        <v>26680</v>
      </c>
      <c r="K1697" s="3">
        <v>46188</v>
      </c>
      <c r="L1697" s="3">
        <v>46200</v>
      </c>
      <c r="M1697" s="1" t="s">
        <v>8256</v>
      </c>
      <c r="N1697" s="1" t="s">
        <v>8255</v>
      </c>
    </row>
    <row r="1698" spans="1:14" s="1" customFormat="1" x14ac:dyDescent="0.35">
      <c r="A1698" s="1" t="s">
        <v>5171</v>
      </c>
      <c r="B1698" s="1" t="s">
        <v>3043</v>
      </c>
      <c r="C1698" s="1" t="s">
        <v>8250</v>
      </c>
      <c r="D1698" s="1" t="s">
        <v>8254</v>
      </c>
      <c r="E1698" s="1" t="str">
        <f>"2320"</f>
        <v>2320</v>
      </c>
      <c r="F1698" s="1" t="s">
        <v>975</v>
      </c>
      <c r="G1698" s="1" t="s">
        <v>976</v>
      </c>
      <c r="H1698" s="1" t="s">
        <v>16</v>
      </c>
      <c r="I1698" s="4" t="str">
        <f>"1"</f>
        <v>1</v>
      </c>
      <c r="J1698" s="2" t="str">
        <f>"36123"</f>
        <v>36123</v>
      </c>
      <c r="K1698" s="3">
        <v>46196</v>
      </c>
      <c r="L1698" s="3">
        <v>46203</v>
      </c>
      <c r="M1698" s="1" t="s">
        <v>8253</v>
      </c>
      <c r="N1698" s="1" t="s">
        <v>8247</v>
      </c>
    </row>
    <row r="1699" spans="1:14" s="1" customFormat="1" x14ac:dyDescent="0.35">
      <c r="A1699" s="1" t="s">
        <v>5171</v>
      </c>
      <c r="B1699" s="1" t="s">
        <v>3043</v>
      </c>
      <c r="C1699" s="1" t="s">
        <v>8250</v>
      </c>
      <c r="D1699" s="1" t="s">
        <v>8252</v>
      </c>
      <c r="E1699" s="1" t="str">
        <f>"2320"</f>
        <v>2320</v>
      </c>
      <c r="F1699" s="1" t="s">
        <v>975</v>
      </c>
      <c r="G1699" s="1" t="s">
        <v>976</v>
      </c>
      <c r="H1699" s="1" t="s">
        <v>16</v>
      </c>
      <c r="I1699" s="4" t="str">
        <f>"1"</f>
        <v>1</v>
      </c>
      <c r="J1699" s="2">
        <v>36645.83</v>
      </c>
      <c r="K1699" s="3">
        <v>46196</v>
      </c>
      <c r="L1699" s="3">
        <v>46203</v>
      </c>
      <c r="M1699" s="1" t="s">
        <v>8251</v>
      </c>
      <c r="N1699" s="1" t="s">
        <v>8247</v>
      </c>
    </row>
    <row r="1700" spans="1:14" s="1" customFormat="1" x14ac:dyDescent="0.35">
      <c r="A1700" s="1" t="s">
        <v>5171</v>
      </c>
      <c r="B1700" s="1" t="s">
        <v>3043</v>
      </c>
      <c r="C1700" s="1" t="s">
        <v>8250</v>
      </c>
      <c r="D1700" s="1" t="s">
        <v>8249</v>
      </c>
      <c r="E1700" s="1" t="str">
        <f>"2320"</f>
        <v>2320</v>
      </c>
      <c r="F1700" s="1" t="s">
        <v>975</v>
      </c>
      <c r="G1700" s="1" t="s">
        <v>976</v>
      </c>
      <c r="H1700" s="1" t="s">
        <v>16</v>
      </c>
      <c r="I1700" s="4" t="str">
        <f>"1"</f>
        <v>1</v>
      </c>
      <c r="J1700" s="2" t="str">
        <f>"36123"</f>
        <v>36123</v>
      </c>
      <c r="K1700" s="3">
        <v>46196</v>
      </c>
      <c r="L1700" s="3">
        <v>46203</v>
      </c>
      <c r="M1700" s="1" t="s">
        <v>8248</v>
      </c>
      <c r="N1700" s="1" t="s">
        <v>8247</v>
      </c>
    </row>
    <row r="1701" spans="1:14" s="1" customFormat="1" x14ac:dyDescent="0.35">
      <c r="A1701" s="1" t="s">
        <v>5171</v>
      </c>
      <c r="B1701" s="1" t="s">
        <v>3162</v>
      </c>
      <c r="C1701" s="1" t="s">
        <v>3191</v>
      </c>
      <c r="D1701" s="1" t="s">
        <v>8246</v>
      </c>
      <c r="E1701" s="1" t="str">
        <f>"2340"</f>
        <v>2340</v>
      </c>
      <c r="F1701" s="1" t="s">
        <v>84</v>
      </c>
      <c r="G1701" s="1" t="s">
        <v>85</v>
      </c>
      <c r="H1701" s="1" t="s">
        <v>16</v>
      </c>
      <c r="I1701" s="4" t="str">
        <f>"1"</f>
        <v>1</v>
      </c>
      <c r="J1701" s="2">
        <v>16829.71</v>
      </c>
      <c r="K1701" s="3">
        <v>46111</v>
      </c>
      <c r="L1701" s="3">
        <v>46113</v>
      </c>
      <c r="M1701" s="1" t="s">
        <v>8245</v>
      </c>
      <c r="N1701" s="1" t="s">
        <v>8244</v>
      </c>
    </row>
    <row r="1702" spans="1:14" s="1" customFormat="1" x14ac:dyDescent="0.35">
      <c r="A1702" s="1" t="s">
        <v>5171</v>
      </c>
      <c r="B1702" s="1" t="s">
        <v>3162</v>
      </c>
      <c r="C1702" s="1" t="s">
        <v>3248</v>
      </c>
      <c r="D1702" s="1" t="s">
        <v>8243</v>
      </c>
      <c r="E1702" s="1" t="str">
        <f>"2340"</f>
        <v>2340</v>
      </c>
      <c r="F1702" s="1" t="s">
        <v>84</v>
      </c>
      <c r="G1702" s="1" t="s">
        <v>85</v>
      </c>
      <c r="H1702" s="1" t="s">
        <v>16</v>
      </c>
      <c r="I1702" s="4" t="str">
        <f>"1"</f>
        <v>1</v>
      </c>
      <c r="J1702" s="2">
        <v>16829.71</v>
      </c>
      <c r="K1702" s="3">
        <v>46111</v>
      </c>
      <c r="L1702" s="3">
        <v>46113</v>
      </c>
      <c r="M1702" s="1" t="s">
        <v>8242</v>
      </c>
      <c r="N1702" s="1" t="s">
        <v>8241</v>
      </c>
    </row>
    <row r="1703" spans="1:14" s="1" customFormat="1" x14ac:dyDescent="0.35">
      <c r="A1703" s="1" t="s">
        <v>5171</v>
      </c>
      <c r="B1703" s="1" t="s">
        <v>3162</v>
      </c>
      <c r="C1703" s="1" t="s">
        <v>3284</v>
      </c>
      <c r="D1703" s="1" t="s">
        <v>8240</v>
      </c>
      <c r="E1703" s="1" t="str">
        <f>"2340"</f>
        <v>2340</v>
      </c>
      <c r="F1703" s="1" t="s">
        <v>84</v>
      </c>
      <c r="G1703" s="1" t="s">
        <v>85</v>
      </c>
      <c r="H1703" s="1" t="s">
        <v>16</v>
      </c>
      <c r="I1703" s="4" t="str">
        <f>"1"</f>
        <v>1</v>
      </c>
      <c r="J1703" s="2">
        <v>16829.71</v>
      </c>
      <c r="K1703" s="3">
        <v>46111</v>
      </c>
      <c r="L1703" s="3">
        <v>46113</v>
      </c>
      <c r="M1703" s="1" t="s">
        <v>8239</v>
      </c>
      <c r="N1703" s="1" t="s">
        <v>8238</v>
      </c>
    </row>
    <row r="1704" spans="1:14" s="1" customFormat="1" x14ac:dyDescent="0.35">
      <c r="A1704" s="1" t="s">
        <v>5216</v>
      </c>
      <c r="B1704" s="1" t="s">
        <v>3162</v>
      </c>
      <c r="C1704" s="1" t="s">
        <v>3163</v>
      </c>
      <c r="D1704" s="1" t="s">
        <v>8237</v>
      </c>
      <c r="E1704" s="1" t="str">
        <f>"8470"</f>
        <v>8470</v>
      </c>
      <c r="F1704" s="1" t="str">
        <f>"016817809"</f>
        <v>016817809</v>
      </c>
      <c r="G1704" s="1" t="s">
        <v>3173</v>
      </c>
      <c r="H1704" s="1" t="s">
        <v>16</v>
      </c>
      <c r="I1704" s="4" t="str">
        <f>"20"</f>
        <v>20</v>
      </c>
      <c r="J1704" s="2">
        <v>4995.95</v>
      </c>
      <c r="K1704" s="3">
        <v>46113</v>
      </c>
      <c r="L1704" s="3">
        <v>46114</v>
      </c>
      <c r="M1704" s="1" t="s">
        <v>8236</v>
      </c>
      <c r="N1704" s="1" t="s">
        <v>8235</v>
      </c>
    </row>
    <row r="1705" spans="1:14" s="1" customFormat="1" x14ac:dyDescent="0.35">
      <c r="A1705" s="1" t="s">
        <v>5171</v>
      </c>
      <c r="B1705" s="1" t="s">
        <v>3162</v>
      </c>
      <c r="C1705" s="1" t="s">
        <v>3248</v>
      </c>
      <c r="D1705" s="1" t="s">
        <v>8234</v>
      </c>
      <c r="E1705" s="1" t="str">
        <f>"2320"</f>
        <v>2320</v>
      </c>
      <c r="F1705" s="1" t="str">
        <f>"015016635"</f>
        <v>015016635</v>
      </c>
      <c r="G1705" s="1" t="s">
        <v>2303</v>
      </c>
      <c r="H1705" s="1" t="s">
        <v>16</v>
      </c>
      <c r="I1705" s="4" t="str">
        <f>"1"</f>
        <v>1</v>
      </c>
      <c r="J1705" s="2" t="str">
        <f>"45602"</f>
        <v>45602</v>
      </c>
      <c r="K1705" s="3">
        <v>46111</v>
      </c>
      <c r="L1705" s="3">
        <v>46114</v>
      </c>
      <c r="M1705" s="1" t="s">
        <v>8233</v>
      </c>
      <c r="N1705" s="1" t="s">
        <v>8232</v>
      </c>
    </row>
    <row r="1706" spans="1:14" s="1" customFormat="1" x14ac:dyDescent="0.35">
      <c r="A1706" s="1" t="s">
        <v>5171</v>
      </c>
      <c r="B1706" s="1" t="s">
        <v>3162</v>
      </c>
      <c r="C1706" s="1" t="s">
        <v>3284</v>
      </c>
      <c r="D1706" s="1" t="s">
        <v>8231</v>
      </c>
      <c r="E1706" s="1" t="str">
        <f>"2320"</f>
        <v>2320</v>
      </c>
      <c r="F1706" s="1" t="str">
        <f>"015016635"</f>
        <v>015016635</v>
      </c>
      <c r="G1706" s="1" t="s">
        <v>2303</v>
      </c>
      <c r="H1706" s="1" t="s">
        <v>16</v>
      </c>
      <c r="I1706" s="4" t="str">
        <f>"1"</f>
        <v>1</v>
      </c>
      <c r="J1706" s="2" t="str">
        <f>"45602"</f>
        <v>45602</v>
      </c>
      <c r="K1706" s="3">
        <v>46111</v>
      </c>
      <c r="L1706" s="3">
        <v>46114</v>
      </c>
      <c r="M1706" s="1" t="s">
        <v>8230</v>
      </c>
      <c r="N1706" s="1" t="s">
        <v>8229</v>
      </c>
    </row>
    <row r="1707" spans="1:14" s="1" customFormat="1" x14ac:dyDescent="0.35">
      <c r="A1707" s="1" t="s">
        <v>5171</v>
      </c>
      <c r="B1707" s="1" t="s">
        <v>3162</v>
      </c>
      <c r="C1707" s="1" t="s">
        <v>3191</v>
      </c>
      <c r="D1707" s="1" t="s">
        <v>8228</v>
      </c>
      <c r="E1707" s="1" t="str">
        <f>"2330"</f>
        <v>2330</v>
      </c>
      <c r="F1707" s="1" t="s">
        <v>70</v>
      </c>
      <c r="G1707" s="1" t="s">
        <v>71</v>
      </c>
      <c r="H1707" s="1" t="s">
        <v>16</v>
      </c>
      <c r="I1707" s="4" t="str">
        <f>"1"</f>
        <v>1</v>
      </c>
      <c r="J1707" s="2" t="str">
        <f>"14555"</f>
        <v>14555</v>
      </c>
      <c r="K1707" s="3">
        <v>46104</v>
      </c>
      <c r="L1707" s="3">
        <v>46116</v>
      </c>
      <c r="M1707" s="1" t="s">
        <v>8227</v>
      </c>
      <c r="N1707" s="1" t="s">
        <v>8226</v>
      </c>
    </row>
    <row r="1708" spans="1:14" s="1" customFormat="1" x14ac:dyDescent="0.35">
      <c r="A1708" s="1" t="s">
        <v>5230</v>
      </c>
      <c r="B1708" s="1" t="s">
        <v>3162</v>
      </c>
      <c r="C1708" s="1" t="s">
        <v>3284</v>
      </c>
      <c r="D1708" s="1" t="s">
        <v>8225</v>
      </c>
      <c r="E1708" s="1" t="str">
        <f>"1550"</f>
        <v>1550</v>
      </c>
      <c r="F1708" s="1" t="str">
        <f>"016215533"</f>
        <v>016215533</v>
      </c>
      <c r="G1708" s="1" t="s">
        <v>1417</v>
      </c>
      <c r="H1708" s="1" t="s">
        <v>16</v>
      </c>
      <c r="I1708" s="4" t="str">
        <f>"1"</f>
        <v>1</v>
      </c>
      <c r="J1708" s="2" t="str">
        <f>"168000"</f>
        <v>168000</v>
      </c>
      <c r="K1708" s="3">
        <v>46118</v>
      </c>
      <c r="L1708" s="3">
        <v>46118</v>
      </c>
      <c r="M1708" s="1" t="s">
        <v>5469</v>
      </c>
      <c r="N1708" s="1" t="s">
        <v>8222</v>
      </c>
    </row>
    <row r="1709" spans="1:14" s="1" customFormat="1" x14ac:dyDescent="0.35">
      <c r="A1709" s="1" t="s">
        <v>5230</v>
      </c>
      <c r="B1709" s="1" t="s">
        <v>3162</v>
      </c>
      <c r="C1709" s="1" t="s">
        <v>3284</v>
      </c>
      <c r="D1709" s="1" t="s">
        <v>8224</v>
      </c>
      <c r="E1709" s="1" t="str">
        <f>"1550"</f>
        <v>1550</v>
      </c>
      <c r="F1709" s="1" t="str">
        <f>"016215533"</f>
        <v>016215533</v>
      </c>
      <c r="G1709" s="1" t="s">
        <v>1417</v>
      </c>
      <c r="H1709" s="1" t="s">
        <v>16</v>
      </c>
      <c r="I1709" s="4" t="str">
        <f>"1"</f>
        <v>1</v>
      </c>
      <c r="J1709" s="2" t="str">
        <f>"168000"</f>
        <v>168000</v>
      </c>
      <c r="K1709" s="3">
        <v>46118</v>
      </c>
      <c r="L1709" s="3">
        <v>46118</v>
      </c>
      <c r="M1709" s="1" t="s">
        <v>5469</v>
      </c>
      <c r="N1709" s="1" t="s">
        <v>8222</v>
      </c>
    </row>
    <row r="1710" spans="1:14" s="1" customFormat="1" x14ac:dyDescent="0.35">
      <c r="A1710" s="1" t="s">
        <v>5230</v>
      </c>
      <c r="B1710" s="1" t="s">
        <v>3162</v>
      </c>
      <c r="C1710" s="1" t="s">
        <v>3284</v>
      </c>
      <c r="D1710" s="1" t="s">
        <v>8223</v>
      </c>
      <c r="E1710" s="1" t="str">
        <f>"1550"</f>
        <v>1550</v>
      </c>
      <c r="F1710" s="1" t="str">
        <f>"016215533"</f>
        <v>016215533</v>
      </c>
      <c r="G1710" s="1" t="s">
        <v>1417</v>
      </c>
      <c r="H1710" s="1" t="s">
        <v>16</v>
      </c>
      <c r="I1710" s="4" t="str">
        <f>"1"</f>
        <v>1</v>
      </c>
      <c r="J1710" s="2" t="str">
        <f>"168000"</f>
        <v>168000</v>
      </c>
      <c r="K1710" s="3">
        <v>46118</v>
      </c>
      <c r="L1710" s="3">
        <v>46118</v>
      </c>
      <c r="N1710" s="1" t="s">
        <v>8222</v>
      </c>
    </row>
    <row r="1711" spans="1:14" s="1" customFormat="1" x14ac:dyDescent="0.35">
      <c r="A1711" s="1" t="s">
        <v>5171</v>
      </c>
      <c r="B1711" s="1" t="s">
        <v>3162</v>
      </c>
      <c r="C1711" s="1" t="s">
        <v>3334</v>
      </c>
      <c r="D1711" s="1" t="s">
        <v>8221</v>
      </c>
      <c r="E1711" s="1" t="str">
        <f>"8415"</f>
        <v>8415</v>
      </c>
      <c r="F1711" s="1" t="s">
        <v>1139</v>
      </c>
      <c r="G1711" s="1" t="s">
        <v>1140</v>
      </c>
      <c r="H1711" s="1" t="s">
        <v>16</v>
      </c>
      <c r="I1711" s="4" t="str">
        <f>"10"</f>
        <v>10</v>
      </c>
      <c r="J1711" s="2" t="str">
        <f>"179"</f>
        <v>179</v>
      </c>
      <c r="K1711" s="3">
        <v>46117</v>
      </c>
      <c r="L1711" s="3">
        <v>46119</v>
      </c>
      <c r="M1711" s="1" t="s">
        <v>8220</v>
      </c>
      <c r="N1711" s="1" t="s">
        <v>8219</v>
      </c>
    </row>
    <row r="1712" spans="1:14" s="1" customFormat="1" x14ac:dyDescent="0.35">
      <c r="A1712" s="1" t="s">
        <v>5171</v>
      </c>
      <c r="B1712" s="1" t="s">
        <v>3162</v>
      </c>
      <c r="C1712" s="1" t="s">
        <v>3163</v>
      </c>
      <c r="D1712" s="1" t="s">
        <v>8218</v>
      </c>
      <c r="E1712" s="1" t="str">
        <f>"1095"</f>
        <v>1095</v>
      </c>
      <c r="F1712" s="1" t="str">
        <f>"015331733"</f>
        <v>015331733</v>
      </c>
      <c r="G1712" s="1" t="s">
        <v>3165</v>
      </c>
      <c r="H1712" s="1" t="s">
        <v>16</v>
      </c>
      <c r="I1712" s="4" t="str">
        <f>"25"</f>
        <v>25</v>
      </c>
      <c r="J1712" s="2">
        <v>54.7</v>
      </c>
      <c r="K1712" s="3">
        <v>46121</v>
      </c>
      <c r="L1712" s="3">
        <v>46121</v>
      </c>
      <c r="M1712" s="1" t="s">
        <v>5167</v>
      </c>
      <c r="N1712" s="1" t="s">
        <v>8217</v>
      </c>
    </row>
    <row r="1713" spans="1:14" s="1" customFormat="1" x14ac:dyDescent="0.35">
      <c r="A1713" s="1" t="s">
        <v>5171</v>
      </c>
      <c r="B1713" s="1" t="s">
        <v>3162</v>
      </c>
      <c r="C1713" s="1" t="s">
        <v>3175</v>
      </c>
      <c r="D1713" s="1" t="s">
        <v>8216</v>
      </c>
      <c r="E1713" s="1" t="str">
        <f>"6910"</f>
        <v>6910</v>
      </c>
      <c r="F1713" s="1" t="s">
        <v>1124</v>
      </c>
      <c r="G1713" s="1" t="s">
        <v>1125</v>
      </c>
      <c r="H1713" s="1" t="s">
        <v>16</v>
      </c>
      <c r="I1713" s="4" t="str">
        <f>"1"</f>
        <v>1</v>
      </c>
      <c r="J1713" s="2" t="str">
        <f>"39010"</f>
        <v>39010</v>
      </c>
      <c r="K1713" s="3">
        <v>46122</v>
      </c>
      <c r="L1713" s="3">
        <v>46123</v>
      </c>
      <c r="M1713" s="1" t="s">
        <v>5167</v>
      </c>
      <c r="N1713" s="1" t="s">
        <v>8215</v>
      </c>
    </row>
    <row r="1714" spans="1:14" s="1" customFormat="1" x14ac:dyDescent="0.35">
      <c r="A1714" s="1" t="s">
        <v>5171</v>
      </c>
      <c r="B1714" s="1" t="s">
        <v>3162</v>
      </c>
      <c r="C1714" s="1" t="s">
        <v>3175</v>
      </c>
      <c r="D1714" s="1" t="s">
        <v>8214</v>
      </c>
      <c r="E1714" s="1" t="str">
        <f>"8465"</f>
        <v>8465</v>
      </c>
      <c r="F1714" s="1" t="str">
        <f>"016416358"</f>
        <v>016416358</v>
      </c>
      <c r="G1714" s="1" t="s">
        <v>653</v>
      </c>
      <c r="H1714" s="1" t="s">
        <v>16</v>
      </c>
      <c r="I1714" s="4" t="str">
        <f>"25"</f>
        <v>25</v>
      </c>
      <c r="J1714" s="2">
        <v>116.7</v>
      </c>
      <c r="K1714" s="3">
        <v>46122</v>
      </c>
      <c r="L1714" s="3">
        <v>46123</v>
      </c>
      <c r="M1714" s="1" t="s">
        <v>5167</v>
      </c>
      <c r="N1714" s="1" t="s">
        <v>8213</v>
      </c>
    </row>
    <row r="1715" spans="1:14" s="1" customFormat="1" x14ac:dyDescent="0.35">
      <c r="A1715" s="1" t="s">
        <v>5171</v>
      </c>
      <c r="B1715" s="1" t="s">
        <v>3162</v>
      </c>
      <c r="C1715" s="1" t="s">
        <v>3188</v>
      </c>
      <c r="D1715" s="1" t="s">
        <v>8212</v>
      </c>
      <c r="E1715" s="1" t="str">
        <f>"1240"</f>
        <v>1240</v>
      </c>
      <c r="F1715" s="1" t="str">
        <f>"015403690"</f>
        <v>015403690</v>
      </c>
      <c r="G1715" s="1" t="s">
        <v>1103</v>
      </c>
      <c r="H1715" s="1" t="s">
        <v>16</v>
      </c>
      <c r="I1715" s="4" t="str">
        <f>"10"</f>
        <v>10</v>
      </c>
      <c r="J1715" s="2" t="str">
        <f>"340"</f>
        <v>340</v>
      </c>
      <c r="K1715" s="3">
        <v>46078</v>
      </c>
      <c r="L1715" s="3">
        <v>46123</v>
      </c>
      <c r="M1715" s="1" t="s">
        <v>8211</v>
      </c>
      <c r="N1715" s="1" t="s">
        <v>8210</v>
      </c>
    </row>
    <row r="1716" spans="1:14" s="1" customFormat="1" x14ac:dyDescent="0.35">
      <c r="A1716" s="1" t="s">
        <v>5171</v>
      </c>
      <c r="B1716" s="1" t="s">
        <v>3162</v>
      </c>
      <c r="C1716" s="1" t="s">
        <v>3191</v>
      </c>
      <c r="D1716" s="1" t="s">
        <v>8209</v>
      </c>
      <c r="E1716" s="1" t="str">
        <f>"2330"</f>
        <v>2330</v>
      </c>
      <c r="F1716" s="1" t="s">
        <v>70</v>
      </c>
      <c r="G1716" s="1" t="s">
        <v>71</v>
      </c>
      <c r="H1716" s="1" t="s">
        <v>16</v>
      </c>
      <c r="I1716" s="4" t="str">
        <f>"1"</f>
        <v>1</v>
      </c>
      <c r="J1716" s="2" t="str">
        <f>"14000"</f>
        <v>14000</v>
      </c>
      <c r="K1716" s="3">
        <v>46111</v>
      </c>
      <c r="L1716" s="3">
        <v>46123</v>
      </c>
      <c r="M1716" s="1" t="s">
        <v>8208</v>
      </c>
      <c r="N1716" s="1" t="s">
        <v>8205</v>
      </c>
    </row>
    <row r="1717" spans="1:14" s="1" customFormat="1" x14ac:dyDescent="0.35">
      <c r="A1717" s="1" t="s">
        <v>5171</v>
      </c>
      <c r="B1717" s="1" t="s">
        <v>3162</v>
      </c>
      <c r="C1717" s="1" t="s">
        <v>3191</v>
      </c>
      <c r="D1717" s="1" t="s">
        <v>8207</v>
      </c>
      <c r="E1717" s="1" t="str">
        <f>"2330"</f>
        <v>2330</v>
      </c>
      <c r="F1717" s="1" t="s">
        <v>70</v>
      </c>
      <c r="G1717" s="1" t="s">
        <v>71</v>
      </c>
      <c r="H1717" s="1" t="s">
        <v>16</v>
      </c>
      <c r="I1717" s="4" t="str">
        <f>"1"</f>
        <v>1</v>
      </c>
      <c r="J1717" s="2" t="str">
        <f>"14000"</f>
        <v>14000</v>
      </c>
      <c r="K1717" s="3">
        <v>46111</v>
      </c>
      <c r="L1717" s="3">
        <v>46123</v>
      </c>
      <c r="M1717" s="1" t="s">
        <v>8206</v>
      </c>
      <c r="N1717" s="1" t="s">
        <v>8205</v>
      </c>
    </row>
    <row r="1718" spans="1:14" s="1" customFormat="1" x14ac:dyDescent="0.35">
      <c r="A1718" s="1" t="s">
        <v>5171</v>
      </c>
      <c r="B1718" s="1" t="s">
        <v>3162</v>
      </c>
      <c r="C1718" s="1" t="s">
        <v>3248</v>
      </c>
      <c r="D1718" s="1" t="s">
        <v>8204</v>
      </c>
      <c r="E1718" s="1" t="str">
        <f>"6230"</f>
        <v>6230</v>
      </c>
      <c r="F1718" s="1" t="str">
        <f>"013827265"</f>
        <v>013827265</v>
      </c>
      <c r="G1718" s="1" t="s">
        <v>3215</v>
      </c>
      <c r="H1718" s="1" t="s">
        <v>16</v>
      </c>
      <c r="I1718" s="4" t="str">
        <f>"2"</f>
        <v>2</v>
      </c>
      <c r="J1718" s="2" t="str">
        <f>"18400"</f>
        <v>18400</v>
      </c>
      <c r="K1718" s="3">
        <v>46109</v>
      </c>
      <c r="L1718" s="3">
        <v>46123</v>
      </c>
      <c r="M1718" s="1" t="s">
        <v>8203</v>
      </c>
      <c r="N1718" s="1" t="s">
        <v>8202</v>
      </c>
    </row>
    <row r="1719" spans="1:14" s="1" customFormat="1" x14ac:dyDescent="0.35">
      <c r="A1719" s="1" t="s">
        <v>5171</v>
      </c>
      <c r="B1719" s="1" t="s">
        <v>3162</v>
      </c>
      <c r="C1719" s="1" t="s">
        <v>3284</v>
      </c>
      <c r="D1719" s="1" t="s">
        <v>8201</v>
      </c>
      <c r="E1719" s="1" t="str">
        <f>"2340"</f>
        <v>2340</v>
      </c>
      <c r="F1719" s="1" t="s">
        <v>84</v>
      </c>
      <c r="G1719" s="1" t="s">
        <v>85</v>
      </c>
      <c r="H1719" s="1" t="s">
        <v>16</v>
      </c>
      <c r="I1719" s="4" t="str">
        <f>"1"</f>
        <v>1</v>
      </c>
      <c r="J1719" s="2" t="str">
        <f>"1000"</f>
        <v>1000</v>
      </c>
      <c r="K1719" s="3">
        <v>46111</v>
      </c>
      <c r="L1719" s="3">
        <v>46123</v>
      </c>
      <c r="M1719" s="1" t="s">
        <v>8200</v>
      </c>
      <c r="N1719" s="1" t="s">
        <v>8199</v>
      </c>
    </row>
    <row r="1720" spans="1:14" s="1" customFormat="1" x14ac:dyDescent="0.35">
      <c r="A1720" s="1" t="s">
        <v>5171</v>
      </c>
      <c r="B1720" s="1" t="s">
        <v>3162</v>
      </c>
      <c r="C1720" s="1" t="s">
        <v>3284</v>
      </c>
      <c r="D1720" s="1" t="s">
        <v>8198</v>
      </c>
      <c r="E1720" s="1" t="str">
        <f>"2330"</f>
        <v>2330</v>
      </c>
      <c r="F1720" s="1" t="s">
        <v>70</v>
      </c>
      <c r="G1720" s="1" t="s">
        <v>71</v>
      </c>
      <c r="H1720" s="1" t="s">
        <v>16</v>
      </c>
      <c r="I1720" s="4" t="str">
        <f>"1"</f>
        <v>1</v>
      </c>
      <c r="J1720" s="2" t="str">
        <f>"4906"</f>
        <v>4906</v>
      </c>
      <c r="K1720" s="3">
        <v>46111</v>
      </c>
      <c r="L1720" s="3">
        <v>46123</v>
      </c>
      <c r="M1720" s="1" t="s">
        <v>8197</v>
      </c>
      <c r="N1720" s="1" t="s">
        <v>8196</v>
      </c>
    </row>
    <row r="1721" spans="1:14" s="1" customFormat="1" x14ac:dyDescent="0.35">
      <c r="A1721" s="1" t="s">
        <v>5171</v>
      </c>
      <c r="B1721" s="1" t="s">
        <v>3162</v>
      </c>
      <c r="C1721" s="1" t="s">
        <v>3334</v>
      </c>
      <c r="D1721" s="1" t="s">
        <v>8195</v>
      </c>
      <c r="E1721" s="1" t="str">
        <f>"6115"</f>
        <v>6115</v>
      </c>
      <c r="F1721" s="1" t="str">
        <f>"014351565"</f>
        <v>014351565</v>
      </c>
      <c r="G1721" s="1" t="s">
        <v>1390</v>
      </c>
      <c r="H1721" s="1" t="s">
        <v>16</v>
      </c>
      <c r="I1721" s="4" t="str">
        <f>"3"</f>
        <v>3</v>
      </c>
      <c r="J1721" s="2" t="str">
        <f>"5262"</f>
        <v>5262</v>
      </c>
      <c r="K1721" s="3">
        <v>46123</v>
      </c>
      <c r="L1721" s="3">
        <v>46123</v>
      </c>
      <c r="M1721" s="1" t="s">
        <v>5167</v>
      </c>
      <c r="N1721" s="1" t="s">
        <v>8194</v>
      </c>
    </row>
    <row r="1722" spans="1:14" s="1" customFormat="1" x14ac:dyDescent="0.35">
      <c r="A1722" s="1" t="s">
        <v>5171</v>
      </c>
      <c r="B1722" s="1" t="s">
        <v>3162</v>
      </c>
      <c r="C1722" s="1" t="s">
        <v>3334</v>
      </c>
      <c r="D1722" s="1" t="s">
        <v>8193</v>
      </c>
      <c r="E1722" s="1" t="str">
        <f>"8465"</f>
        <v>8465</v>
      </c>
      <c r="F1722" s="1" t="str">
        <f>"016416358"</f>
        <v>016416358</v>
      </c>
      <c r="G1722" s="1" t="s">
        <v>653</v>
      </c>
      <c r="H1722" s="1" t="s">
        <v>16</v>
      </c>
      <c r="I1722" s="4" t="str">
        <f>"20"</f>
        <v>20</v>
      </c>
      <c r="J1722" s="2">
        <v>116.7</v>
      </c>
      <c r="K1722" s="3">
        <v>46123</v>
      </c>
      <c r="L1722" s="3">
        <v>46123</v>
      </c>
      <c r="M1722" s="1" t="s">
        <v>5167</v>
      </c>
      <c r="N1722" s="1" t="s">
        <v>8192</v>
      </c>
    </row>
    <row r="1723" spans="1:14" s="1" customFormat="1" x14ac:dyDescent="0.35">
      <c r="A1723" s="1" t="s">
        <v>5171</v>
      </c>
      <c r="B1723" s="1" t="s">
        <v>3162</v>
      </c>
      <c r="C1723" s="1" t="s">
        <v>3362</v>
      </c>
      <c r="D1723" s="1" t="s">
        <v>8191</v>
      </c>
      <c r="E1723" s="1" t="str">
        <f>"2340"</f>
        <v>2340</v>
      </c>
      <c r="F1723" s="1" t="s">
        <v>84</v>
      </c>
      <c r="G1723" s="1" t="s">
        <v>85</v>
      </c>
      <c r="H1723" s="1" t="s">
        <v>16</v>
      </c>
      <c r="I1723" s="4" t="str">
        <f>"1"</f>
        <v>1</v>
      </c>
      <c r="J1723" s="2" t="str">
        <f>"1000"</f>
        <v>1000</v>
      </c>
      <c r="K1723" s="3">
        <v>46110</v>
      </c>
      <c r="L1723" s="3">
        <v>46123</v>
      </c>
      <c r="M1723" s="1" t="s">
        <v>8190</v>
      </c>
      <c r="N1723" s="1" t="s">
        <v>8189</v>
      </c>
    </row>
    <row r="1724" spans="1:14" s="1" customFormat="1" x14ac:dyDescent="0.35">
      <c r="A1724" s="1" t="s">
        <v>5171</v>
      </c>
      <c r="B1724" s="1" t="s">
        <v>3162</v>
      </c>
      <c r="C1724" s="1" t="s">
        <v>3362</v>
      </c>
      <c r="D1724" s="1" t="s">
        <v>8188</v>
      </c>
      <c r="E1724" s="1" t="str">
        <f>"5130"</f>
        <v>5130</v>
      </c>
      <c r="F1724" s="1" t="s">
        <v>3340</v>
      </c>
      <c r="G1724" s="1" t="s">
        <v>3341</v>
      </c>
      <c r="H1724" s="1" t="s">
        <v>16</v>
      </c>
      <c r="I1724" s="4" t="str">
        <f>"1"</f>
        <v>1</v>
      </c>
      <c r="J1724" s="2">
        <v>3215.86</v>
      </c>
      <c r="K1724" s="3">
        <v>46116</v>
      </c>
      <c r="L1724" s="3">
        <v>46123</v>
      </c>
      <c r="M1724" s="1" t="s">
        <v>8187</v>
      </c>
      <c r="N1724" s="1" t="s">
        <v>8186</v>
      </c>
    </row>
    <row r="1725" spans="1:14" s="1" customFormat="1" x14ac:dyDescent="0.35">
      <c r="A1725" s="1" t="s">
        <v>5216</v>
      </c>
      <c r="B1725" s="1" t="s">
        <v>3162</v>
      </c>
      <c r="C1725" s="1" t="s">
        <v>3175</v>
      </c>
      <c r="D1725" s="1" t="s">
        <v>8185</v>
      </c>
      <c r="E1725" s="1" t="str">
        <f>"6545"</f>
        <v>6545</v>
      </c>
      <c r="F1725" s="1" t="str">
        <f>"015300929"</f>
        <v>015300929</v>
      </c>
      <c r="G1725" s="1" t="s">
        <v>236</v>
      </c>
      <c r="H1725" s="1" t="s">
        <v>215</v>
      </c>
      <c r="I1725" s="4" t="str">
        <f>"50"</f>
        <v>50</v>
      </c>
      <c r="J1725" s="2">
        <v>48.71</v>
      </c>
      <c r="K1725" s="3">
        <v>46122</v>
      </c>
      <c r="L1725" s="3">
        <v>46125</v>
      </c>
      <c r="M1725" s="1" t="s">
        <v>8184</v>
      </c>
      <c r="N1725" s="1" t="s">
        <v>8183</v>
      </c>
    </row>
    <row r="1726" spans="1:14" s="1" customFormat="1" x14ac:dyDescent="0.35">
      <c r="A1726" s="1" t="s">
        <v>5171</v>
      </c>
      <c r="B1726" s="1" t="s">
        <v>3162</v>
      </c>
      <c r="C1726" s="1" t="s">
        <v>8182</v>
      </c>
      <c r="D1726" s="1" t="s">
        <v>8181</v>
      </c>
      <c r="E1726" s="1" t="str">
        <f>"2320"</f>
        <v>2320</v>
      </c>
      <c r="F1726" s="1" t="str">
        <f>"015336348"</f>
        <v>015336348</v>
      </c>
      <c r="G1726" s="1" t="s">
        <v>414</v>
      </c>
      <c r="H1726" s="1" t="s">
        <v>16</v>
      </c>
      <c r="I1726" s="4" t="str">
        <f>"2"</f>
        <v>2</v>
      </c>
      <c r="J1726" s="2" t="str">
        <f>"8800"</f>
        <v>8800</v>
      </c>
      <c r="K1726" s="3">
        <v>46095</v>
      </c>
      <c r="L1726" s="3">
        <v>46125</v>
      </c>
      <c r="M1726" s="1" t="s">
        <v>8180</v>
      </c>
      <c r="N1726" s="1" t="s">
        <v>8179</v>
      </c>
    </row>
    <row r="1727" spans="1:14" s="1" customFormat="1" x14ac:dyDescent="0.35">
      <c r="A1727" s="1" t="s">
        <v>5171</v>
      </c>
      <c r="B1727" s="1" t="s">
        <v>3162</v>
      </c>
      <c r="C1727" s="1" t="s">
        <v>3375</v>
      </c>
      <c r="D1727" s="1" t="s">
        <v>8178</v>
      </c>
      <c r="E1727" s="1" t="str">
        <f>"2330"</f>
        <v>2330</v>
      </c>
      <c r="F1727" s="1" t="s">
        <v>70</v>
      </c>
      <c r="G1727" s="1" t="s">
        <v>71</v>
      </c>
      <c r="H1727" s="1" t="s">
        <v>16</v>
      </c>
      <c r="I1727" s="4" t="str">
        <f>"1"</f>
        <v>1</v>
      </c>
      <c r="J1727" s="2" t="str">
        <f>"4906"</f>
        <v>4906</v>
      </c>
      <c r="K1727" s="3">
        <v>46109</v>
      </c>
      <c r="L1727" s="3">
        <v>46126</v>
      </c>
      <c r="M1727" s="1" t="s">
        <v>8177</v>
      </c>
      <c r="N1727" s="1" t="s">
        <v>8176</v>
      </c>
    </row>
    <row r="1728" spans="1:14" s="1" customFormat="1" x14ac:dyDescent="0.35">
      <c r="A1728" s="1" t="s">
        <v>5171</v>
      </c>
      <c r="B1728" s="1" t="s">
        <v>3162</v>
      </c>
      <c r="C1728" s="1" t="s">
        <v>3375</v>
      </c>
      <c r="D1728" s="1" t="s">
        <v>8175</v>
      </c>
      <c r="E1728" s="1" t="str">
        <f>"8145"</f>
        <v>8145</v>
      </c>
      <c r="F1728" s="1" t="str">
        <f>"015010843"</f>
        <v>015010843</v>
      </c>
      <c r="G1728" s="1" t="s">
        <v>423</v>
      </c>
      <c r="H1728" s="1" t="s">
        <v>16</v>
      </c>
      <c r="I1728" s="4" t="str">
        <f>"1"</f>
        <v>1</v>
      </c>
      <c r="J1728" s="2">
        <v>17756.259999999998</v>
      </c>
      <c r="K1728" s="3">
        <v>46110</v>
      </c>
      <c r="L1728" s="3">
        <v>46126</v>
      </c>
      <c r="M1728" s="1" t="s">
        <v>8174</v>
      </c>
      <c r="N1728" s="1" t="s">
        <v>8173</v>
      </c>
    </row>
    <row r="1729" spans="1:14" s="1" customFormat="1" x14ac:dyDescent="0.35">
      <c r="A1729" s="1" t="s">
        <v>5171</v>
      </c>
      <c r="B1729" s="1" t="s">
        <v>3162</v>
      </c>
      <c r="C1729" s="1" t="s">
        <v>3375</v>
      </c>
      <c r="D1729" s="1" t="s">
        <v>8172</v>
      </c>
      <c r="E1729" s="1" t="str">
        <f>"2320"</f>
        <v>2320</v>
      </c>
      <c r="F1729" s="1" t="str">
        <f>"009263656"</f>
        <v>009263656</v>
      </c>
      <c r="G1729" s="1" t="s">
        <v>271</v>
      </c>
      <c r="H1729" s="1" t="s">
        <v>16</v>
      </c>
      <c r="I1729" s="4" t="str">
        <f>"1"</f>
        <v>1</v>
      </c>
      <c r="J1729" s="2" t="str">
        <f>"4169"</f>
        <v>4169</v>
      </c>
      <c r="K1729" s="3">
        <v>46124</v>
      </c>
      <c r="L1729" s="3">
        <v>46126</v>
      </c>
      <c r="M1729" s="1" t="s">
        <v>8171</v>
      </c>
      <c r="N1729" s="1" t="s">
        <v>8170</v>
      </c>
    </row>
    <row r="1730" spans="1:14" s="1" customFormat="1" x14ac:dyDescent="0.35">
      <c r="A1730" s="1" t="s">
        <v>5171</v>
      </c>
      <c r="B1730" s="1" t="s">
        <v>3162</v>
      </c>
      <c r="C1730" s="1" t="s">
        <v>3375</v>
      </c>
      <c r="D1730" s="1" t="s">
        <v>8172</v>
      </c>
      <c r="E1730" s="1" t="str">
        <f>"2320"</f>
        <v>2320</v>
      </c>
      <c r="F1730" s="1" t="str">
        <f>"009263656"</f>
        <v>009263656</v>
      </c>
      <c r="G1730" s="1" t="s">
        <v>271</v>
      </c>
      <c r="H1730" s="1" t="s">
        <v>16</v>
      </c>
      <c r="I1730" s="4" t="str">
        <f>"1"</f>
        <v>1</v>
      </c>
      <c r="J1730" s="2" t="str">
        <f>"4169"</f>
        <v>4169</v>
      </c>
      <c r="K1730" s="3">
        <v>46124</v>
      </c>
      <c r="L1730" s="3">
        <v>46126</v>
      </c>
      <c r="M1730" s="1" t="s">
        <v>8171</v>
      </c>
      <c r="N1730" s="1" t="s">
        <v>8170</v>
      </c>
    </row>
    <row r="1731" spans="1:14" s="1" customFormat="1" x14ac:dyDescent="0.35">
      <c r="A1731" s="1" t="s">
        <v>5171</v>
      </c>
      <c r="B1731" s="1" t="s">
        <v>3162</v>
      </c>
      <c r="C1731" s="1" t="s">
        <v>3396</v>
      </c>
      <c r="D1731" s="1" t="s">
        <v>8169</v>
      </c>
      <c r="E1731" s="1" t="str">
        <f>"1240"</f>
        <v>1240</v>
      </c>
      <c r="F1731" s="1" t="str">
        <f>"015629459"</f>
        <v>015629459</v>
      </c>
      <c r="G1731" s="1" t="s">
        <v>1159</v>
      </c>
      <c r="H1731" s="1" t="s">
        <v>16</v>
      </c>
      <c r="I1731" s="4" t="str">
        <f>"21"</f>
        <v>21</v>
      </c>
      <c r="J1731" s="2">
        <v>412.22</v>
      </c>
      <c r="K1731" s="3">
        <v>46126</v>
      </c>
      <c r="L1731" s="3">
        <v>46126</v>
      </c>
      <c r="M1731" s="1" t="s">
        <v>5167</v>
      </c>
      <c r="N1731" s="1" t="s">
        <v>8168</v>
      </c>
    </row>
    <row r="1732" spans="1:14" s="1" customFormat="1" x14ac:dyDescent="0.35">
      <c r="A1732" s="1" t="s">
        <v>5171</v>
      </c>
      <c r="B1732" s="1" t="s">
        <v>3162</v>
      </c>
      <c r="C1732" s="1" t="s">
        <v>3396</v>
      </c>
      <c r="D1732" s="1" t="s">
        <v>8167</v>
      </c>
      <c r="E1732" s="1" t="str">
        <f>"4240"</f>
        <v>4240</v>
      </c>
      <c r="F1732" s="1" t="str">
        <f>"015835206"</f>
        <v>015835206</v>
      </c>
      <c r="G1732" s="1" t="s">
        <v>561</v>
      </c>
      <c r="H1732" s="1" t="s">
        <v>16</v>
      </c>
      <c r="I1732" s="4" t="str">
        <f>"164"</f>
        <v>164</v>
      </c>
      <c r="J1732" s="2">
        <v>52.5</v>
      </c>
      <c r="K1732" s="3">
        <v>46095</v>
      </c>
      <c r="L1732" s="3">
        <v>46127</v>
      </c>
      <c r="M1732" s="1" t="s">
        <v>8166</v>
      </c>
      <c r="N1732" s="1" t="s">
        <v>8165</v>
      </c>
    </row>
    <row r="1733" spans="1:14" s="1" customFormat="1" x14ac:dyDescent="0.35">
      <c r="A1733" s="1" t="s">
        <v>5171</v>
      </c>
      <c r="B1733" s="1" t="s">
        <v>3162</v>
      </c>
      <c r="C1733" s="1" t="s">
        <v>3248</v>
      </c>
      <c r="D1733" s="1" t="s">
        <v>8164</v>
      </c>
      <c r="E1733" s="1" t="str">
        <f>"2320"</f>
        <v>2320</v>
      </c>
      <c r="F1733" s="1" t="str">
        <f>"010907782"</f>
        <v>010907782</v>
      </c>
      <c r="G1733" s="1" t="s">
        <v>4227</v>
      </c>
      <c r="H1733" s="1" t="s">
        <v>16</v>
      </c>
      <c r="I1733" s="4" t="str">
        <f>"1"</f>
        <v>1</v>
      </c>
      <c r="J1733" s="2" t="str">
        <f>"30485"</f>
        <v>30485</v>
      </c>
      <c r="K1733" s="3">
        <v>46116</v>
      </c>
      <c r="L1733" s="3">
        <v>46130</v>
      </c>
      <c r="M1733" s="1" t="s">
        <v>8163</v>
      </c>
      <c r="N1733" s="1" t="s">
        <v>8162</v>
      </c>
    </row>
    <row r="1734" spans="1:14" s="1" customFormat="1" x14ac:dyDescent="0.35">
      <c r="A1734" s="1" t="s">
        <v>5171</v>
      </c>
      <c r="B1734" s="1" t="s">
        <v>3162</v>
      </c>
      <c r="C1734" s="1" t="s">
        <v>3248</v>
      </c>
      <c r="D1734" s="1" t="s">
        <v>8161</v>
      </c>
      <c r="E1734" s="1" t="str">
        <f>"2420"</f>
        <v>2420</v>
      </c>
      <c r="F1734" s="1" t="s">
        <v>501</v>
      </c>
      <c r="G1734" s="1" t="s">
        <v>502</v>
      </c>
      <c r="H1734" s="1" t="s">
        <v>16</v>
      </c>
      <c r="I1734" s="4" t="str">
        <f>"1"</f>
        <v>1</v>
      </c>
      <c r="J1734" s="2" t="str">
        <f>"20000"</f>
        <v>20000</v>
      </c>
      <c r="K1734" s="3">
        <v>46116</v>
      </c>
      <c r="L1734" s="3">
        <v>46130</v>
      </c>
      <c r="M1734" s="1" t="s">
        <v>8160</v>
      </c>
      <c r="N1734" s="1" t="s">
        <v>8159</v>
      </c>
    </row>
    <row r="1735" spans="1:14" s="1" customFormat="1" x14ac:dyDescent="0.35">
      <c r="A1735" s="1" t="s">
        <v>5171</v>
      </c>
      <c r="B1735" s="1" t="s">
        <v>3162</v>
      </c>
      <c r="C1735" s="1" t="s">
        <v>3334</v>
      </c>
      <c r="D1735" s="1" t="s">
        <v>8158</v>
      </c>
      <c r="E1735" s="1" t="str">
        <f>"2330"</f>
        <v>2330</v>
      </c>
      <c r="F1735" s="1" t="s">
        <v>70</v>
      </c>
      <c r="G1735" s="1" t="s">
        <v>71</v>
      </c>
      <c r="H1735" s="1" t="s">
        <v>16</v>
      </c>
      <c r="I1735" s="4" t="str">
        <f>"1"</f>
        <v>1</v>
      </c>
      <c r="J1735" s="2" t="str">
        <f>"14555"</f>
        <v>14555</v>
      </c>
      <c r="K1735" s="3">
        <v>46117</v>
      </c>
      <c r="L1735" s="3">
        <v>46130</v>
      </c>
      <c r="M1735" s="1" t="s">
        <v>8157</v>
      </c>
      <c r="N1735" s="1" t="s">
        <v>8156</v>
      </c>
    </row>
    <row r="1736" spans="1:14" s="1" customFormat="1" x14ac:dyDescent="0.35">
      <c r="A1736" s="1" t="s">
        <v>5171</v>
      </c>
      <c r="B1736" s="1" t="s">
        <v>3162</v>
      </c>
      <c r="C1736" s="1" t="s">
        <v>3334</v>
      </c>
      <c r="D1736" s="1" t="s">
        <v>8155</v>
      </c>
      <c r="E1736" s="1" t="str">
        <f>"2320"</f>
        <v>2320</v>
      </c>
      <c r="F1736" s="1" t="s">
        <v>975</v>
      </c>
      <c r="G1736" s="1" t="s">
        <v>976</v>
      </c>
      <c r="H1736" s="1" t="s">
        <v>16</v>
      </c>
      <c r="I1736" s="4" t="str">
        <f>"1"</f>
        <v>1</v>
      </c>
      <c r="J1736" s="2" t="str">
        <f>"25287"</f>
        <v>25287</v>
      </c>
      <c r="K1736" s="3">
        <v>46117</v>
      </c>
      <c r="L1736" s="3">
        <v>46130</v>
      </c>
      <c r="M1736" s="1" t="s">
        <v>8154</v>
      </c>
      <c r="N1736" s="1" t="s">
        <v>8153</v>
      </c>
    </row>
    <row r="1737" spans="1:14" s="1" customFormat="1" x14ac:dyDescent="0.35">
      <c r="A1737" s="1" t="s">
        <v>0</v>
      </c>
      <c r="B1737" s="1" t="s">
        <v>3162</v>
      </c>
      <c r="C1737" s="1" t="s">
        <v>3248</v>
      </c>
      <c r="D1737" s="1" t="s">
        <v>8152</v>
      </c>
      <c r="E1737" s="1" t="str">
        <f>"2355"</f>
        <v>2355</v>
      </c>
      <c r="F1737" s="1" t="str">
        <f>"015534634"</f>
        <v>015534634</v>
      </c>
      <c r="G1737" s="1" t="s">
        <v>8151</v>
      </c>
      <c r="H1737" s="1" t="s">
        <v>16</v>
      </c>
      <c r="I1737" s="4" t="str">
        <f>"1"</f>
        <v>1</v>
      </c>
      <c r="J1737" s="2" t="str">
        <f>"658000"</f>
        <v>658000</v>
      </c>
      <c r="K1737" s="3">
        <v>46130</v>
      </c>
      <c r="L1737" s="3">
        <v>46133</v>
      </c>
      <c r="M1737" s="1" t="s">
        <v>8150</v>
      </c>
      <c r="N1737" s="1" t="s">
        <v>8149</v>
      </c>
    </row>
    <row r="1738" spans="1:14" s="1" customFormat="1" x14ac:dyDescent="0.35">
      <c r="A1738" s="1" t="s">
        <v>5171</v>
      </c>
      <c r="B1738" s="1" t="s">
        <v>3162</v>
      </c>
      <c r="C1738" s="1" t="s">
        <v>8130</v>
      </c>
      <c r="D1738" s="1" t="s">
        <v>8148</v>
      </c>
      <c r="E1738" s="1" t="str">
        <f>"7025"</f>
        <v>7025</v>
      </c>
      <c r="F1738" s="1" t="str">
        <f>"016041808"</f>
        <v>016041808</v>
      </c>
      <c r="G1738" s="1" t="s">
        <v>2959</v>
      </c>
      <c r="H1738" s="1" t="s">
        <v>16</v>
      </c>
      <c r="I1738" s="4" t="str">
        <f>"24"</f>
        <v>24</v>
      </c>
      <c r="J1738" s="2" t="str">
        <f>"481"</f>
        <v>481</v>
      </c>
      <c r="K1738" s="3">
        <v>46133</v>
      </c>
      <c r="L1738" s="3">
        <v>46134</v>
      </c>
      <c r="M1738" s="1" t="s">
        <v>5167</v>
      </c>
      <c r="N1738" s="1" t="s">
        <v>8146</v>
      </c>
    </row>
    <row r="1739" spans="1:14" s="1" customFormat="1" x14ac:dyDescent="0.35">
      <c r="A1739" s="1" t="s">
        <v>5171</v>
      </c>
      <c r="B1739" s="1" t="s">
        <v>3162</v>
      </c>
      <c r="C1739" s="1" t="s">
        <v>8130</v>
      </c>
      <c r="D1739" s="1" t="s">
        <v>8147</v>
      </c>
      <c r="E1739" s="1" t="str">
        <f>"7025"</f>
        <v>7025</v>
      </c>
      <c r="F1739" s="1" t="str">
        <f>"016041808"</f>
        <v>016041808</v>
      </c>
      <c r="G1739" s="1" t="s">
        <v>2959</v>
      </c>
      <c r="H1739" s="1" t="s">
        <v>16</v>
      </c>
      <c r="I1739" s="4" t="str">
        <f>"24"</f>
        <v>24</v>
      </c>
      <c r="J1739" s="2" t="str">
        <f>"481"</f>
        <v>481</v>
      </c>
      <c r="K1739" s="3">
        <v>46133</v>
      </c>
      <c r="L1739" s="3">
        <v>46134</v>
      </c>
      <c r="M1739" s="1" t="s">
        <v>5167</v>
      </c>
      <c r="N1739" s="1" t="s">
        <v>8146</v>
      </c>
    </row>
    <row r="1740" spans="1:14" s="1" customFormat="1" x14ac:dyDescent="0.35">
      <c r="A1740" s="1" t="s">
        <v>5171</v>
      </c>
      <c r="B1740" s="1" t="s">
        <v>3162</v>
      </c>
      <c r="C1740" s="1" t="s">
        <v>8006</v>
      </c>
      <c r="D1740" s="1" t="s">
        <v>8145</v>
      </c>
      <c r="E1740" s="1" t="str">
        <f>"5855"</f>
        <v>5855</v>
      </c>
      <c r="F1740" s="1" t="str">
        <f>"015096872"</f>
        <v>015096872</v>
      </c>
      <c r="G1740" s="1" t="s">
        <v>5364</v>
      </c>
      <c r="H1740" s="1" t="s">
        <v>16</v>
      </c>
      <c r="I1740" s="4" t="str">
        <f>"1"</f>
        <v>1</v>
      </c>
      <c r="J1740" s="2" t="str">
        <f>"1160"</f>
        <v>1160</v>
      </c>
      <c r="K1740" s="3">
        <v>46134</v>
      </c>
      <c r="L1740" s="3">
        <v>46136</v>
      </c>
      <c r="M1740" s="1" t="s">
        <v>5167</v>
      </c>
      <c r="N1740" s="1" t="s">
        <v>8144</v>
      </c>
    </row>
    <row r="1741" spans="1:14" s="1" customFormat="1" x14ac:dyDescent="0.35">
      <c r="A1741" s="1" t="s">
        <v>5171</v>
      </c>
      <c r="B1741" s="1" t="s">
        <v>3162</v>
      </c>
      <c r="C1741" s="1" t="s">
        <v>3396</v>
      </c>
      <c r="D1741" s="1" t="s">
        <v>8143</v>
      </c>
      <c r="E1741" s="1" t="str">
        <f>"8415"</f>
        <v>8415</v>
      </c>
      <c r="F1741" s="1" t="str">
        <f>"015386289"</f>
        <v>015386289</v>
      </c>
      <c r="G1741" s="1" t="s">
        <v>1718</v>
      </c>
      <c r="H1741" s="1" t="s">
        <v>16</v>
      </c>
      <c r="I1741" s="4" t="str">
        <f>"8"</f>
        <v>8</v>
      </c>
      <c r="J1741" s="2">
        <v>137.97999999999999</v>
      </c>
      <c r="K1741" s="3">
        <v>46126</v>
      </c>
      <c r="L1741" s="3">
        <v>46137</v>
      </c>
      <c r="M1741" s="1" t="s">
        <v>8142</v>
      </c>
      <c r="N1741" s="1" t="s">
        <v>3427</v>
      </c>
    </row>
    <row r="1742" spans="1:14" s="1" customFormat="1" x14ac:dyDescent="0.35">
      <c r="A1742" s="1" t="s">
        <v>5171</v>
      </c>
      <c r="B1742" s="1" t="s">
        <v>3162</v>
      </c>
      <c r="C1742" s="1" t="s">
        <v>3396</v>
      </c>
      <c r="D1742" s="1" t="s">
        <v>8141</v>
      </c>
      <c r="E1742" s="1" t="str">
        <f>"8415"</f>
        <v>8415</v>
      </c>
      <c r="F1742" s="1" t="str">
        <f>"015386695"</f>
        <v>015386695</v>
      </c>
      <c r="G1742" s="1" t="s">
        <v>672</v>
      </c>
      <c r="H1742" s="1" t="s">
        <v>16</v>
      </c>
      <c r="I1742" s="4" t="str">
        <f>"5"</f>
        <v>5</v>
      </c>
      <c r="J1742" s="2">
        <v>123.35</v>
      </c>
      <c r="K1742" s="3">
        <v>46126</v>
      </c>
      <c r="L1742" s="3">
        <v>46137</v>
      </c>
      <c r="M1742" s="1" t="s">
        <v>8140</v>
      </c>
      <c r="N1742" s="1" t="s">
        <v>3427</v>
      </c>
    </row>
    <row r="1743" spans="1:14" s="1" customFormat="1" x14ac:dyDescent="0.35">
      <c r="A1743" s="1" t="s">
        <v>5171</v>
      </c>
      <c r="B1743" s="1" t="s">
        <v>3162</v>
      </c>
      <c r="C1743" s="1" t="s">
        <v>3396</v>
      </c>
      <c r="D1743" s="1" t="s">
        <v>8139</v>
      </c>
      <c r="E1743" s="1" t="str">
        <f>"8415"</f>
        <v>8415</v>
      </c>
      <c r="F1743" s="1" t="str">
        <f>"015460019"</f>
        <v>015460019</v>
      </c>
      <c r="G1743" s="1" t="s">
        <v>672</v>
      </c>
      <c r="H1743" s="1" t="s">
        <v>16</v>
      </c>
      <c r="I1743" s="4" t="str">
        <f>"1"</f>
        <v>1</v>
      </c>
      <c r="J1743" s="2">
        <v>123.35</v>
      </c>
      <c r="K1743" s="3">
        <v>46126</v>
      </c>
      <c r="L1743" s="3">
        <v>46137</v>
      </c>
      <c r="M1743" s="1" t="s">
        <v>8138</v>
      </c>
      <c r="N1743" s="1" t="s">
        <v>3430</v>
      </c>
    </row>
    <row r="1744" spans="1:14" s="1" customFormat="1" x14ac:dyDescent="0.35">
      <c r="A1744" s="1" t="s">
        <v>5216</v>
      </c>
      <c r="B1744" s="1" t="s">
        <v>3162</v>
      </c>
      <c r="C1744" s="1" t="s">
        <v>3248</v>
      </c>
      <c r="D1744" s="1" t="s">
        <v>8137</v>
      </c>
      <c r="E1744" s="1" t="str">
        <f>"2340"</f>
        <v>2340</v>
      </c>
      <c r="F1744" s="1" t="s">
        <v>84</v>
      </c>
      <c r="G1744" s="1" t="s">
        <v>85</v>
      </c>
      <c r="H1744" s="1" t="s">
        <v>16</v>
      </c>
      <c r="I1744" s="4" t="str">
        <f>"1"</f>
        <v>1</v>
      </c>
      <c r="J1744" s="2">
        <v>31905.14</v>
      </c>
      <c r="K1744" s="3">
        <v>46137</v>
      </c>
      <c r="L1744" s="3">
        <v>46139</v>
      </c>
      <c r="M1744" s="1" t="s">
        <v>5608</v>
      </c>
      <c r="N1744" s="1" t="s">
        <v>8104</v>
      </c>
    </row>
    <row r="1745" spans="1:14" s="1" customFormat="1" x14ac:dyDescent="0.35">
      <c r="A1745" s="1" t="s">
        <v>5171</v>
      </c>
      <c r="B1745" s="1" t="s">
        <v>3162</v>
      </c>
      <c r="C1745" s="1" t="s">
        <v>3396</v>
      </c>
      <c r="D1745" s="1" t="s">
        <v>8136</v>
      </c>
      <c r="E1745" s="1" t="str">
        <f>"8415"</f>
        <v>8415</v>
      </c>
      <c r="F1745" s="1" t="str">
        <f>"015386308"</f>
        <v>015386308</v>
      </c>
      <c r="G1745" s="1" t="s">
        <v>1718</v>
      </c>
      <c r="H1745" s="1" t="s">
        <v>16</v>
      </c>
      <c r="I1745" s="4" t="str">
        <f>"5"</f>
        <v>5</v>
      </c>
      <c r="J1745" s="2">
        <v>137.97999999999999</v>
      </c>
      <c r="K1745" s="3">
        <v>46126</v>
      </c>
      <c r="L1745" s="3">
        <v>46139</v>
      </c>
      <c r="M1745" s="1" t="s">
        <v>8135</v>
      </c>
      <c r="N1745" s="1" t="s">
        <v>3427</v>
      </c>
    </row>
    <row r="1746" spans="1:14" s="1" customFormat="1" x14ac:dyDescent="0.35">
      <c r="A1746" s="1" t="s">
        <v>5171</v>
      </c>
      <c r="B1746" s="1" t="s">
        <v>3162</v>
      </c>
      <c r="C1746" s="1" t="s">
        <v>3396</v>
      </c>
      <c r="D1746" s="1" t="s">
        <v>8134</v>
      </c>
      <c r="E1746" s="1" t="str">
        <f>"8415"</f>
        <v>8415</v>
      </c>
      <c r="F1746" s="1" t="str">
        <f>"015386706"</f>
        <v>015386706</v>
      </c>
      <c r="G1746" s="1" t="s">
        <v>672</v>
      </c>
      <c r="H1746" s="1" t="s">
        <v>16</v>
      </c>
      <c r="I1746" s="4" t="str">
        <f>"3"</f>
        <v>3</v>
      </c>
      <c r="J1746" s="2">
        <v>123.35</v>
      </c>
      <c r="K1746" s="3">
        <v>46126</v>
      </c>
      <c r="L1746" s="3">
        <v>46139</v>
      </c>
      <c r="M1746" s="1" t="s">
        <v>8133</v>
      </c>
      <c r="N1746" s="1" t="s">
        <v>3427</v>
      </c>
    </row>
    <row r="1747" spans="1:14" s="1" customFormat="1" x14ac:dyDescent="0.35">
      <c r="A1747" s="1" t="s">
        <v>5171</v>
      </c>
      <c r="B1747" s="1" t="s">
        <v>3162</v>
      </c>
      <c r="C1747" s="1" t="s">
        <v>3396</v>
      </c>
      <c r="D1747" s="1" t="s">
        <v>8132</v>
      </c>
      <c r="E1747" s="1" t="str">
        <f>"8415"</f>
        <v>8415</v>
      </c>
      <c r="F1747" s="1" t="str">
        <f>"015386704"</f>
        <v>015386704</v>
      </c>
      <c r="G1747" s="1" t="s">
        <v>672</v>
      </c>
      <c r="H1747" s="1" t="s">
        <v>16</v>
      </c>
      <c r="I1747" s="4" t="str">
        <f>"2"</f>
        <v>2</v>
      </c>
      <c r="J1747" s="2">
        <v>123.35</v>
      </c>
      <c r="K1747" s="3">
        <v>46126</v>
      </c>
      <c r="L1747" s="3">
        <v>46139</v>
      </c>
      <c r="M1747" s="1" t="s">
        <v>8131</v>
      </c>
      <c r="N1747" s="1" t="s">
        <v>3427</v>
      </c>
    </row>
    <row r="1748" spans="1:14" s="1" customFormat="1" x14ac:dyDescent="0.35">
      <c r="A1748" s="1" t="s">
        <v>5171</v>
      </c>
      <c r="B1748" s="1" t="s">
        <v>3162</v>
      </c>
      <c r="C1748" s="1" t="s">
        <v>8130</v>
      </c>
      <c r="D1748" s="1" t="s">
        <v>8129</v>
      </c>
      <c r="E1748" s="1" t="str">
        <f>"7820"</f>
        <v>7820</v>
      </c>
      <c r="F1748" s="1" t="s">
        <v>8128</v>
      </c>
      <c r="G1748" s="1" t="s">
        <v>8127</v>
      </c>
      <c r="H1748" s="1" t="s">
        <v>16</v>
      </c>
      <c r="I1748" s="4" t="str">
        <f>"1"</f>
        <v>1</v>
      </c>
      <c r="J1748" s="2" t="str">
        <f>"1000"</f>
        <v>1000</v>
      </c>
      <c r="K1748" s="3">
        <v>46133</v>
      </c>
      <c r="L1748" s="3">
        <v>46140</v>
      </c>
      <c r="M1748" s="1" t="s">
        <v>5167</v>
      </c>
      <c r="N1748" s="1" t="s">
        <v>8126</v>
      </c>
    </row>
    <row r="1749" spans="1:14" s="1" customFormat="1" x14ac:dyDescent="0.35">
      <c r="A1749" s="1" t="s">
        <v>5171</v>
      </c>
      <c r="B1749" s="1" t="s">
        <v>3162</v>
      </c>
      <c r="C1749" s="1" t="s">
        <v>3248</v>
      </c>
      <c r="D1749" s="1" t="s">
        <v>8125</v>
      </c>
      <c r="E1749" s="1" t="str">
        <f>"2320"</f>
        <v>2320</v>
      </c>
      <c r="F1749" s="1" t="str">
        <f>"015959568"</f>
        <v>015959568</v>
      </c>
      <c r="G1749" s="1" t="s">
        <v>5404</v>
      </c>
      <c r="H1749" s="1" t="s">
        <v>16</v>
      </c>
      <c r="I1749" s="4" t="str">
        <f>"1"</f>
        <v>1</v>
      </c>
      <c r="J1749" s="2" t="str">
        <f>"31613"</f>
        <v>31613</v>
      </c>
      <c r="K1749" s="3">
        <v>46130</v>
      </c>
      <c r="L1749" s="3">
        <v>46140</v>
      </c>
      <c r="M1749" s="1" t="s">
        <v>8124</v>
      </c>
      <c r="N1749" s="1" t="s">
        <v>8123</v>
      </c>
    </row>
    <row r="1750" spans="1:14" s="1" customFormat="1" x14ac:dyDescent="0.35">
      <c r="A1750" s="1" t="s">
        <v>5171</v>
      </c>
      <c r="B1750" s="1" t="s">
        <v>3162</v>
      </c>
      <c r="C1750" s="1" t="s">
        <v>3284</v>
      </c>
      <c r="D1750" s="1" t="s">
        <v>8122</v>
      </c>
      <c r="E1750" s="1" t="str">
        <f>"2330"</f>
        <v>2330</v>
      </c>
      <c r="F1750" s="1" t="s">
        <v>70</v>
      </c>
      <c r="G1750" s="1" t="s">
        <v>71</v>
      </c>
      <c r="H1750" s="1" t="s">
        <v>16</v>
      </c>
      <c r="I1750" s="4" t="str">
        <f>"1"</f>
        <v>1</v>
      </c>
      <c r="J1750" s="2" t="str">
        <f>"4906"</f>
        <v>4906</v>
      </c>
      <c r="K1750" s="3">
        <v>46131</v>
      </c>
      <c r="L1750" s="3">
        <v>46140</v>
      </c>
      <c r="M1750" s="1" t="s">
        <v>8121</v>
      </c>
      <c r="N1750" s="1" t="s">
        <v>8120</v>
      </c>
    </row>
    <row r="1751" spans="1:14" s="1" customFormat="1" x14ac:dyDescent="0.35">
      <c r="A1751" s="1" t="s">
        <v>5171</v>
      </c>
      <c r="B1751" s="1" t="s">
        <v>3162</v>
      </c>
      <c r="C1751" s="1" t="s">
        <v>3375</v>
      </c>
      <c r="D1751" s="1" t="s">
        <v>8119</v>
      </c>
      <c r="E1751" s="1" t="str">
        <f>"3930"</f>
        <v>3930</v>
      </c>
      <c r="F1751" s="1" t="str">
        <f>"011580849"</f>
        <v>011580849</v>
      </c>
      <c r="G1751" s="1" t="s">
        <v>1304</v>
      </c>
      <c r="H1751" s="1" t="s">
        <v>16</v>
      </c>
      <c r="I1751" s="4" t="str">
        <f>"1"</f>
        <v>1</v>
      </c>
      <c r="J1751" s="2" t="str">
        <f>"72370"</f>
        <v>72370</v>
      </c>
      <c r="K1751" s="3">
        <v>46113</v>
      </c>
      <c r="L1751" s="3">
        <v>46140</v>
      </c>
      <c r="M1751" s="1" t="s">
        <v>8118</v>
      </c>
      <c r="N1751" s="1" t="s">
        <v>8117</v>
      </c>
    </row>
    <row r="1752" spans="1:14" s="1" customFormat="1" x14ac:dyDescent="0.35">
      <c r="A1752" s="1" t="s">
        <v>5171</v>
      </c>
      <c r="B1752" s="1" t="s">
        <v>3162</v>
      </c>
      <c r="C1752" s="1" t="s">
        <v>3375</v>
      </c>
      <c r="D1752" s="1" t="s">
        <v>8116</v>
      </c>
      <c r="E1752" s="1" t="str">
        <f>"2340"</f>
        <v>2340</v>
      </c>
      <c r="F1752" s="1" t="s">
        <v>84</v>
      </c>
      <c r="G1752" s="1" t="s">
        <v>85</v>
      </c>
      <c r="H1752" s="1" t="s">
        <v>16</v>
      </c>
      <c r="I1752" s="4" t="str">
        <f>"1"</f>
        <v>1</v>
      </c>
      <c r="J1752" s="2" t="str">
        <f>"1000"</f>
        <v>1000</v>
      </c>
      <c r="K1752" s="3">
        <v>46109</v>
      </c>
      <c r="L1752" s="3">
        <v>46142</v>
      </c>
      <c r="M1752" s="1" t="s">
        <v>8115</v>
      </c>
      <c r="N1752" s="1" t="s">
        <v>8114</v>
      </c>
    </row>
    <row r="1753" spans="1:14" s="1" customFormat="1" x14ac:dyDescent="0.35">
      <c r="A1753" s="1" t="s">
        <v>5171</v>
      </c>
      <c r="B1753" s="1" t="s">
        <v>3162</v>
      </c>
      <c r="C1753" s="1" t="s">
        <v>3191</v>
      </c>
      <c r="D1753" s="1" t="s">
        <v>8113</v>
      </c>
      <c r="E1753" s="1" t="str">
        <f>"2340"</f>
        <v>2340</v>
      </c>
      <c r="F1753" s="1" t="s">
        <v>84</v>
      </c>
      <c r="G1753" s="1" t="s">
        <v>85</v>
      </c>
      <c r="H1753" s="1" t="s">
        <v>16</v>
      </c>
      <c r="I1753" s="4" t="str">
        <f>"1"</f>
        <v>1</v>
      </c>
      <c r="J1753" s="2">
        <v>31905.14</v>
      </c>
      <c r="K1753" s="3">
        <v>46139</v>
      </c>
      <c r="L1753" s="3">
        <v>46143</v>
      </c>
      <c r="M1753" s="1" t="s">
        <v>8112</v>
      </c>
      <c r="N1753" s="1" t="s">
        <v>8107</v>
      </c>
    </row>
    <row r="1754" spans="1:14" s="1" customFormat="1" x14ac:dyDescent="0.35">
      <c r="A1754" s="1" t="s">
        <v>5171</v>
      </c>
      <c r="B1754" s="1" t="s">
        <v>3162</v>
      </c>
      <c r="C1754" s="1" t="s">
        <v>3191</v>
      </c>
      <c r="D1754" s="1" t="s">
        <v>8111</v>
      </c>
      <c r="E1754" s="1" t="str">
        <f>"2340"</f>
        <v>2340</v>
      </c>
      <c r="F1754" s="1" t="s">
        <v>84</v>
      </c>
      <c r="G1754" s="1" t="s">
        <v>85</v>
      </c>
      <c r="H1754" s="1" t="s">
        <v>16</v>
      </c>
      <c r="I1754" s="4" t="str">
        <f>"1"</f>
        <v>1</v>
      </c>
      <c r="J1754" s="2">
        <v>31905.14</v>
      </c>
      <c r="K1754" s="3">
        <v>46139</v>
      </c>
      <c r="L1754" s="3">
        <v>46143</v>
      </c>
      <c r="M1754" s="1" t="s">
        <v>8110</v>
      </c>
      <c r="N1754" s="1" t="s">
        <v>8107</v>
      </c>
    </row>
    <row r="1755" spans="1:14" s="1" customFormat="1" x14ac:dyDescent="0.35">
      <c r="A1755" s="1" t="s">
        <v>5171</v>
      </c>
      <c r="B1755" s="1" t="s">
        <v>3162</v>
      </c>
      <c r="C1755" s="1" t="s">
        <v>3191</v>
      </c>
      <c r="D1755" s="1" t="s">
        <v>8109</v>
      </c>
      <c r="E1755" s="1" t="str">
        <f>"2340"</f>
        <v>2340</v>
      </c>
      <c r="F1755" s="1" t="s">
        <v>84</v>
      </c>
      <c r="G1755" s="1" t="s">
        <v>85</v>
      </c>
      <c r="H1755" s="1" t="s">
        <v>16</v>
      </c>
      <c r="I1755" s="4" t="str">
        <f>"1"</f>
        <v>1</v>
      </c>
      <c r="J1755" s="2">
        <v>31905.14</v>
      </c>
      <c r="K1755" s="3">
        <v>46139</v>
      </c>
      <c r="L1755" s="3">
        <v>46143</v>
      </c>
      <c r="M1755" s="1" t="s">
        <v>8108</v>
      </c>
      <c r="N1755" s="1" t="s">
        <v>8107</v>
      </c>
    </row>
    <row r="1756" spans="1:14" s="1" customFormat="1" x14ac:dyDescent="0.35">
      <c r="A1756" s="1" t="s">
        <v>5171</v>
      </c>
      <c r="B1756" s="1" t="s">
        <v>3162</v>
      </c>
      <c r="C1756" s="1" t="s">
        <v>3248</v>
      </c>
      <c r="D1756" s="1" t="s">
        <v>8106</v>
      </c>
      <c r="E1756" s="1" t="str">
        <f>"2340"</f>
        <v>2340</v>
      </c>
      <c r="F1756" s="1" t="s">
        <v>84</v>
      </c>
      <c r="G1756" s="1" t="s">
        <v>85</v>
      </c>
      <c r="H1756" s="1" t="s">
        <v>16</v>
      </c>
      <c r="I1756" s="4" t="str">
        <f>"1"</f>
        <v>1</v>
      </c>
      <c r="J1756" s="2">
        <v>31905.14</v>
      </c>
      <c r="K1756" s="3">
        <v>46137</v>
      </c>
      <c r="L1756" s="3">
        <v>46143</v>
      </c>
      <c r="M1756" s="1" t="s">
        <v>8105</v>
      </c>
      <c r="N1756" s="1" t="s">
        <v>8104</v>
      </c>
    </row>
    <row r="1757" spans="1:14" s="1" customFormat="1" x14ac:dyDescent="0.35">
      <c r="A1757" s="1" t="s">
        <v>5171</v>
      </c>
      <c r="B1757" s="1" t="s">
        <v>3162</v>
      </c>
      <c r="C1757" s="1" t="s">
        <v>3362</v>
      </c>
      <c r="D1757" s="1" t="s">
        <v>8103</v>
      </c>
      <c r="E1757" s="1" t="str">
        <f>"2340"</f>
        <v>2340</v>
      </c>
      <c r="F1757" s="1" t="s">
        <v>535</v>
      </c>
      <c r="G1757" s="1" t="s">
        <v>536</v>
      </c>
      <c r="H1757" s="1" t="s">
        <v>16</v>
      </c>
      <c r="I1757" s="4" t="str">
        <f>"1"</f>
        <v>1</v>
      </c>
      <c r="J1757" s="2">
        <v>14577.85</v>
      </c>
      <c r="K1757" s="3">
        <v>46130</v>
      </c>
      <c r="L1757" s="3">
        <v>46143</v>
      </c>
      <c r="M1757" s="1" t="s">
        <v>8102</v>
      </c>
      <c r="N1757" s="1" t="s">
        <v>8101</v>
      </c>
    </row>
    <row r="1758" spans="1:14" s="1" customFormat="1" x14ac:dyDescent="0.35">
      <c r="A1758" s="1" t="s">
        <v>5171</v>
      </c>
      <c r="B1758" s="1" t="s">
        <v>3162</v>
      </c>
      <c r="C1758" s="1" t="s">
        <v>3191</v>
      </c>
      <c r="D1758" s="1" t="s">
        <v>8100</v>
      </c>
      <c r="E1758" s="1" t="str">
        <f>"7125"</f>
        <v>7125</v>
      </c>
      <c r="F1758" s="1" t="s">
        <v>8099</v>
      </c>
      <c r="G1758" s="1" t="s">
        <v>8098</v>
      </c>
      <c r="H1758" s="1" t="s">
        <v>16</v>
      </c>
      <c r="I1758" s="4" t="str">
        <f>"2"</f>
        <v>2</v>
      </c>
      <c r="J1758" s="2" t="str">
        <f>"100"</f>
        <v>100</v>
      </c>
      <c r="K1758" s="3">
        <v>46143</v>
      </c>
      <c r="L1758" s="3">
        <v>46144</v>
      </c>
      <c r="M1758" s="1" t="s">
        <v>5167</v>
      </c>
      <c r="N1758" s="1" t="s">
        <v>8097</v>
      </c>
    </row>
    <row r="1759" spans="1:14" s="1" customFormat="1" x14ac:dyDescent="0.35">
      <c r="A1759" s="1" t="s">
        <v>5171</v>
      </c>
      <c r="B1759" s="1" t="s">
        <v>3162</v>
      </c>
      <c r="C1759" s="1" t="s">
        <v>3362</v>
      </c>
      <c r="D1759" s="1" t="s">
        <v>8096</v>
      </c>
      <c r="E1759" s="1" t="str">
        <f>"7830"</f>
        <v>7830</v>
      </c>
      <c r="F1759" s="1" t="s">
        <v>1871</v>
      </c>
      <c r="G1759" s="1" t="s">
        <v>1872</v>
      </c>
      <c r="H1759" s="1" t="s">
        <v>16</v>
      </c>
      <c r="I1759" s="4" t="str">
        <f>"1"</f>
        <v>1</v>
      </c>
      <c r="J1759" s="2" t="str">
        <f>"3499"</f>
        <v>3499</v>
      </c>
      <c r="K1759" s="3">
        <v>46142</v>
      </c>
      <c r="L1759" s="3">
        <v>46144</v>
      </c>
      <c r="M1759" s="1" t="s">
        <v>8095</v>
      </c>
      <c r="N1759" s="1" t="s">
        <v>8094</v>
      </c>
    </row>
    <row r="1760" spans="1:14" s="1" customFormat="1" x14ac:dyDescent="0.35">
      <c r="A1760" s="1" t="s">
        <v>5230</v>
      </c>
      <c r="B1760" s="1" t="s">
        <v>3162</v>
      </c>
      <c r="C1760" s="1" t="s">
        <v>3284</v>
      </c>
      <c r="D1760" s="1" t="s">
        <v>8093</v>
      </c>
      <c r="E1760" s="1" t="str">
        <f>"7810"</f>
        <v>7810</v>
      </c>
      <c r="F1760" s="1" t="str">
        <f>"016219400"</f>
        <v>016219400</v>
      </c>
      <c r="G1760" s="1" t="s">
        <v>1057</v>
      </c>
      <c r="H1760" s="1" t="s">
        <v>16</v>
      </c>
      <c r="I1760" s="4" t="str">
        <f>"1"</f>
        <v>1</v>
      </c>
      <c r="J1760" s="2" t="str">
        <f>"250"</f>
        <v>250</v>
      </c>
      <c r="K1760" s="3">
        <v>46145</v>
      </c>
      <c r="L1760" s="3">
        <v>46145</v>
      </c>
      <c r="M1760" s="1" t="s">
        <v>5469</v>
      </c>
      <c r="N1760" s="1" t="s">
        <v>8092</v>
      </c>
    </row>
    <row r="1761" spans="1:14" s="1" customFormat="1" x14ac:dyDescent="0.35">
      <c r="A1761" s="1" t="s">
        <v>5171</v>
      </c>
      <c r="B1761" s="1" t="s">
        <v>3162</v>
      </c>
      <c r="C1761" s="1" t="s">
        <v>3191</v>
      </c>
      <c r="D1761" s="1" t="s">
        <v>8091</v>
      </c>
      <c r="E1761" s="1" t="str">
        <f>"1080"</f>
        <v>1080</v>
      </c>
      <c r="F1761" s="1" t="str">
        <f>"014572956"</f>
        <v>014572956</v>
      </c>
      <c r="G1761" s="1" t="s">
        <v>1928</v>
      </c>
      <c r="H1761" s="1" t="s">
        <v>16</v>
      </c>
      <c r="I1761" s="4" t="str">
        <f>"9"</f>
        <v>9</v>
      </c>
      <c r="J1761" s="2" t="str">
        <f>"3477"</f>
        <v>3477</v>
      </c>
      <c r="K1761" s="3">
        <v>46143</v>
      </c>
      <c r="L1761" s="3">
        <v>46145</v>
      </c>
      <c r="M1761" s="1" t="s">
        <v>5167</v>
      </c>
      <c r="N1761" s="1" t="s">
        <v>8090</v>
      </c>
    </row>
    <row r="1762" spans="1:14" s="1" customFormat="1" x14ac:dyDescent="0.35">
      <c r="A1762" s="1" t="s">
        <v>5171</v>
      </c>
      <c r="B1762" s="1" t="s">
        <v>3162</v>
      </c>
      <c r="C1762" s="1" t="s">
        <v>3191</v>
      </c>
      <c r="D1762" s="1" t="s">
        <v>8089</v>
      </c>
      <c r="E1762" s="1" t="str">
        <f>"8405"</f>
        <v>8405</v>
      </c>
      <c r="F1762" s="1" t="str">
        <f>"015472559"</f>
        <v>015472559</v>
      </c>
      <c r="G1762" s="1" t="s">
        <v>1200</v>
      </c>
      <c r="H1762" s="1" t="s">
        <v>16</v>
      </c>
      <c r="I1762" s="4" t="str">
        <f>"12"</f>
        <v>12</v>
      </c>
      <c r="J1762" s="2">
        <v>38.4</v>
      </c>
      <c r="K1762" s="3">
        <v>46143</v>
      </c>
      <c r="L1762" s="3">
        <v>46147</v>
      </c>
      <c r="M1762" s="1" t="s">
        <v>8088</v>
      </c>
      <c r="N1762" s="1" t="s">
        <v>8087</v>
      </c>
    </row>
    <row r="1763" spans="1:14" s="1" customFormat="1" x14ac:dyDescent="0.35">
      <c r="A1763" s="1" t="s">
        <v>5171</v>
      </c>
      <c r="B1763" s="1" t="s">
        <v>3162</v>
      </c>
      <c r="C1763" s="1" t="s">
        <v>3334</v>
      </c>
      <c r="D1763" s="1" t="s">
        <v>8086</v>
      </c>
      <c r="E1763" s="1" t="str">
        <f>"6115"</f>
        <v>6115</v>
      </c>
      <c r="F1763" s="1" t="str">
        <f>"014351565"</f>
        <v>014351565</v>
      </c>
      <c r="G1763" s="1" t="s">
        <v>1390</v>
      </c>
      <c r="H1763" s="1" t="s">
        <v>16</v>
      </c>
      <c r="I1763" s="4" t="str">
        <f>"1"</f>
        <v>1</v>
      </c>
      <c r="J1763" s="2" t="str">
        <f>"5262"</f>
        <v>5262</v>
      </c>
      <c r="K1763" s="3">
        <v>46124</v>
      </c>
      <c r="L1763" s="3">
        <v>46148</v>
      </c>
      <c r="M1763" s="1" t="s">
        <v>8085</v>
      </c>
      <c r="N1763" s="1" t="s">
        <v>8084</v>
      </c>
    </row>
    <row r="1764" spans="1:14" s="1" customFormat="1" x14ac:dyDescent="0.35">
      <c r="A1764" s="1" t="s">
        <v>5171</v>
      </c>
      <c r="B1764" s="1" t="s">
        <v>3162</v>
      </c>
      <c r="C1764" s="1" t="s">
        <v>3191</v>
      </c>
      <c r="D1764" s="1" t="s">
        <v>8083</v>
      </c>
      <c r="E1764" s="1" t="str">
        <f>"2320"</f>
        <v>2320</v>
      </c>
      <c r="F1764" s="1" t="s">
        <v>2218</v>
      </c>
      <c r="G1764" s="1" t="s">
        <v>2219</v>
      </c>
      <c r="H1764" s="1" t="s">
        <v>16</v>
      </c>
      <c r="I1764" s="4" t="str">
        <f>"1"</f>
        <v>1</v>
      </c>
      <c r="J1764" s="2" t="str">
        <f>"10000"</f>
        <v>10000</v>
      </c>
      <c r="K1764" s="3">
        <v>46139</v>
      </c>
      <c r="L1764" s="3">
        <v>46151</v>
      </c>
      <c r="M1764" s="1" t="s">
        <v>8082</v>
      </c>
      <c r="N1764" s="1" t="s">
        <v>8081</v>
      </c>
    </row>
    <row r="1765" spans="1:14" s="1" customFormat="1" x14ac:dyDescent="0.35">
      <c r="A1765" s="1" t="s">
        <v>5171</v>
      </c>
      <c r="B1765" s="1" t="s">
        <v>3162</v>
      </c>
      <c r="C1765" s="1" t="s">
        <v>3191</v>
      </c>
      <c r="D1765" s="1" t="s">
        <v>8080</v>
      </c>
      <c r="E1765" s="1" t="str">
        <f>"4240"</f>
        <v>4240</v>
      </c>
      <c r="F1765" s="1" t="str">
        <f>"015475927"</f>
        <v>015475927</v>
      </c>
      <c r="G1765" s="1" t="s">
        <v>2274</v>
      </c>
      <c r="H1765" s="1" t="s">
        <v>16</v>
      </c>
      <c r="I1765" s="4" t="str">
        <f>"50"</f>
        <v>50</v>
      </c>
      <c r="J1765" s="2">
        <v>114.44</v>
      </c>
      <c r="K1765" s="3">
        <v>46143</v>
      </c>
      <c r="L1765" s="3">
        <v>46151</v>
      </c>
      <c r="M1765" s="1" t="s">
        <v>8079</v>
      </c>
      <c r="N1765" s="1" t="s">
        <v>8078</v>
      </c>
    </row>
    <row r="1766" spans="1:14" s="1" customFormat="1" x14ac:dyDescent="0.35">
      <c r="A1766" s="1" t="s">
        <v>5171</v>
      </c>
      <c r="B1766" s="1" t="s">
        <v>3162</v>
      </c>
      <c r="C1766" s="1" t="s">
        <v>3284</v>
      </c>
      <c r="D1766" s="1" t="s">
        <v>8077</v>
      </c>
      <c r="E1766" s="1" t="str">
        <f>"2320"</f>
        <v>2320</v>
      </c>
      <c r="F1766" s="1" t="s">
        <v>2218</v>
      </c>
      <c r="G1766" s="1" t="s">
        <v>2219</v>
      </c>
      <c r="H1766" s="1" t="s">
        <v>16</v>
      </c>
      <c r="I1766" s="4" t="str">
        <f>"1"</f>
        <v>1</v>
      </c>
      <c r="J1766" s="2" t="str">
        <f>"10000"</f>
        <v>10000</v>
      </c>
      <c r="K1766" s="3">
        <v>46139</v>
      </c>
      <c r="L1766" s="3">
        <v>46151</v>
      </c>
      <c r="M1766" s="1" t="s">
        <v>8076</v>
      </c>
      <c r="N1766" s="1" t="s">
        <v>8075</v>
      </c>
    </row>
    <row r="1767" spans="1:14" s="1" customFormat="1" x14ac:dyDescent="0.35">
      <c r="A1767" s="1" t="s">
        <v>5171</v>
      </c>
      <c r="B1767" s="1" t="s">
        <v>3162</v>
      </c>
      <c r="C1767" s="1" t="s">
        <v>3334</v>
      </c>
      <c r="D1767" s="1" t="s">
        <v>8074</v>
      </c>
      <c r="E1767" s="1" t="str">
        <f>"2320"</f>
        <v>2320</v>
      </c>
      <c r="F1767" s="1" t="s">
        <v>2218</v>
      </c>
      <c r="G1767" s="1" t="s">
        <v>2219</v>
      </c>
      <c r="H1767" s="1" t="s">
        <v>16</v>
      </c>
      <c r="I1767" s="4" t="str">
        <f>"1"</f>
        <v>1</v>
      </c>
      <c r="J1767" s="2" t="str">
        <f>"10000"</f>
        <v>10000</v>
      </c>
      <c r="K1767" s="3">
        <v>46137</v>
      </c>
      <c r="L1767" s="3">
        <v>46151</v>
      </c>
      <c r="M1767" s="1" t="s">
        <v>8073</v>
      </c>
      <c r="N1767" s="1" t="s">
        <v>8072</v>
      </c>
    </row>
    <row r="1768" spans="1:14" s="1" customFormat="1" x14ac:dyDescent="0.35">
      <c r="A1768" s="1" t="s">
        <v>5171</v>
      </c>
      <c r="B1768" s="1" t="s">
        <v>3162</v>
      </c>
      <c r="C1768" s="1" t="s">
        <v>3334</v>
      </c>
      <c r="D1768" s="1" t="s">
        <v>8071</v>
      </c>
      <c r="E1768" s="1" t="str">
        <f>"4240"</f>
        <v>4240</v>
      </c>
      <c r="F1768" s="1" t="str">
        <f>"015475927"</f>
        <v>015475927</v>
      </c>
      <c r="G1768" s="1" t="s">
        <v>2274</v>
      </c>
      <c r="H1768" s="1" t="s">
        <v>16</v>
      </c>
      <c r="I1768" s="4" t="str">
        <f>"20"</f>
        <v>20</v>
      </c>
      <c r="J1768" s="2">
        <v>114.44</v>
      </c>
      <c r="K1768" s="3">
        <v>46144</v>
      </c>
      <c r="L1768" s="3">
        <v>46151</v>
      </c>
      <c r="M1768" s="1" t="s">
        <v>8070</v>
      </c>
      <c r="N1768" s="1" t="s">
        <v>8069</v>
      </c>
    </row>
    <row r="1769" spans="1:14" s="1" customFormat="1" x14ac:dyDescent="0.35">
      <c r="A1769" s="1" t="s">
        <v>5171</v>
      </c>
      <c r="B1769" s="1" t="s">
        <v>3162</v>
      </c>
      <c r="C1769" s="1" t="s">
        <v>3375</v>
      </c>
      <c r="D1769" s="1" t="s">
        <v>8068</v>
      </c>
      <c r="E1769" s="1" t="str">
        <f>"2320"</f>
        <v>2320</v>
      </c>
      <c r="F1769" s="1" t="s">
        <v>2218</v>
      </c>
      <c r="G1769" s="1" t="s">
        <v>2219</v>
      </c>
      <c r="H1769" s="1" t="s">
        <v>16</v>
      </c>
      <c r="I1769" s="4" t="str">
        <f>"1"</f>
        <v>1</v>
      </c>
      <c r="J1769" s="2" t="str">
        <f>"10000"</f>
        <v>10000</v>
      </c>
      <c r="K1769" s="3">
        <v>46137</v>
      </c>
      <c r="L1769" s="3">
        <v>46151</v>
      </c>
      <c r="M1769" s="1" t="s">
        <v>8067</v>
      </c>
      <c r="N1769" s="1" t="s">
        <v>8064</v>
      </c>
    </row>
    <row r="1770" spans="1:14" s="1" customFormat="1" x14ac:dyDescent="0.35">
      <c r="A1770" s="1" t="s">
        <v>5171</v>
      </c>
      <c r="B1770" s="1" t="s">
        <v>3162</v>
      </c>
      <c r="C1770" s="1" t="s">
        <v>3375</v>
      </c>
      <c r="D1770" s="1" t="s">
        <v>8066</v>
      </c>
      <c r="E1770" s="1" t="str">
        <f>"2320"</f>
        <v>2320</v>
      </c>
      <c r="F1770" s="1" t="s">
        <v>2218</v>
      </c>
      <c r="G1770" s="1" t="s">
        <v>2219</v>
      </c>
      <c r="H1770" s="1" t="s">
        <v>16</v>
      </c>
      <c r="I1770" s="4" t="str">
        <f>"1"</f>
        <v>1</v>
      </c>
      <c r="J1770" s="2" t="str">
        <f>"10000"</f>
        <v>10000</v>
      </c>
      <c r="K1770" s="3">
        <v>46137</v>
      </c>
      <c r="L1770" s="3">
        <v>46151</v>
      </c>
      <c r="M1770" s="1" t="s">
        <v>8065</v>
      </c>
      <c r="N1770" s="1" t="s">
        <v>8064</v>
      </c>
    </row>
    <row r="1771" spans="1:14" s="1" customFormat="1" x14ac:dyDescent="0.35">
      <c r="A1771" s="1" t="s">
        <v>5171</v>
      </c>
      <c r="B1771" s="1" t="s">
        <v>3162</v>
      </c>
      <c r="C1771" s="1" t="s">
        <v>3248</v>
      </c>
      <c r="D1771" s="1" t="s">
        <v>8063</v>
      </c>
      <c r="E1771" s="1" t="str">
        <f>"2320"</f>
        <v>2320</v>
      </c>
      <c r="F1771" s="1" t="str">
        <f>"015895221"</f>
        <v>015895221</v>
      </c>
      <c r="G1771" s="1" t="s">
        <v>4227</v>
      </c>
      <c r="H1771" s="1" t="s">
        <v>16</v>
      </c>
      <c r="I1771" s="4" t="str">
        <f>"1"</f>
        <v>1</v>
      </c>
      <c r="J1771" s="2" t="str">
        <f>"121000"</f>
        <v>121000</v>
      </c>
      <c r="K1771" s="3">
        <v>46144</v>
      </c>
      <c r="L1771" s="3">
        <v>46154</v>
      </c>
      <c r="M1771" s="1" t="s">
        <v>8062</v>
      </c>
      <c r="N1771" s="1" t="s">
        <v>8061</v>
      </c>
    </row>
    <row r="1772" spans="1:14" s="1" customFormat="1" x14ac:dyDescent="0.35">
      <c r="A1772" s="1" t="s">
        <v>5171</v>
      </c>
      <c r="B1772" s="1" t="s">
        <v>3162</v>
      </c>
      <c r="C1772" s="1" t="s">
        <v>3284</v>
      </c>
      <c r="D1772" s="1" t="s">
        <v>8060</v>
      </c>
      <c r="E1772" s="1" t="str">
        <f>"4310"</f>
        <v>4310</v>
      </c>
      <c r="F1772" s="1" t="s">
        <v>1941</v>
      </c>
      <c r="G1772" s="1" t="s">
        <v>1942</v>
      </c>
      <c r="H1772" s="1" t="s">
        <v>16</v>
      </c>
      <c r="I1772" s="4" t="str">
        <f>"1"</f>
        <v>1</v>
      </c>
      <c r="J1772" s="2" t="str">
        <f>"10000"</f>
        <v>10000</v>
      </c>
      <c r="K1772" s="3">
        <v>46143</v>
      </c>
      <c r="L1772" s="3">
        <v>46154</v>
      </c>
      <c r="M1772" s="1" t="s">
        <v>8059</v>
      </c>
      <c r="N1772" s="1" t="s">
        <v>8058</v>
      </c>
    </row>
    <row r="1773" spans="1:14" s="1" customFormat="1" x14ac:dyDescent="0.35">
      <c r="A1773" s="1" t="s">
        <v>5171</v>
      </c>
      <c r="B1773" s="1" t="s">
        <v>3162</v>
      </c>
      <c r="C1773" s="1" t="s">
        <v>8006</v>
      </c>
      <c r="D1773" s="1" t="s">
        <v>8057</v>
      </c>
      <c r="E1773" s="1" t="str">
        <f>"8415"</f>
        <v>8415</v>
      </c>
      <c r="F1773" s="1" t="s">
        <v>1139</v>
      </c>
      <c r="G1773" s="1" t="s">
        <v>1140</v>
      </c>
      <c r="H1773" s="1" t="s">
        <v>16</v>
      </c>
      <c r="I1773" s="4" t="str">
        <f>"1"</f>
        <v>1</v>
      </c>
      <c r="J1773" s="2" t="str">
        <f>"320"</f>
        <v>320</v>
      </c>
      <c r="K1773" s="3">
        <v>46155</v>
      </c>
      <c r="L1773" s="3">
        <v>46156</v>
      </c>
      <c r="M1773" s="1" t="s">
        <v>5167</v>
      </c>
      <c r="N1773" s="1" t="s">
        <v>8056</v>
      </c>
    </row>
    <row r="1774" spans="1:14" s="1" customFormat="1" x14ac:dyDescent="0.35">
      <c r="A1774" s="1" t="s">
        <v>5171</v>
      </c>
      <c r="B1774" s="1" t="s">
        <v>3162</v>
      </c>
      <c r="C1774" s="1" t="s">
        <v>3375</v>
      </c>
      <c r="D1774" s="1" t="s">
        <v>8055</v>
      </c>
      <c r="E1774" s="1" t="str">
        <f>"2340"</f>
        <v>2340</v>
      </c>
      <c r="F1774" s="1" t="s">
        <v>61</v>
      </c>
      <c r="G1774" s="1" t="s">
        <v>62</v>
      </c>
      <c r="H1774" s="1" t="s">
        <v>16</v>
      </c>
      <c r="I1774" s="4" t="str">
        <f>"1"</f>
        <v>1</v>
      </c>
      <c r="J1774" s="2" t="str">
        <f>"13900"</f>
        <v>13900</v>
      </c>
      <c r="K1774" s="3">
        <v>46143</v>
      </c>
      <c r="L1774" s="3">
        <v>46156</v>
      </c>
      <c r="M1774" s="1" t="s">
        <v>8054</v>
      </c>
      <c r="N1774" s="1" t="s">
        <v>3379</v>
      </c>
    </row>
    <row r="1775" spans="1:14" s="1" customFormat="1" x14ac:dyDescent="0.35">
      <c r="A1775" s="1" t="s">
        <v>5171</v>
      </c>
      <c r="B1775" s="1" t="s">
        <v>3162</v>
      </c>
      <c r="C1775" s="1" t="s">
        <v>3191</v>
      </c>
      <c r="D1775" s="1" t="s">
        <v>8053</v>
      </c>
      <c r="E1775" s="1" t="str">
        <f>"6230"</f>
        <v>6230</v>
      </c>
      <c r="F1775" s="1" t="str">
        <f>"013827265"</f>
        <v>013827265</v>
      </c>
      <c r="G1775" s="1" t="s">
        <v>3215</v>
      </c>
      <c r="H1775" s="1" t="s">
        <v>16</v>
      </c>
      <c r="I1775" s="4" t="str">
        <f>"2"</f>
        <v>2</v>
      </c>
      <c r="J1775" s="2" t="str">
        <f>"18400"</f>
        <v>18400</v>
      </c>
      <c r="K1775" s="3">
        <v>46111</v>
      </c>
      <c r="L1775" s="3">
        <v>46157</v>
      </c>
      <c r="M1775" s="1" t="s">
        <v>8052</v>
      </c>
      <c r="N1775" s="1" t="s">
        <v>8051</v>
      </c>
    </row>
    <row r="1776" spans="1:14" s="1" customFormat="1" x14ac:dyDescent="0.35">
      <c r="A1776" s="1" t="s">
        <v>5171</v>
      </c>
      <c r="B1776" s="1" t="s">
        <v>3162</v>
      </c>
      <c r="C1776" s="1" t="s">
        <v>3178</v>
      </c>
      <c r="D1776" s="1" t="s">
        <v>8050</v>
      </c>
      <c r="E1776" s="1" t="str">
        <f>"7830"</f>
        <v>7830</v>
      </c>
      <c r="F1776" s="1" t="s">
        <v>453</v>
      </c>
      <c r="G1776" s="1" t="s">
        <v>454</v>
      </c>
      <c r="H1776" s="1" t="s">
        <v>16</v>
      </c>
      <c r="I1776" s="4" t="str">
        <f>"1"</f>
        <v>1</v>
      </c>
      <c r="J1776" s="2">
        <v>2734.74</v>
      </c>
      <c r="K1776" s="3">
        <v>46157</v>
      </c>
      <c r="L1776" s="3">
        <v>46158</v>
      </c>
      <c r="M1776" s="1" t="s">
        <v>5167</v>
      </c>
      <c r="N1776" s="1" t="s">
        <v>8046</v>
      </c>
    </row>
    <row r="1777" spans="1:14" s="1" customFormat="1" x14ac:dyDescent="0.35">
      <c r="A1777" s="1" t="s">
        <v>5171</v>
      </c>
      <c r="B1777" s="1" t="s">
        <v>3162</v>
      </c>
      <c r="C1777" s="1" t="s">
        <v>3178</v>
      </c>
      <c r="D1777" s="1" t="s">
        <v>8049</v>
      </c>
      <c r="E1777" s="1" t="str">
        <f>"7830"</f>
        <v>7830</v>
      </c>
      <c r="F1777" s="1" t="s">
        <v>1867</v>
      </c>
      <c r="G1777" s="1" t="s">
        <v>1868</v>
      </c>
      <c r="H1777" s="1" t="s">
        <v>16</v>
      </c>
      <c r="I1777" s="4" t="str">
        <f>"1"</f>
        <v>1</v>
      </c>
      <c r="J1777" s="2">
        <v>2071.8200000000002</v>
      </c>
      <c r="K1777" s="3">
        <v>46157</v>
      </c>
      <c r="L1777" s="3">
        <v>46158</v>
      </c>
      <c r="M1777" s="1" t="s">
        <v>5167</v>
      </c>
      <c r="N1777" s="1" t="s">
        <v>8048</v>
      </c>
    </row>
    <row r="1778" spans="1:14" s="1" customFormat="1" x14ac:dyDescent="0.35">
      <c r="A1778" s="1" t="s">
        <v>5171</v>
      </c>
      <c r="B1778" s="1" t="s">
        <v>3162</v>
      </c>
      <c r="C1778" s="1" t="s">
        <v>3178</v>
      </c>
      <c r="D1778" s="1" t="s">
        <v>8047</v>
      </c>
      <c r="E1778" s="1" t="str">
        <f>"7830"</f>
        <v>7830</v>
      </c>
      <c r="F1778" s="1" t="s">
        <v>1867</v>
      </c>
      <c r="G1778" s="1" t="s">
        <v>1868</v>
      </c>
      <c r="H1778" s="1" t="s">
        <v>16</v>
      </c>
      <c r="I1778" s="4" t="str">
        <f>"1"</f>
        <v>1</v>
      </c>
      <c r="J1778" s="2" t="str">
        <f>"1446"</f>
        <v>1446</v>
      </c>
      <c r="K1778" s="3">
        <v>46157</v>
      </c>
      <c r="L1778" s="3">
        <v>46158</v>
      </c>
      <c r="M1778" s="1" t="s">
        <v>5167</v>
      </c>
      <c r="N1778" s="1" t="s">
        <v>8046</v>
      </c>
    </row>
    <row r="1779" spans="1:14" s="1" customFormat="1" x14ac:dyDescent="0.35">
      <c r="A1779" s="1" t="s">
        <v>5171</v>
      </c>
      <c r="B1779" s="1" t="s">
        <v>3162</v>
      </c>
      <c r="C1779" s="1" t="s">
        <v>3178</v>
      </c>
      <c r="D1779" s="1" t="s">
        <v>8045</v>
      </c>
      <c r="E1779" s="1" t="str">
        <f>"7810"</f>
        <v>7810</v>
      </c>
      <c r="F1779" s="1" t="s">
        <v>2712</v>
      </c>
      <c r="G1779" s="1" t="s">
        <v>2713</v>
      </c>
      <c r="H1779" s="1" t="s">
        <v>16</v>
      </c>
      <c r="I1779" s="4" t="str">
        <f>"1"</f>
        <v>1</v>
      </c>
      <c r="J1779" s="2">
        <v>109.47</v>
      </c>
      <c r="K1779" s="3">
        <v>46157</v>
      </c>
      <c r="L1779" s="3">
        <v>46158</v>
      </c>
      <c r="M1779" s="1" t="s">
        <v>5167</v>
      </c>
      <c r="N1779" s="1" t="s">
        <v>8044</v>
      </c>
    </row>
    <row r="1780" spans="1:14" s="1" customFormat="1" x14ac:dyDescent="0.35">
      <c r="A1780" s="1" t="s">
        <v>5171</v>
      </c>
      <c r="B1780" s="1" t="s">
        <v>3162</v>
      </c>
      <c r="C1780" s="1" t="s">
        <v>3248</v>
      </c>
      <c r="D1780" s="1" t="s">
        <v>8043</v>
      </c>
      <c r="E1780" s="1" t="str">
        <f>"4310"</f>
        <v>4310</v>
      </c>
      <c r="F1780" s="1" t="s">
        <v>1941</v>
      </c>
      <c r="G1780" s="1" t="s">
        <v>1942</v>
      </c>
      <c r="H1780" s="1" t="s">
        <v>16</v>
      </c>
      <c r="I1780" s="4" t="str">
        <f>"1"</f>
        <v>1</v>
      </c>
      <c r="J1780" s="2" t="str">
        <f>"10000"</f>
        <v>10000</v>
      </c>
      <c r="K1780" s="3">
        <v>46155</v>
      </c>
      <c r="L1780" s="3">
        <v>46158</v>
      </c>
      <c r="M1780" s="1" t="s">
        <v>8042</v>
      </c>
      <c r="N1780" s="1" t="s">
        <v>8041</v>
      </c>
    </row>
    <row r="1781" spans="1:14" s="1" customFormat="1" x14ac:dyDescent="0.35">
      <c r="A1781" s="1" t="s">
        <v>5171</v>
      </c>
      <c r="B1781" s="1" t="s">
        <v>3162</v>
      </c>
      <c r="C1781" s="1" t="s">
        <v>3284</v>
      </c>
      <c r="D1781" s="1" t="s">
        <v>8040</v>
      </c>
      <c r="E1781" s="1" t="str">
        <f>"3895"</f>
        <v>3895</v>
      </c>
      <c r="F1781" s="1" t="str">
        <f>"013836488"</f>
        <v>013836488</v>
      </c>
      <c r="G1781" s="1" t="s">
        <v>8015</v>
      </c>
      <c r="H1781" s="1" t="s">
        <v>16</v>
      </c>
      <c r="I1781" s="4" t="str">
        <f>"1"</f>
        <v>1</v>
      </c>
      <c r="J1781" s="2" t="str">
        <f>"3775"</f>
        <v>3775</v>
      </c>
      <c r="K1781" s="3">
        <v>46146</v>
      </c>
      <c r="L1781" s="3">
        <v>46158</v>
      </c>
      <c r="M1781" s="1" t="s">
        <v>8039</v>
      </c>
      <c r="N1781" s="1" t="s">
        <v>8038</v>
      </c>
    </row>
    <row r="1782" spans="1:14" s="1" customFormat="1" x14ac:dyDescent="0.35">
      <c r="A1782" s="1" t="s">
        <v>5171</v>
      </c>
      <c r="B1782" s="1" t="s">
        <v>3162</v>
      </c>
      <c r="C1782" s="1" t="s">
        <v>3334</v>
      </c>
      <c r="D1782" s="1" t="s">
        <v>8037</v>
      </c>
      <c r="E1782" s="1" t="str">
        <f>"2340"</f>
        <v>2340</v>
      </c>
      <c r="F1782" s="1" t="s">
        <v>84</v>
      </c>
      <c r="G1782" s="1" t="s">
        <v>85</v>
      </c>
      <c r="H1782" s="1" t="s">
        <v>16</v>
      </c>
      <c r="I1782" s="4" t="str">
        <f>"1"</f>
        <v>1</v>
      </c>
      <c r="J1782" s="2" t="str">
        <f>"1000"</f>
        <v>1000</v>
      </c>
      <c r="K1782" s="3">
        <v>46146</v>
      </c>
      <c r="L1782" s="3">
        <v>46158</v>
      </c>
      <c r="M1782" s="1" t="s">
        <v>8036</v>
      </c>
      <c r="N1782" s="1" t="s">
        <v>8035</v>
      </c>
    </row>
    <row r="1783" spans="1:14" s="1" customFormat="1" x14ac:dyDescent="0.35">
      <c r="A1783" s="1" t="s">
        <v>5171</v>
      </c>
      <c r="B1783" s="1" t="s">
        <v>3162</v>
      </c>
      <c r="C1783" s="1" t="s">
        <v>3362</v>
      </c>
      <c r="D1783" s="1" t="s">
        <v>8034</v>
      </c>
      <c r="E1783" s="1" t="str">
        <f>"2340"</f>
        <v>2340</v>
      </c>
      <c r="F1783" s="1" t="s">
        <v>84</v>
      </c>
      <c r="G1783" s="1" t="s">
        <v>85</v>
      </c>
      <c r="H1783" s="1" t="s">
        <v>16</v>
      </c>
      <c r="I1783" s="4" t="str">
        <f>"1"</f>
        <v>1</v>
      </c>
      <c r="J1783" s="2" t="str">
        <f>"1000"</f>
        <v>1000</v>
      </c>
      <c r="K1783" s="3">
        <v>46145</v>
      </c>
      <c r="L1783" s="3">
        <v>46158</v>
      </c>
      <c r="M1783" s="1" t="s">
        <v>8033</v>
      </c>
      <c r="N1783" s="1" t="s">
        <v>8032</v>
      </c>
    </row>
    <row r="1784" spans="1:14" s="1" customFormat="1" x14ac:dyDescent="0.35">
      <c r="A1784" s="1" t="s">
        <v>5171</v>
      </c>
      <c r="B1784" s="1" t="s">
        <v>3162</v>
      </c>
      <c r="C1784" s="1" t="s">
        <v>3248</v>
      </c>
      <c r="D1784" s="1" t="s">
        <v>8031</v>
      </c>
      <c r="E1784" s="1" t="str">
        <f>"2330"</f>
        <v>2330</v>
      </c>
      <c r="F1784" s="1" t="s">
        <v>70</v>
      </c>
      <c r="G1784" s="1" t="s">
        <v>71</v>
      </c>
      <c r="H1784" s="1" t="s">
        <v>16</v>
      </c>
      <c r="I1784" s="4" t="str">
        <f>"1"</f>
        <v>1</v>
      </c>
      <c r="J1784" s="2" t="str">
        <f>"79455"</f>
        <v>79455</v>
      </c>
      <c r="K1784" s="3">
        <v>46158</v>
      </c>
      <c r="L1784" s="3">
        <v>46162</v>
      </c>
      <c r="M1784" s="1" t="s">
        <v>8030</v>
      </c>
      <c r="N1784" s="1" t="s">
        <v>3256</v>
      </c>
    </row>
    <row r="1785" spans="1:14" s="1" customFormat="1" x14ac:dyDescent="0.35">
      <c r="A1785" s="1" t="s">
        <v>5171</v>
      </c>
      <c r="B1785" s="1" t="s">
        <v>3162</v>
      </c>
      <c r="C1785" s="1" t="s">
        <v>8006</v>
      </c>
      <c r="D1785" s="1" t="s">
        <v>8029</v>
      </c>
      <c r="E1785" s="1" t="str">
        <f>"7830"</f>
        <v>7830</v>
      </c>
      <c r="F1785" s="1" t="s">
        <v>1871</v>
      </c>
      <c r="G1785" s="1" t="s">
        <v>1872</v>
      </c>
      <c r="H1785" s="1" t="s">
        <v>16</v>
      </c>
      <c r="I1785" s="4" t="str">
        <f>"2"</f>
        <v>2</v>
      </c>
      <c r="J1785" s="2" t="str">
        <f>"695"</f>
        <v>695</v>
      </c>
      <c r="K1785" s="3">
        <v>46155</v>
      </c>
      <c r="L1785" s="3">
        <v>46165</v>
      </c>
      <c r="M1785" s="1" t="s">
        <v>8028</v>
      </c>
      <c r="N1785" s="1" t="s">
        <v>8027</v>
      </c>
    </row>
    <row r="1786" spans="1:14" s="1" customFormat="1" x14ac:dyDescent="0.35">
      <c r="A1786" s="1" t="s">
        <v>5171</v>
      </c>
      <c r="B1786" s="1" t="s">
        <v>3162</v>
      </c>
      <c r="C1786" s="1" t="s">
        <v>8006</v>
      </c>
      <c r="D1786" s="1" t="s">
        <v>8026</v>
      </c>
      <c r="E1786" s="1" t="str">
        <f>"5855"</f>
        <v>5855</v>
      </c>
      <c r="F1786" s="1" t="str">
        <f>"015485687"</f>
        <v>015485687</v>
      </c>
      <c r="G1786" s="1" t="s">
        <v>1921</v>
      </c>
      <c r="H1786" s="1" t="s">
        <v>16</v>
      </c>
      <c r="I1786" s="4" t="str">
        <f>"1"</f>
        <v>1</v>
      </c>
      <c r="J1786" s="2" t="str">
        <f>"10402"</f>
        <v>10402</v>
      </c>
      <c r="K1786" s="3">
        <v>46155</v>
      </c>
      <c r="L1786" s="3">
        <v>46165</v>
      </c>
      <c r="M1786" s="1" t="s">
        <v>8025</v>
      </c>
      <c r="N1786" s="1" t="s">
        <v>8020</v>
      </c>
    </row>
    <row r="1787" spans="1:14" s="1" customFormat="1" x14ac:dyDescent="0.35">
      <c r="A1787" s="1" t="s">
        <v>5171</v>
      </c>
      <c r="B1787" s="1" t="s">
        <v>3162</v>
      </c>
      <c r="C1787" s="1" t="s">
        <v>8006</v>
      </c>
      <c r="D1787" s="1" t="s">
        <v>8024</v>
      </c>
      <c r="E1787" s="1" t="str">
        <f>"5855"</f>
        <v>5855</v>
      </c>
      <c r="F1787" s="1" t="str">
        <f>"015485687"</f>
        <v>015485687</v>
      </c>
      <c r="G1787" s="1" t="s">
        <v>1921</v>
      </c>
      <c r="H1787" s="1" t="s">
        <v>16</v>
      </c>
      <c r="I1787" s="4" t="str">
        <f>"1"</f>
        <v>1</v>
      </c>
      <c r="J1787" s="2" t="str">
        <f>"10402"</f>
        <v>10402</v>
      </c>
      <c r="K1787" s="3">
        <v>46155</v>
      </c>
      <c r="L1787" s="3">
        <v>46165</v>
      </c>
      <c r="M1787" s="1" t="s">
        <v>8023</v>
      </c>
      <c r="N1787" s="1" t="s">
        <v>8020</v>
      </c>
    </row>
    <row r="1788" spans="1:14" s="1" customFormat="1" x14ac:dyDescent="0.35">
      <c r="A1788" s="1" t="s">
        <v>5171</v>
      </c>
      <c r="B1788" s="1" t="s">
        <v>3162</v>
      </c>
      <c r="C1788" s="1" t="s">
        <v>8006</v>
      </c>
      <c r="D1788" s="1" t="s">
        <v>8022</v>
      </c>
      <c r="E1788" s="1" t="str">
        <f>"5855"</f>
        <v>5855</v>
      </c>
      <c r="F1788" s="1" t="str">
        <f>"015485687"</f>
        <v>015485687</v>
      </c>
      <c r="G1788" s="1" t="s">
        <v>1921</v>
      </c>
      <c r="H1788" s="1" t="s">
        <v>16</v>
      </c>
      <c r="I1788" s="4" t="str">
        <f>"1"</f>
        <v>1</v>
      </c>
      <c r="J1788" s="2" t="str">
        <f>"10402"</f>
        <v>10402</v>
      </c>
      <c r="K1788" s="3">
        <v>46155</v>
      </c>
      <c r="L1788" s="3">
        <v>46165</v>
      </c>
      <c r="M1788" s="1" t="s">
        <v>8021</v>
      </c>
      <c r="N1788" s="1" t="s">
        <v>8020</v>
      </c>
    </row>
    <row r="1789" spans="1:14" s="1" customFormat="1" x14ac:dyDescent="0.35">
      <c r="A1789" s="1" t="s">
        <v>5171</v>
      </c>
      <c r="B1789" s="1" t="s">
        <v>3162</v>
      </c>
      <c r="C1789" s="1" t="s">
        <v>3334</v>
      </c>
      <c r="D1789" s="1" t="s">
        <v>8019</v>
      </c>
      <c r="E1789" s="1" t="str">
        <f>"6115"</f>
        <v>6115</v>
      </c>
      <c r="F1789" s="1" t="str">
        <f>"014351565"</f>
        <v>014351565</v>
      </c>
      <c r="G1789" s="1" t="s">
        <v>1390</v>
      </c>
      <c r="H1789" s="1" t="s">
        <v>16</v>
      </c>
      <c r="I1789" s="4" t="str">
        <f>"1"</f>
        <v>1</v>
      </c>
      <c r="J1789" s="2" t="str">
        <f>"5262"</f>
        <v>5262</v>
      </c>
      <c r="K1789" s="3">
        <v>46146</v>
      </c>
      <c r="L1789" s="3">
        <v>46168</v>
      </c>
      <c r="M1789" s="1" t="s">
        <v>8018</v>
      </c>
      <c r="N1789" s="1" t="s">
        <v>8017</v>
      </c>
    </row>
    <row r="1790" spans="1:14" s="1" customFormat="1" x14ac:dyDescent="0.35">
      <c r="A1790" s="1" t="s">
        <v>5171</v>
      </c>
      <c r="B1790" s="1" t="s">
        <v>3162</v>
      </c>
      <c r="C1790" s="1" t="s">
        <v>3334</v>
      </c>
      <c r="D1790" s="1" t="s">
        <v>8016</v>
      </c>
      <c r="E1790" s="1" t="str">
        <f>"3895"</f>
        <v>3895</v>
      </c>
      <c r="F1790" s="1" t="str">
        <f>"013836488"</f>
        <v>013836488</v>
      </c>
      <c r="G1790" s="1" t="s">
        <v>8015</v>
      </c>
      <c r="H1790" s="1" t="s">
        <v>16</v>
      </c>
      <c r="I1790" s="4" t="str">
        <f>"1"</f>
        <v>1</v>
      </c>
      <c r="J1790" s="2" t="str">
        <f>"3775"</f>
        <v>3775</v>
      </c>
      <c r="K1790" s="3">
        <v>46146</v>
      </c>
      <c r="L1790" s="3">
        <v>46168</v>
      </c>
      <c r="M1790" s="1" t="s">
        <v>8014</v>
      </c>
      <c r="N1790" s="1" t="s">
        <v>8013</v>
      </c>
    </row>
    <row r="1791" spans="1:14" s="1" customFormat="1" x14ac:dyDescent="0.35">
      <c r="A1791" s="1" t="s">
        <v>5171</v>
      </c>
      <c r="B1791" s="1" t="s">
        <v>3162</v>
      </c>
      <c r="C1791" s="1" t="s">
        <v>3334</v>
      </c>
      <c r="D1791" s="1" t="s">
        <v>8012</v>
      </c>
      <c r="E1791" s="1" t="str">
        <f>"6115"</f>
        <v>6115</v>
      </c>
      <c r="F1791" s="1" t="str">
        <f>"012755061"</f>
        <v>012755061</v>
      </c>
      <c r="G1791" s="1" t="s">
        <v>1390</v>
      </c>
      <c r="H1791" s="1" t="s">
        <v>16</v>
      </c>
      <c r="I1791" s="4" t="str">
        <f>"1"</f>
        <v>1</v>
      </c>
      <c r="J1791" s="2" t="str">
        <f>"10700"</f>
        <v>10700</v>
      </c>
      <c r="K1791" s="3">
        <v>46146</v>
      </c>
      <c r="L1791" s="3">
        <v>46169</v>
      </c>
      <c r="M1791" s="1" t="s">
        <v>8011</v>
      </c>
      <c r="N1791" s="1" t="s">
        <v>8010</v>
      </c>
    </row>
    <row r="1792" spans="1:14" s="1" customFormat="1" x14ac:dyDescent="0.35">
      <c r="A1792" s="1" t="s">
        <v>5171</v>
      </c>
      <c r="B1792" s="1" t="s">
        <v>3162</v>
      </c>
      <c r="C1792" s="1" t="s">
        <v>3362</v>
      </c>
      <c r="D1792" s="1" t="s">
        <v>8009</v>
      </c>
      <c r="E1792" s="1" t="str">
        <f>"2330"</f>
        <v>2330</v>
      </c>
      <c r="F1792" s="1" t="s">
        <v>70</v>
      </c>
      <c r="G1792" s="1" t="s">
        <v>71</v>
      </c>
      <c r="H1792" s="1" t="s">
        <v>16</v>
      </c>
      <c r="I1792" s="4" t="str">
        <f>"1"</f>
        <v>1</v>
      </c>
      <c r="J1792" s="2" t="str">
        <f>"79455"</f>
        <v>79455</v>
      </c>
      <c r="K1792" s="3">
        <v>46159</v>
      </c>
      <c r="L1792" s="3">
        <v>46170</v>
      </c>
      <c r="M1792" s="1" t="s">
        <v>8008</v>
      </c>
      <c r="N1792" s="1" t="s">
        <v>8007</v>
      </c>
    </row>
    <row r="1793" spans="1:14" s="1" customFormat="1" x14ac:dyDescent="0.35">
      <c r="A1793" s="1" t="s">
        <v>5171</v>
      </c>
      <c r="B1793" s="1" t="s">
        <v>3162</v>
      </c>
      <c r="C1793" s="1" t="s">
        <v>8006</v>
      </c>
      <c r="D1793" s="1" t="s">
        <v>8005</v>
      </c>
      <c r="E1793" s="1" t="str">
        <f>"1240"</f>
        <v>1240</v>
      </c>
      <c r="F1793" s="1" t="s">
        <v>1800</v>
      </c>
      <c r="G1793" s="1" t="s">
        <v>1801</v>
      </c>
      <c r="H1793" s="1" t="s">
        <v>16</v>
      </c>
      <c r="I1793" s="4" t="str">
        <f>"1"</f>
        <v>1</v>
      </c>
      <c r="J1793" s="2" t="str">
        <f>"1244"</f>
        <v>1244</v>
      </c>
      <c r="K1793" s="3">
        <v>46168</v>
      </c>
      <c r="L1793" s="3">
        <v>46171</v>
      </c>
      <c r="M1793" s="1" t="s">
        <v>5167</v>
      </c>
      <c r="N1793" s="1" t="s">
        <v>8004</v>
      </c>
    </row>
    <row r="1794" spans="1:14" s="1" customFormat="1" x14ac:dyDescent="0.35">
      <c r="A1794" s="1" t="s">
        <v>5171</v>
      </c>
      <c r="B1794" s="1" t="s">
        <v>3162</v>
      </c>
      <c r="C1794" s="1" t="s">
        <v>3396</v>
      </c>
      <c r="D1794" s="1" t="s">
        <v>8003</v>
      </c>
      <c r="E1794" s="1" t="str">
        <f>"1095"</f>
        <v>1095</v>
      </c>
      <c r="F1794" s="1" t="str">
        <f>"015300833"</f>
        <v>015300833</v>
      </c>
      <c r="G1794" s="1" t="s">
        <v>6567</v>
      </c>
      <c r="H1794" s="1" t="s">
        <v>16</v>
      </c>
      <c r="I1794" s="4" t="str">
        <f>"1"</f>
        <v>1</v>
      </c>
      <c r="J1794" s="2">
        <v>162.31</v>
      </c>
      <c r="K1794" s="3">
        <v>46173</v>
      </c>
      <c r="L1794" s="3">
        <v>46176</v>
      </c>
      <c r="M1794" s="1" t="s">
        <v>5167</v>
      </c>
      <c r="N1794" s="1" t="s">
        <v>8002</v>
      </c>
    </row>
    <row r="1795" spans="1:14" s="1" customFormat="1" x14ac:dyDescent="0.35">
      <c r="A1795" s="1" t="s">
        <v>5216</v>
      </c>
      <c r="B1795" s="1" t="s">
        <v>3162</v>
      </c>
      <c r="C1795" s="1" t="s">
        <v>3362</v>
      </c>
      <c r="D1795" s="1" t="s">
        <v>8001</v>
      </c>
      <c r="E1795" s="1" t="str">
        <f>"2330"</f>
        <v>2330</v>
      </c>
      <c r="F1795" s="1" t="s">
        <v>70</v>
      </c>
      <c r="G1795" s="1" t="s">
        <v>71</v>
      </c>
      <c r="H1795" s="1" t="s">
        <v>16</v>
      </c>
      <c r="I1795" s="4" t="str">
        <f>"1"</f>
        <v>1</v>
      </c>
      <c r="J1795" s="2" t="str">
        <f>"79455"</f>
        <v>79455</v>
      </c>
      <c r="K1795" s="3">
        <v>46171</v>
      </c>
      <c r="L1795" s="3">
        <v>46177</v>
      </c>
      <c r="M1795" s="1" t="s">
        <v>5224</v>
      </c>
      <c r="N1795" s="1" t="s">
        <v>7999</v>
      </c>
    </row>
    <row r="1796" spans="1:14" s="1" customFormat="1" x14ac:dyDescent="0.35">
      <c r="A1796" s="1" t="s">
        <v>5216</v>
      </c>
      <c r="B1796" s="1" t="s">
        <v>3162</v>
      </c>
      <c r="C1796" s="1" t="s">
        <v>3362</v>
      </c>
      <c r="D1796" s="1" t="s">
        <v>8000</v>
      </c>
      <c r="E1796" s="1" t="str">
        <f>"2330"</f>
        <v>2330</v>
      </c>
      <c r="F1796" s="1" t="s">
        <v>70</v>
      </c>
      <c r="G1796" s="1" t="s">
        <v>71</v>
      </c>
      <c r="H1796" s="1" t="s">
        <v>16</v>
      </c>
      <c r="I1796" s="4" t="str">
        <f>"1"</f>
        <v>1</v>
      </c>
      <c r="J1796" s="2" t="str">
        <f>"79455"</f>
        <v>79455</v>
      </c>
      <c r="K1796" s="3">
        <v>46171</v>
      </c>
      <c r="L1796" s="3">
        <v>46177</v>
      </c>
      <c r="M1796" s="1" t="s">
        <v>5224</v>
      </c>
      <c r="N1796" s="1" t="s">
        <v>7999</v>
      </c>
    </row>
    <row r="1797" spans="1:14" s="1" customFormat="1" x14ac:dyDescent="0.35">
      <c r="A1797" s="1" t="s">
        <v>5171</v>
      </c>
      <c r="B1797" s="1" t="s">
        <v>3162</v>
      </c>
      <c r="C1797" s="1" t="s">
        <v>3185</v>
      </c>
      <c r="D1797" s="1" t="s">
        <v>7998</v>
      </c>
      <c r="E1797" s="1" t="str">
        <f>"4240"</f>
        <v>4240</v>
      </c>
      <c r="F1797" s="1" t="str">
        <f>"015388190"</f>
        <v>015388190</v>
      </c>
      <c r="G1797" s="1" t="s">
        <v>6879</v>
      </c>
      <c r="H1797" s="1" t="s">
        <v>16</v>
      </c>
      <c r="I1797" s="4" t="str">
        <f>"1"</f>
        <v>1</v>
      </c>
      <c r="J1797" s="2">
        <v>90.53</v>
      </c>
      <c r="K1797" s="3">
        <v>46154</v>
      </c>
      <c r="L1797" s="3">
        <v>46178</v>
      </c>
      <c r="M1797" s="1" t="s">
        <v>7997</v>
      </c>
      <c r="N1797" s="1" t="s">
        <v>7996</v>
      </c>
    </row>
    <row r="1798" spans="1:14" s="1" customFormat="1" x14ac:dyDescent="0.35">
      <c r="A1798" s="1" t="s">
        <v>5171</v>
      </c>
      <c r="B1798" s="1" t="s">
        <v>3162</v>
      </c>
      <c r="C1798" s="1" t="s">
        <v>3396</v>
      </c>
      <c r="D1798" s="1" t="s">
        <v>7995</v>
      </c>
      <c r="E1798" s="1" t="str">
        <f>"1095"</f>
        <v>1095</v>
      </c>
      <c r="F1798" s="1" t="str">
        <f>"015300833"</f>
        <v>015300833</v>
      </c>
      <c r="G1798" s="1" t="s">
        <v>6567</v>
      </c>
      <c r="H1798" s="1" t="s">
        <v>16</v>
      </c>
      <c r="I1798" s="4" t="str">
        <f>"1"</f>
        <v>1</v>
      </c>
      <c r="J1798" s="2">
        <v>162.31</v>
      </c>
      <c r="K1798" s="3">
        <v>46173</v>
      </c>
      <c r="L1798" s="3">
        <v>46178</v>
      </c>
      <c r="M1798" s="1" t="s">
        <v>7994</v>
      </c>
      <c r="N1798" s="1" t="s">
        <v>7993</v>
      </c>
    </row>
    <row r="1799" spans="1:14" s="1" customFormat="1" x14ac:dyDescent="0.35">
      <c r="A1799" s="1" t="s">
        <v>5230</v>
      </c>
      <c r="B1799" s="1" t="s">
        <v>3162</v>
      </c>
      <c r="C1799" s="1" t="s">
        <v>3375</v>
      </c>
      <c r="D1799" s="1" t="s">
        <v>7992</v>
      </c>
      <c r="E1799" s="1" t="str">
        <f>"8460"</f>
        <v>8460</v>
      </c>
      <c r="F1799" s="1" t="s">
        <v>1740</v>
      </c>
      <c r="G1799" s="1" t="s">
        <v>1741</v>
      </c>
      <c r="H1799" s="1" t="s">
        <v>16</v>
      </c>
      <c r="I1799" s="4" t="str">
        <f>"1"</f>
        <v>1</v>
      </c>
      <c r="J1799" s="2" t="str">
        <f>"25"</f>
        <v>25</v>
      </c>
      <c r="K1799" s="3">
        <v>46178</v>
      </c>
      <c r="L1799" s="3">
        <v>46179</v>
      </c>
      <c r="N1799" s="1" t="s">
        <v>7989</v>
      </c>
    </row>
    <row r="1800" spans="1:14" s="1" customFormat="1" x14ac:dyDescent="0.35">
      <c r="A1800" s="1" t="s">
        <v>5230</v>
      </c>
      <c r="B1800" s="1" t="s">
        <v>3162</v>
      </c>
      <c r="C1800" s="1" t="s">
        <v>3375</v>
      </c>
      <c r="D1800" s="1" t="s">
        <v>7991</v>
      </c>
      <c r="E1800" s="1" t="str">
        <f>"8460"</f>
        <v>8460</v>
      </c>
      <c r="F1800" s="1" t="s">
        <v>1740</v>
      </c>
      <c r="G1800" s="1" t="s">
        <v>1741</v>
      </c>
      <c r="H1800" s="1" t="s">
        <v>16</v>
      </c>
      <c r="I1800" s="4" t="str">
        <f>"1"</f>
        <v>1</v>
      </c>
      <c r="J1800" s="2" t="str">
        <f>"320"</f>
        <v>320</v>
      </c>
      <c r="K1800" s="3">
        <v>46178</v>
      </c>
      <c r="L1800" s="3">
        <v>46179</v>
      </c>
      <c r="N1800" s="1" t="s">
        <v>7989</v>
      </c>
    </row>
    <row r="1801" spans="1:14" s="1" customFormat="1" x14ac:dyDescent="0.35">
      <c r="A1801" s="1" t="s">
        <v>5171</v>
      </c>
      <c r="B1801" s="1" t="s">
        <v>3162</v>
      </c>
      <c r="C1801" s="1" t="s">
        <v>3375</v>
      </c>
      <c r="D1801" s="1" t="s">
        <v>7990</v>
      </c>
      <c r="E1801" s="1" t="str">
        <f>"8460"</f>
        <v>8460</v>
      </c>
      <c r="F1801" s="1" t="s">
        <v>1740</v>
      </c>
      <c r="G1801" s="1" t="s">
        <v>1741</v>
      </c>
      <c r="H1801" s="1" t="s">
        <v>16</v>
      </c>
      <c r="I1801" s="4" t="str">
        <f>"1"</f>
        <v>1</v>
      </c>
      <c r="J1801" s="2" t="str">
        <f>"25"</f>
        <v>25</v>
      </c>
      <c r="K1801" s="3">
        <v>46178</v>
      </c>
      <c r="L1801" s="3">
        <v>46179</v>
      </c>
      <c r="M1801" s="1" t="s">
        <v>5167</v>
      </c>
      <c r="N1801" s="1" t="s">
        <v>7989</v>
      </c>
    </row>
    <row r="1802" spans="1:14" s="1" customFormat="1" x14ac:dyDescent="0.35">
      <c r="A1802" s="1" t="s">
        <v>5171</v>
      </c>
      <c r="B1802" s="1" t="s">
        <v>3162</v>
      </c>
      <c r="C1802" s="1" t="s">
        <v>3375</v>
      </c>
      <c r="D1802" s="1" t="s">
        <v>7988</v>
      </c>
      <c r="E1802" s="1" t="str">
        <f>"6115"</f>
        <v>6115</v>
      </c>
      <c r="F1802" s="1" t="str">
        <f>"013320741"</f>
        <v>013320741</v>
      </c>
      <c r="G1802" s="1" t="s">
        <v>224</v>
      </c>
      <c r="H1802" s="1" t="s">
        <v>16</v>
      </c>
      <c r="I1802" s="4" t="str">
        <f>"1"</f>
        <v>1</v>
      </c>
      <c r="J1802" s="2" t="str">
        <f>"16256"</f>
        <v>16256</v>
      </c>
      <c r="K1802" s="3">
        <v>46176</v>
      </c>
      <c r="L1802" s="3">
        <v>46182</v>
      </c>
      <c r="M1802" s="1" t="s">
        <v>7987</v>
      </c>
      <c r="N1802" s="1" t="s">
        <v>7986</v>
      </c>
    </row>
    <row r="1803" spans="1:14" s="1" customFormat="1" x14ac:dyDescent="0.35">
      <c r="A1803" s="1" t="s">
        <v>5171</v>
      </c>
      <c r="B1803" s="1" t="s">
        <v>3162</v>
      </c>
      <c r="C1803" s="1" t="s">
        <v>3396</v>
      </c>
      <c r="D1803" s="1" t="s">
        <v>7985</v>
      </c>
      <c r="E1803" s="1" t="str">
        <f>"5180"</f>
        <v>5180</v>
      </c>
      <c r="F1803" s="1" t="str">
        <f>"015068287"</f>
        <v>015068287</v>
      </c>
      <c r="G1803" s="1" t="s">
        <v>1076</v>
      </c>
      <c r="H1803" s="1" t="s">
        <v>215</v>
      </c>
      <c r="I1803" s="4" t="str">
        <f>"1"</f>
        <v>1</v>
      </c>
      <c r="J1803" s="2" t="str">
        <f>"1774"</f>
        <v>1774</v>
      </c>
      <c r="K1803" s="3">
        <v>46175</v>
      </c>
      <c r="L1803" s="3">
        <v>46182</v>
      </c>
      <c r="M1803" s="1" t="s">
        <v>7984</v>
      </c>
      <c r="N1803" s="1" t="s">
        <v>3403</v>
      </c>
    </row>
    <row r="1804" spans="1:14" s="1" customFormat="1" x14ac:dyDescent="0.35">
      <c r="A1804" s="1" t="s">
        <v>5171</v>
      </c>
      <c r="B1804" s="1" t="s">
        <v>3162</v>
      </c>
      <c r="C1804" s="1" t="s">
        <v>3178</v>
      </c>
      <c r="D1804" s="1" t="s">
        <v>7983</v>
      </c>
      <c r="E1804" s="1" t="str">
        <f>"7830"</f>
        <v>7830</v>
      </c>
      <c r="F1804" s="1" t="s">
        <v>1871</v>
      </c>
      <c r="G1804" s="1" t="s">
        <v>1872</v>
      </c>
      <c r="H1804" s="1" t="s">
        <v>16</v>
      </c>
      <c r="I1804" s="4" t="str">
        <f>"2"</f>
        <v>2</v>
      </c>
      <c r="J1804" s="2" t="str">
        <f>"695"</f>
        <v>695</v>
      </c>
      <c r="K1804" s="3">
        <v>46157</v>
      </c>
      <c r="L1804" s="3">
        <v>46185</v>
      </c>
      <c r="M1804" s="1" t="s">
        <v>7982</v>
      </c>
      <c r="N1804" s="1" t="s">
        <v>7981</v>
      </c>
    </row>
    <row r="1805" spans="1:14" s="1" customFormat="1" x14ac:dyDescent="0.35">
      <c r="A1805" s="1" t="s">
        <v>5171</v>
      </c>
      <c r="B1805" s="1" t="s">
        <v>3162</v>
      </c>
      <c r="C1805" s="1" t="s">
        <v>3248</v>
      </c>
      <c r="D1805" s="1" t="s">
        <v>7980</v>
      </c>
      <c r="E1805" s="1" t="str">
        <f>"2340"</f>
        <v>2340</v>
      </c>
      <c r="F1805" s="1" t="s">
        <v>2017</v>
      </c>
      <c r="G1805" s="1" t="s">
        <v>2018</v>
      </c>
      <c r="H1805" s="1" t="s">
        <v>16</v>
      </c>
      <c r="I1805" s="4" t="str">
        <f>"1"</f>
        <v>1</v>
      </c>
      <c r="J1805" s="2" t="str">
        <f>"3938"</f>
        <v>3938</v>
      </c>
      <c r="K1805" s="3">
        <v>46172</v>
      </c>
      <c r="L1805" s="3">
        <v>46185</v>
      </c>
      <c r="M1805" s="1" t="s">
        <v>7979</v>
      </c>
      <c r="N1805" s="1" t="s">
        <v>7915</v>
      </c>
    </row>
    <row r="1806" spans="1:14" s="1" customFormat="1" x14ac:dyDescent="0.35">
      <c r="A1806" s="1" t="s">
        <v>5171</v>
      </c>
      <c r="B1806" s="1" t="s">
        <v>3162</v>
      </c>
      <c r="C1806" s="1" t="s">
        <v>3375</v>
      </c>
      <c r="D1806" s="1" t="s">
        <v>7978</v>
      </c>
      <c r="E1806" s="1" t="str">
        <f>"2340"</f>
        <v>2340</v>
      </c>
      <c r="F1806" s="1" t="s">
        <v>2017</v>
      </c>
      <c r="G1806" s="1" t="s">
        <v>2018</v>
      </c>
      <c r="H1806" s="1" t="s">
        <v>16</v>
      </c>
      <c r="I1806" s="4" t="str">
        <f>"1"</f>
        <v>1</v>
      </c>
      <c r="J1806" s="2" t="str">
        <f>"3938"</f>
        <v>3938</v>
      </c>
      <c r="K1806" s="3">
        <v>46178</v>
      </c>
      <c r="L1806" s="3">
        <v>46185</v>
      </c>
      <c r="M1806" s="1" t="s">
        <v>7977</v>
      </c>
      <c r="N1806" s="1" t="s">
        <v>3381</v>
      </c>
    </row>
    <row r="1807" spans="1:14" s="1" customFormat="1" x14ac:dyDescent="0.35">
      <c r="A1807" s="1" t="s">
        <v>5171</v>
      </c>
      <c r="B1807" s="1" t="s">
        <v>3162</v>
      </c>
      <c r="C1807" s="1" t="s">
        <v>3191</v>
      </c>
      <c r="D1807" s="1" t="s">
        <v>7976</v>
      </c>
      <c r="E1807" s="1" t="str">
        <f>"7830"</f>
        <v>7830</v>
      </c>
      <c r="F1807" s="1" t="str">
        <f>"016751851"</f>
        <v>016751851</v>
      </c>
      <c r="G1807" s="1" t="s">
        <v>2066</v>
      </c>
      <c r="H1807" s="1" t="s">
        <v>16</v>
      </c>
      <c r="I1807" s="4" t="str">
        <f>"2"</f>
        <v>2</v>
      </c>
      <c r="J1807" s="2" t="str">
        <f>"2585"</f>
        <v>2585</v>
      </c>
      <c r="K1807" s="3">
        <v>46176</v>
      </c>
      <c r="L1807" s="3">
        <v>46186</v>
      </c>
      <c r="M1807" s="1" t="s">
        <v>7975</v>
      </c>
      <c r="N1807" s="1" t="s">
        <v>7974</v>
      </c>
    </row>
    <row r="1808" spans="1:14" s="1" customFormat="1" x14ac:dyDescent="0.35">
      <c r="A1808" s="1" t="s">
        <v>5171</v>
      </c>
      <c r="B1808" s="1" t="s">
        <v>3162</v>
      </c>
      <c r="C1808" s="1" t="s">
        <v>3191</v>
      </c>
      <c r="D1808" s="1" t="s">
        <v>7973</v>
      </c>
      <c r="E1808" s="1" t="str">
        <f>"5180"</f>
        <v>5180</v>
      </c>
      <c r="F1808" s="1" t="s">
        <v>88</v>
      </c>
      <c r="G1808" s="1" t="s">
        <v>89</v>
      </c>
      <c r="H1808" s="1" t="s">
        <v>16</v>
      </c>
      <c r="I1808" s="4" t="str">
        <f>"1"</f>
        <v>1</v>
      </c>
      <c r="J1808" s="2">
        <v>2470.17</v>
      </c>
      <c r="K1808" s="3">
        <v>46176</v>
      </c>
      <c r="L1808" s="3">
        <v>46186</v>
      </c>
      <c r="M1808" s="1" t="s">
        <v>7972</v>
      </c>
      <c r="N1808" s="1" t="s">
        <v>7971</v>
      </c>
    </row>
    <row r="1809" spans="1:14" s="1" customFormat="1" x14ac:dyDescent="0.35">
      <c r="A1809" s="1" t="s">
        <v>5171</v>
      </c>
      <c r="B1809" s="1" t="s">
        <v>3162</v>
      </c>
      <c r="C1809" s="1" t="s">
        <v>3248</v>
      </c>
      <c r="D1809" s="1" t="s">
        <v>7970</v>
      </c>
      <c r="E1809" s="1" t="str">
        <f>"2340"</f>
        <v>2340</v>
      </c>
      <c r="F1809" s="1" t="s">
        <v>2017</v>
      </c>
      <c r="G1809" s="1" t="s">
        <v>2018</v>
      </c>
      <c r="H1809" s="1" t="s">
        <v>16</v>
      </c>
      <c r="I1809" s="4" t="str">
        <f>"1"</f>
        <v>1</v>
      </c>
      <c r="J1809" s="2" t="str">
        <f>"3938"</f>
        <v>3938</v>
      </c>
      <c r="K1809" s="3">
        <v>46172</v>
      </c>
      <c r="L1809" s="3">
        <v>46186</v>
      </c>
      <c r="M1809" s="1" t="s">
        <v>7969</v>
      </c>
      <c r="N1809" s="1" t="s">
        <v>7915</v>
      </c>
    </row>
    <row r="1810" spans="1:14" s="1" customFormat="1" x14ac:dyDescent="0.35">
      <c r="A1810" s="1" t="s">
        <v>5171</v>
      </c>
      <c r="B1810" s="1" t="s">
        <v>3162</v>
      </c>
      <c r="C1810" s="1" t="s">
        <v>3284</v>
      </c>
      <c r="D1810" s="1" t="s">
        <v>7968</v>
      </c>
      <c r="E1810" s="1" t="str">
        <f>"7830"</f>
        <v>7830</v>
      </c>
      <c r="F1810" s="1" t="str">
        <f>"016751851"</f>
        <v>016751851</v>
      </c>
      <c r="G1810" s="1" t="s">
        <v>2066</v>
      </c>
      <c r="H1810" s="1" t="s">
        <v>16</v>
      </c>
      <c r="I1810" s="4" t="str">
        <f>"2"</f>
        <v>2</v>
      </c>
      <c r="J1810" s="2" t="str">
        <f>"2585"</f>
        <v>2585</v>
      </c>
      <c r="K1810" s="3">
        <v>46176</v>
      </c>
      <c r="L1810" s="3">
        <v>46186</v>
      </c>
      <c r="M1810" s="1" t="s">
        <v>7967</v>
      </c>
      <c r="N1810" s="1" t="s">
        <v>7966</v>
      </c>
    </row>
    <row r="1811" spans="1:14" s="1" customFormat="1" x14ac:dyDescent="0.35">
      <c r="A1811" s="1" t="s">
        <v>5171</v>
      </c>
      <c r="B1811" s="1" t="s">
        <v>3162</v>
      </c>
      <c r="C1811" s="1" t="s">
        <v>3375</v>
      </c>
      <c r="D1811" s="1" t="s">
        <v>7965</v>
      </c>
      <c r="E1811" s="1" t="str">
        <f>"2340"</f>
        <v>2340</v>
      </c>
      <c r="F1811" s="1" t="s">
        <v>535</v>
      </c>
      <c r="G1811" s="1" t="s">
        <v>536</v>
      </c>
      <c r="H1811" s="1" t="s">
        <v>16</v>
      </c>
      <c r="I1811" s="4" t="str">
        <f>"1"</f>
        <v>1</v>
      </c>
      <c r="J1811" s="2" t="str">
        <f>"12299"</f>
        <v>12299</v>
      </c>
      <c r="K1811" s="3">
        <v>46174</v>
      </c>
      <c r="L1811" s="3">
        <v>46186</v>
      </c>
      <c r="M1811" s="1" t="s">
        <v>7964</v>
      </c>
      <c r="N1811" s="1" t="s">
        <v>7963</v>
      </c>
    </row>
    <row r="1812" spans="1:14" s="1" customFormat="1" x14ac:dyDescent="0.35">
      <c r="A1812" s="1" t="s">
        <v>5171</v>
      </c>
      <c r="B1812" s="1" t="s">
        <v>3162</v>
      </c>
      <c r="C1812" s="1" t="s">
        <v>3375</v>
      </c>
      <c r="D1812" s="1" t="s">
        <v>7962</v>
      </c>
      <c r="E1812" s="1" t="str">
        <f>"5180"</f>
        <v>5180</v>
      </c>
      <c r="F1812" s="1" t="s">
        <v>88</v>
      </c>
      <c r="G1812" s="1" t="s">
        <v>89</v>
      </c>
      <c r="H1812" s="1" t="s">
        <v>16</v>
      </c>
      <c r="I1812" s="4" t="str">
        <f>"3"</f>
        <v>3</v>
      </c>
      <c r="J1812" s="2">
        <v>2470.17</v>
      </c>
      <c r="K1812" s="3">
        <v>46176</v>
      </c>
      <c r="L1812" s="3">
        <v>46186</v>
      </c>
      <c r="M1812" s="1" t="s">
        <v>7961</v>
      </c>
      <c r="N1812" s="1" t="s">
        <v>7960</v>
      </c>
    </row>
    <row r="1813" spans="1:14" s="1" customFormat="1" x14ac:dyDescent="0.35">
      <c r="A1813" s="1" t="s">
        <v>5171</v>
      </c>
      <c r="B1813" s="1" t="s">
        <v>3162</v>
      </c>
      <c r="C1813" s="1" t="s">
        <v>3375</v>
      </c>
      <c r="D1813" s="1" t="s">
        <v>7959</v>
      </c>
      <c r="E1813" s="1" t="str">
        <f>"2340"</f>
        <v>2340</v>
      </c>
      <c r="F1813" s="1" t="s">
        <v>2017</v>
      </c>
      <c r="G1813" s="1" t="s">
        <v>2018</v>
      </c>
      <c r="H1813" s="1" t="s">
        <v>16</v>
      </c>
      <c r="I1813" s="4" t="str">
        <f>"1"</f>
        <v>1</v>
      </c>
      <c r="J1813" s="2" t="str">
        <f>"3938"</f>
        <v>3938</v>
      </c>
      <c r="K1813" s="3">
        <v>46178</v>
      </c>
      <c r="L1813" s="3">
        <v>46186</v>
      </c>
      <c r="M1813" s="1" t="s">
        <v>7958</v>
      </c>
      <c r="N1813" s="1" t="s">
        <v>3381</v>
      </c>
    </row>
    <row r="1814" spans="1:14" s="1" customFormat="1" x14ac:dyDescent="0.35">
      <c r="A1814" s="1" t="s">
        <v>5171</v>
      </c>
      <c r="B1814" s="1" t="s">
        <v>3162</v>
      </c>
      <c r="C1814" s="1" t="s">
        <v>3375</v>
      </c>
      <c r="D1814" s="1" t="s">
        <v>7957</v>
      </c>
      <c r="E1814" s="1" t="str">
        <f>"2340"</f>
        <v>2340</v>
      </c>
      <c r="F1814" s="1" t="s">
        <v>2017</v>
      </c>
      <c r="G1814" s="1" t="s">
        <v>2018</v>
      </c>
      <c r="H1814" s="1" t="s">
        <v>16</v>
      </c>
      <c r="I1814" s="4" t="str">
        <f>"1"</f>
        <v>1</v>
      </c>
      <c r="J1814" s="2" t="str">
        <f>"3938"</f>
        <v>3938</v>
      </c>
      <c r="K1814" s="3">
        <v>46178</v>
      </c>
      <c r="L1814" s="3">
        <v>46186</v>
      </c>
      <c r="M1814" s="1" t="s">
        <v>7956</v>
      </c>
      <c r="N1814" s="1" t="s">
        <v>3381</v>
      </c>
    </row>
    <row r="1815" spans="1:14" s="1" customFormat="1" x14ac:dyDescent="0.35">
      <c r="A1815" s="1" t="s">
        <v>5171</v>
      </c>
      <c r="B1815" s="1" t="s">
        <v>3162</v>
      </c>
      <c r="C1815" s="1" t="s">
        <v>3375</v>
      </c>
      <c r="D1815" s="1" t="s">
        <v>7955</v>
      </c>
      <c r="E1815" s="1" t="str">
        <f>"2340"</f>
        <v>2340</v>
      </c>
      <c r="F1815" s="1" t="s">
        <v>2017</v>
      </c>
      <c r="G1815" s="1" t="s">
        <v>2018</v>
      </c>
      <c r="H1815" s="1" t="s">
        <v>16</v>
      </c>
      <c r="I1815" s="4" t="str">
        <f>"1"</f>
        <v>1</v>
      </c>
      <c r="J1815" s="2" t="str">
        <f>"3938"</f>
        <v>3938</v>
      </c>
      <c r="K1815" s="3">
        <v>46178</v>
      </c>
      <c r="L1815" s="3">
        <v>46186</v>
      </c>
      <c r="M1815" s="1" t="s">
        <v>7954</v>
      </c>
      <c r="N1815" s="1" t="s">
        <v>3381</v>
      </c>
    </row>
    <row r="1816" spans="1:14" s="1" customFormat="1" x14ac:dyDescent="0.35">
      <c r="A1816" s="1" t="s">
        <v>5171</v>
      </c>
      <c r="B1816" s="1" t="s">
        <v>3162</v>
      </c>
      <c r="C1816" s="1" t="s">
        <v>3375</v>
      </c>
      <c r="D1816" s="1" t="s">
        <v>7953</v>
      </c>
      <c r="E1816" s="1" t="str">
        <f>"3930"</f>
        <v>3930</v>
      </c>
      <c r="F1816" s="1" t="s">
        <v>1476</v>
      </c>
      <c r="G1816" s="1" t="s">
        <v>1477</v>
      </c>
      <c r="H1816" s="1" t="s">
        <v>16</v>
      </c>
      <c r="I1816" s="4" t="str">
        <f>"1"</f>
        <v>1</v>
      </c>
      <c r="J1816" s="2" t="str">
        <f>"15000"</f>
        <v>15000</v>
      </c>
      <c r="K1816" s="3">
        <v>46183</v>
      </c>
      <c r="L1816" s="3">
        <v>46186</v>
      </c>
      <c r="M1816" s="1" t="s">
        <v>7952</v>
      </c>
      <c r="N1816" s="1" t="s">
        <v>7951</v>
      </c>
    </row>
    <row r="1817" spans="1:14" s="1" customFormat="1" x14ac:dyDescent="0.35">
      <c r="A1817" s="1" t="s">
        <v>5171</v>
      </c>
      <c r="B1817" s="1" t="s">
        <v>3162</v>
      </c>
      <c r="C1817" s="1" t="s">
        <v>3396</v>
      </c>
      <c r="D1817" s="1" t="s">
        <v>7950</v>
      </c>
      <c r="E1817" s="1" t="str">
        <f>"7830"</f>
        <v>7830</v>
      </c>
      <c r="F1817" s="1" t="str">
        <f>"016751851"</f>
        <v>016751851</v>
      </c>
      <c r="G1817" s="1" t="s">
        <v>2066</v>
      </c>
      <c r="H1817" s="1" t="s">
        <v>16</v>
      </c>
      <c r="I1817" s="4" t="str">
        <f>"3"</f>
        <v>3</v>
      </c>
      <c r="J1817" s="2" t="str">
        <f>"2585"</f>
        <v>2585</v>
      </c>
      <c r="K1817" s="3">
        <v>46173</v>
      </c>
      <c r="L1817" s="3">
        <v>46186</v>
      </c>
      <c r="M1817" s="1" t="s">
        <v>7949</v>
      </c>
      <c r="N1817" s="1" t="s">
        <v>7948</v>
      </c>
    </row>
    <row r="1818" spans="1:14" s="1" customFormat="1" x14ac:dyDescent="0.35">
      <c r="A1818" s="1" t="s">
        <v>5171</v>
      </c>
      <c r="B1818" s="1" t="s">
        <v>3162</v>
      </c>
      <c r="C1818" s="1" t="s">
        <v>3396</v>
      </c>
      <c r="D1818" s="1" t="s">
        <v>7947</v>
      </c>
      <c r="E1818" s="1" t="str">
        <f>"7830"</f>
        <v>7830</v>
      </c>
      <c r="F1818" s="1" t="str">
        <f>"016751851"</f>
        <v>016751851</v>
      </c>
      <c r="G1818" s="1" t="s">
        <v>2066</v>
      </c>
      <c r="H1818" s="1" t="s">
        <v>16</v>
      </c>
      <c r="I1818" s="4" t="str">
        <f>"1"</f>
        <v>1</v>
      </c>
      <c r="J1818" s="2" t="str">
        <f>"2585"</f>
        <v>2585</v>
      </c>
      <c r="K1818" s="3">
        <v>46176</v>
      </c>
      <c r="L1818" s="3">
        <v>46186</v>
      </c>
      <c r="M1818" s="1" t="s">
        <v>7946</v>
      </c>
      <c r="N1818" s="1" t="s">
        <v>7945</v>
      </c>
    </row>
    <row r="1819" spans="1:14" s="1" customFormat="1" x14ac:dyDescent="0.35">
      <c r="A1819" s="1" t="s">
        <v>5171</v>
      </c>
      <c r="B1819" s="1" t="s">
        <v>3162</v>
      </c>
      <c r="C1819" s="1" t="s">
        <v>3375</v>
      </c>
      <c r="D1819" s="1" t="s">
        <v>7944</v>
      </c>
      <c r="E1819" s="1" t="str">
        <f>"3930"</f>
        <v>3930</v>
      </c>
      <c r="F1819" s="1" t="str">
        <f>"011580849"</f>
        <v>011580849</v>
      </c>
      <c r="G1819" s="1" t="s">
        <v>1304</v>
      </c>
      <c r="H1819" s="1" t="s">
        <v>16</v>
      </c>
      <c r="I1819" s="4" t="str">
        <f>"1"</f>
        <v>1</v>
      </c>
      <c r="J1819" s="2" t="str">
        <f>"72370"</f>
        <v>72370</v>
      </c>
      <c r="K1819" s="3">
        <v>46187</v>
      </c>
      <c r="L1819" s="3">
        <v>46189</v>
      </c>
      <c r="M1819" s="1" t="s">
        <v>7943</v>
      </c>
      <c r="N1819" s="1" t="s">
        <v>7942</v>
      </c>
    </row>
    <row r="1820" spans="1:14" s="1" customFormat="1" x14ac:dyDescent="0.35">
      <c r="A1820" s="1" t="s">
        <v>5171</v>
      </c>
      <c r="B1820" s="1" t="s">
        <v>3162</v>
      </c>
      <c r="C1820" s="1" t="s">
        <v>3375</v>
      </c>
      <c r="D1820" s="1" t="s">
        <v>7944</v>
      </c>
      <c r="E1820" s="1" t="str">
        <f>"3930"</f>
        <v>3930</v>
      </c>
      <c r="F1820" s="1" t="str">
        <f>"011580849"</f>
        <v>011580849</v>
      </c>
      <c r="G1820" s="1" t="s">
        <v>1304</v>
      </c>
      <c r="H1820" s="1" t="s">
        <v>16</v>
      </c>
      <c r="I1820" s="4" t="str">
        <f>"1"</f>
        <v>1</v>
      </c>
      <c r="J1820" s="2" t="str">
        <f>"72370"</f>
        <v>72370</v>
      </c>
      <c r="K1820" s="3">
        <v>46187</v>
      </c>
      <c r="L1820" s="3">
        <v>46189</v>
      </c>
      <c r="M1820" s="1" t="s">
        <v>7943</v>
      </c>
      <c r="N1820" s="1" t="s">
        <v>7942</v>
      </c>
    </row>
    <row r="1821" spans="1:14" s="1" customFormat="1" x14ac:dyDescent="0.35">
      <c r="A1821" s="1" t="s">
        <v>5171</v>
      </c>
      <c r="B1821" s="1" t="s">
        <v>3162</v>
      </c>
      <c r="C1821" s="1" t="s">
        <v>3191</v>
      </c>
      <c r="D1821" s="1" t="s">
        <v>7941</v>
      </c>
      <c r="E1821" s="1" t="str">
        <f>"2330"</f>
        <v>2330</v>
      </c>
      <c r="F1821" s="1" t="s">
        <v>70</v>
      </c>
      <c r="G1821" s="1" t="s">
        <v>71</v>
      </c>
      <c r="H1821" s="1" t="s">
        <v>16</v>
      </c>
      <c r="I1821" s="4" t="str">
        <f>"1"</f>
        <v>1</v>
      </c>
      <c r="J1821" s="2" t="str">
        <f>"18349"</f>
        <v>18349</v>
      </c>
      <c r="K1821" s="3">
        <v>46154</v>
      </c>
      <c r="L1821" s="3">
        <v>46190</v>
      </c>
      <c r="M1821" s="1" t="s">
        <v>7940</v>
      </c>
      <c r="N1821" s="1" t="s">
        <v>7939</v>
      </c>
    </row>
    <row r="1822" spans="1:14" s="1" customFormat="1" x14ac:dyDescent="0.35">
      <c r="A1822" s="1" t="s">
        <v>5171</v>
      </c>
      <c r="B1822" s="1" t="s">
        <v>3162</v>
      </c>
      <c r="C1822" s="1" t="s">
        <v>3375</v>
      </c>
      <c r="D1822" s="1" t="s">
        <v>7938</v>
      </c>
      <c r="E1822" s="1" t="str">
        <f>"5180"</f>
        <v>5180</v>
      </c>
      <c r="F1822" s="1" t="s">
        <v>88</v>
      </c>
      <c r="G1822" s="1" t="s">
        <v>89</v>
      </c>
      <c r="H1822" s="1" t="s">
        <v>16</v>
      </c>
      <c r="I1822" s="4" t="str">
        <f>"1"</f>
        <v>1</v>
      </c>
      <c r="J1822" s="2" t="str">
        <f>"3000"</f>
        <v>3000</v>
      </c>
      <c r="K1822" s="3">
        <v>46189</v>
      </c>
      <c r="L1822" s="3">
        <v>46190</v>
      </c>
      <c r="M1822" s="1" t="s">
        <v>5167</v>
      </c>
      <c r="N1822" s="1" t="s">
        <v>7936</v>
      </c>
    </row>
    <row r="1823" spans="1:14" s="1" customFormat="1" x14ac:dyDescent="0.35">
      <c r="A1823" s="1" t="s">
        <v>5171</v>
      </c>
      <c r="B1823" s="1" t="s">
        <v>3162</v>
      </c>
      <c r="C1823" s="1" t="s">
        <v>3375</v>
      </c>
      <c r="D1823" s="1" t="s">
        <v>7937</v>
      </c>
      <c r="E1823" s="1" t="str">
        <f>"5180"</f>
        <v>5180</v>
      </c>
      <c r="F1823" s="1" t="s">
        <v>88</v>
      </c>
      <c r="G1823" s="1" t="s">
        <v>89</v>
      </c>
      <c r="H1823" s="1" t="s">
        <v>16</v>
      </c>
      <c r="I1823" s="4" t="str">
        <f>"1"</f>
        <v>1</v>
      </c>
      <c r="J1823" s="2" t="str">
        <f>"3000"</f>
        <v>3000</v>
      </c>
      <c r="K1823" s="3">
        <v>46189</v>
      </c>
      <c r="L1823" s="3">
        <v>46190</v>
      </c>
      <c r="M1823" s="1" t="s">
        <v>5167</v>
      </c>
      <c r="N1823" s="1" t="s">
        <v>7936</v>
      </c>
    </row>
    <row r="1824" spans="1:14" s="1" customFormat="1" x14ac:dyDescent="0.35">
      <c r="A1824" s="1" t="s">
        <v>5171</v>
      </c>
      <c r="B1824" s="1" t="s">
        <v>3162</v>
      </c>
      <c r="C1824" s="1" t="s">
        <v>3178</v>
      </c>
      <c r="D1824" s="1" t="s">
        <v>7935</v>
      </c>
      <c r="E1824" s="1" t="str">
        <f>"5140"</f>
        <v>5140</v>
      </c>
      <c r="F1824" s="1" t="str">
        <f>"013673683"</f>
        <v>013673683</v>
      </c>
      <c r="G1824" s="1" t="s">
        <v>1659</v>
      </c>
      <c r="H1824" s="1" t="s">
        <v>16</v>
      </c>
      <c r="I1824" s="4" t="str">
        <f>"2"</f>
        <v>2</v>
      </c>
      <c r="J1824" s="2">
        <v>780.82</v>
      </c>
      <c r="K1824" s="3">
        <v>46171</v>
      </c>
      <c r="L1824" s="3">
        <v>46191</v>
      </c>
      <c r="M1824" s="1" t="s">
        <v>7934</v>
      </c>
      <c r="N1824" s="1" t="s">
        <v>7933</v>
      </c>
    </row>
    <row r="1825" spans="1:14" s="1" customFormat="1" x14ac:dyDescent="0.35">
      <c r="A1825" s="1" t="s">
        <v>5171</v>
      </c>
      <c r="B1825" s="1" t="s">
        <v>3162</v>
      </c>
      <c r="C1825" s="1" t="s">
        <v>3375</v>
      </c>
      <c r="D1825" s="1" t="s">
        <v>7932</v>
      </c>
      <c r="E1825" s="1" t="str">
        <f>"2330"</f>
        <v>2330</v>
      </c>
      <c r="F1825" s="1" t="s">
        <v>70</v>
      </c>
      <c r="G1825" s="1" t="s">
        <v>71</v>
      </c>
      <c r="H1825" s="1" t="s">
        <v>16</v>
      </c>
      <c r="I1825" s="4" t="str">
        <f>"1"</f>
        <v>1</v>
      </c>
      <c r="J1825" s="2" t="str">
        <f>"26680"</f>
        <v>26680</v>
      </c>
      <c r="K1825" s="3">
        <v>46187</v>
      </c>
      <c r="L1825" s="3">
        <v>46191</v>
      </c>
      <c r="M1825" s="1" t="s">
        <v>7931</v>
      </c>
      <c r="N1825" s="1" t="s">
        <v>7897</v>
      </c>
    </row>
    <row r="1826" spans="1:14" s="1" customFormat="1" x14ac:dyDescent="0.35">
      <c r="A1826" s="1" t="s">
        <v>5171</v>
      </c>
      <c r="B1826" s="1" t="s">
        <v>3162</v>
      </c>
      <c r="C1826" s="1" t="s">
        <v>7877</v>
      </c>
      <c r="D1826" s="1" t="s">
        <v>7930</v>
      </c>
      <c r="E1826" s="1" t="str">
        <f>"5855"</f>
        <v>5855</v>
      </c>
      <c r="F1826" s="1" t="s">
        <v>7063</v>
      </c>
      <c r="G1826" s="1" t="s">
        <v>7062</v>
      </c>
      <c r="H1826" s="1" t="s">
        <v>16</v>
      </c>
      <c r="I1826" s="4" t="str">
        <f>"1"</f>
        <v>1</v>
      </c>
      <c r="J1826" s="2" t="str">
        <f>"37500"</f>
        <v>37500</v>
      </c>
      <c r="K1826" s="3">
        <v>46188</v>
      </c>
      <c r="L1826" s="3">
        <v>46192</v>
      </c>
      <c r="M1826" s="1" t="s">
        <v>7929</v>
      </c>
      <c r="N1826" s="1" t="s">
        <v>7928</v>
      </c>
    </row>
    <row r="1827" spans="1:14" s="1" customFormat="1" x14ac:dyDescent="0.35">
      <c r="A1827" s="1" t="s">
        <v>5171</v>
      </c>
      <c r="B1827" s="1" t="s">
        <v>3162</v>
      </c>
      <c r="C1827" s="1" t="s">
        <v>3178</v>
      </c>
      <c r="D1827" s="1" t="s">
        <v>7927</v>
      </c>
      <c r="E1827" s="1" t="str">
        <f>"2360"</f>
        <v>2360</v>
      </c>
      <c r="F1827" s="1" t="str">
        <f>"015560212"</f>
        <v>015560212</v>
      </c>
      <c r="G1827" s="1" t="s">
        <v>2463</v>
      </c>
      <c r="H1827" s="1" t="s">
        <v>16</v>
      </c>
      <c r="I1827" s="4" t="str">
        <f>"1"</f>
        <v>1</v>
      </c>
      <c r="J1827" s="2" t="str">
        <f>"100000"</f>
        <v>100000</v>
      </c>
      <c r="K1827" s="3">
        <v>46171</v>
      </c>
      <c r="L1827" s="3">
        <v>46195</v>
      </c>
      <c r="M1827" s="1" t="s">
        <v>7926</v>
      </c>
      <c r="N1827" s="1" t="s">
        <v>7925</v>
      </c>
    </row>
    <row r="1828" spans="1:14" s="1" customFormat="1" x14ac:dyDescent="0.35">
      <c r="A1828" s="1" t="s">
        <v>5171</v>
      </c>
      <c r="B1828" s="1" t="s">
        <v>3162</v>
      </c>
      <c r="C1828" s="1" t="s">
        <v>7877</v>
      </c>
      <c r="D1828" s="1" t="s">
        <v>7924</v>
      </c>
      <c r="E1828" s="1" t="str">
        <f>"5855"</f>
        <v>5855</v>
      </c>
      <c r="F1828" s="1" t="s">
        <v>4563</v>
      </c>
      <c r="G1828" s="1" t="s">
        <v>4564</v>
      </c>
      <c r="H1828" s="1" t="s">
        <v>16</v>
      </c>
      <c r="I1828" s="4" t="str">
        <f>"1"</f>
        <v>1</v>
      </c>
      <c r="J1828" s="2" t="str">
        <f>"2200"</f>
        <v>2200</v>
      </c>
      <c r="K1828" s="3">
        <v>46188</v>
      </c>
      <c r="L1828" s="3">
        <v>46195</v>
      </c>
      <c r="M1828" s="1" t="s">
        <v>7923</v>
      </c>
      <c r="N1828" s="1" t="s">
        <v>7920</v>
      </c>
    </row>
    <row r="1829" spans="1:14" s="1" customFormat="1" x14ac:dyDescent="0.35">
      <c r="A1829" s="1" t="s">
        <v>5171</v>
      </c>
      <c r="B1829" s="1" t="s">
        <v>3162</v>
      </c>
      <c r="C1829" s="1" t="s">
        <v>7877</v>
      </c>
      <c r="D1829" s="1" t="s">
        <v>7922</v>
      </c>
      <c r="E1829" s="1" t="str">
        <f>"5855"</f>
        <v>5855</v>
      </c>
      <c r="F1829" s="1" t="s">
        <v>4563</v>
      </c>
      <c r="G1829" s="1" t="s">
        <v>4564</v>
      </c>
      <c r="H1829" s="1" t="s">
        <v>16</v>
      </c>
      <c r="I1829" s="4" t="str">
        <f>"1"</f>
        <v>1</v>
      </c>
      <c r="J1829" s="2" t="str">
        <f>"2200"</f>
        <v>2200</v>
      </c>
      <c r="K1829" s="3">
        <v>46188</v>
      </c>
      <c r="L1829" s="3">
        <v>46195</v>
      </c>
      <c r="M1829" s="1" t="s">
        <v>7921</v>
      </c>
      <c r="N1829" s="1" t="s">
        <v>7920</v>
      </c>
    </row>
    <row r="1830" spans="1:14" s="1" customFormat="1" x14ac:dyDescent="0.35">
      <c r="A1830" s="1" t="s">
        <v>5171</v>
      </c>
      <c r="B1830" s="1" t="s">
        <v>3162</v>
      </c>
      <c r="C1830" s="1" t="s">
        <v>3248</v>
      </c>
      <c r="D1830" s="1" t="s">
        <v>7919</v>
      </c>
      <c r="E1830" s="1" t="str">
        <f>"2340"</f>
        <v>2340</v>
      </c>
      <c r="F1830" s="1" t="s">
        <v>2017</v>
      </c>
      <c r="G1830" s="1" t="s">
        <v>2018</v>
      </c>
      <c r="H1830" s="1" t="s">
        <v>16</v>
      </c>
      <c r="I1830" s="4" t="str">
        <f>"1"</f>
        <v>1</v>
      </c>
      <c r="J1830" s="2" t="str">
        <f>"3938"</f>
        <v>3938</v>
      </c>
      <c r="K1830" s="3">
        <v>46190</v>
      </c>
      <c r="L1830" s="3">
        <v>46195</v>
      </c>
      <c r="M1830" s="1" t="s">
        <v>7918</v>
      </c>
      <c r="N1830" s="1" t="s">
        <v>7915</v>
      </c>
    </row>
    <row r="1831" spans="1:14" s="1" customFormat="1" x14ac:dyDescent="0.35">
      <c r="A1831" s="1" t="s">
        <v>5171</v>
      </c>
      <c r="B1831" s="1" t="s">
        <v>3162</v>
      </c>
      <c r="C1831" s="1" t="s">
        <v>3248</v>
      </c>
      <c r="D1831" s="1" t="s">
        <v>7917</v>
      </c>
      <c r="E1831" s="1" t="str">
        <f>"2340"</f>
        <v>2340</v>
      </c>
      <c r="F1831" s="1" t="s">
        <v>2017</v>
      </c>
      <c r="G1831" s="1" t="s">
        <v>2018</v>
      </c>
      <c r="H1831" s="1" t="s">
        <v>16</v>
      </c>
      <c r="I1831" s="4" t="str">
        <f>"1"</f>
        <v>1</v>
      </c>
      <c r="J1831" s="2" t="str">
        <f>"3938"</f>
        <v>3938</v>
      </c>
      <c r="K1831" s="3">
        <v>46190</v>
      </c>
      <c r="L1831" s="3">
        <v>46195</v>
      </c>
      <c r="M1831" s="1" t="s">
        <v>7916</v>
      </c>
      <c r="N1831" s="1" t="s">
        <v>7915</v>
      </c>
    </row>
    <row r="1832" spans="1:14" s="1" customFormat="1" x14ac:dyDescent="0.35">
      <c r="A1832" s="1" t="s">
        <v>5171</v>
      </c>
      <c r="B1832" s="1" t="s">
        <v>3162</v>
      </c>
      <c r="C1832" s="1" t="s">
        <v>3284</v>
      </c>
      <c r="D1832" s="1" t="s">
        <v>7914</v>
      </c>
      <c r="E1832" s="1" t="str">
        <f>"2340"</f>
        <v>2340</v>
      </c>
      <c r="F1832" s="1" t="s">
        <v>2017</v>
      </c>
      <c r="G1832" s="1" t="s">
        <v>2018</v>
      </c>
      <c r="H1832" s="1" t="s">
        <v>16</v>
      </c>
      <c r="I1832" s="4" t="str">
        <f>"1"</f>
        <v>1</v>
      </c>
      <c r="J1832" s="2" t="str">
        <f>"3938"</f>
        <v>3938</v>
      </c>
      <c r="K1832" s="3">
        <v>46190</v>
      </c>
      <c r="L1832" s="3">
        <v>46195</v>
      </c>
      <c r="M1832" s="1" t="s">
        <v>7913</v>
      </c>
      <c r="N1832" s="1" t="s">
        <v>3295</v>
      </c>
    </row>
    <row r="1833" spans="1:14" s="1" customFormat="1" x14ac:dyDescent="0.35">
      <c r="A1833" s="1" t="s">
        <v>5171</v>
      </c>
      <c r="B1833" s="1" t="s">
        <v>3162</v>
      </c>
      <c r="C1833" s="1" t="s">
        <v>3284</v>
      </c>
      <c r="D1833" s="1" t="s">
        <v>7912</v>
      </c>
      <c r="E1833" s="1" t="str">
        <f>"2340"</f>
        <v>2340</v>
      </c>
      <c r="F1833" s="1" t="s">
        <v>2017</v>
      </c>
      <c r="G1833" s="1" t="s">
        <v>2018</v>
      </c>
      <c r="H1833" s="1" t="s">
        <v>16</v>
      </c>
      <c r="I1833" s="4" t="str">
        <f>"1"</f>
        <v>1</v>
      </c>
      <c r="J1833" s="2" t="str">
        <f>"3938"</f>
        <v>3938</v>
      </c>
      <c r="K1833" s="3">
        <v>46190</v>
      </c>
      <c r="L1833" s="3">
        <v>46195</v>
      </c>
      <c r="M1833" s="1" t="s">
        <v>7911</v>
      </c>
      <c r="N1833" s="1" t="s">
        <v>3295</v>
      </c>
    </row>
    <row r="1834" spans="1:14" s="1" customFormat="1" x14ac:dyDescent="0.35">
      <c r="A1834" s="1" t="s">
        <v>5171</v>
      </c>
      <c r="B1834" s="1" t="s">
        <v>3162</v>
      </c>
      <c r="C1834" s="1" t="s">
        <v>3375</v>
      </c>
      <c r="D1834" s="1" t="s">
        <v>7910</v>
      </c>
      <c r="E1834" s="1" t="str">
        <f>"2340"</f>
        <v>2340</v>
      </c>
      <c r="F1834" s="1" t="s">
        <v>2017</v>
      </c>
      <c r="G1834" s="1" t="s">
        <v>2018</v>
      </c>
      <c r="H1834" s="1" t="s">
        <v>16</v>
      </c>
      <c r="I1834" s="4" t="str">
        <f>"1"</f>
        <v>1</v>
      </c>
      <c r="J1834" s="2" t="str">
        <f>"3938"</f>
        <v>3938</v>
      </c>
      <c r="K1834" s="3">
        <v>46189</v>
      </c>
      <c r="L1834" s="3">
        <v>46195</v>
      </c>
      <c r="M1834" s="1" t="s">
        <v>7909</v>
      </c>
      <c r="N1834" s="1" t="s">
        <v>3385</v>
      </c>
    </row>
    <row r="1835" spans="1:14" s="1" customFormat="1" x14ac:dyDescent="0.35">
      <c r="A1835" s="1" t="s">
        <v>5171</v>
      </c>
      <c r="B1835" s="1" t="s">
        <v>3162</v>
      </c>
      <c r="C1835" s="1" t="s">
        <v>7908</v>
      </c>
      <c r="D1835" s="1" t="s">
        <v>7907</v>
      </c>
      <c r="E1835" s="1" t="str">
        <f>"2320"</f>
        <v>2320</v>
      </c>
      <c r="F1835" s="1" t="str">
        <f>"014474938"</f>
        <v>014474938</v>
      </c>
      <c r="G1835" s="1" t="s">
        <v>360</v>
      </c>
      <c r="H1835" s="1" t="s">
        <v>16</v>
      </c>
      <c r="I1835" s="4" t="str">
        <f>"1"</f>
        <v>1</v>
      </c>
      <c r="J1835" s="2" t="str">
        <f>"230363"</f>
        <v>230363</v>
      </c>
      <c r="K1835" s="3">
        <v>46163</v>
      </c>
      <c r="L1835" s="3">
        <v>46196</v>
      </c>
      <c r="M1835" s="1" t="s">
        <v>7906</v>
      </c>
      <c r="N1835" s="1" t="s">
        <v>7905</v>
      </c>
    </row>
    <row r="1836" spans="1:14" s="1" customFormat="1" x14ac:dyDescent="0.35">
      <c r="A1836" s="1" t="s">
        <v>5171</v>
      </c>
      <c r="B1836" s="1" t="s">
        <v>3162</v>
      </c>
      <c r="C1836" s="1" t="s">
        <v>3375</v>
      </c>
      <c r="D1836" s="1" t="s">
        <v>7904</v>
      </c>
      <c r="E1836" s="1" t="str">
        <f>"5180"</f>
        <v>5180</v>
      </c>
      <c r="F1836" s="1" t="str">
        <f>"016055146"</f>
        <v>016055146</v>
      </c>
      <c r="G1836" s="1" t="s">
        <v>214</v>
      </c>
      <c r="H1836" s="1" t="s">
        <v>458</v>
      </c>
      <c r="I1836" s="4" t="str">
        <f>"1"</f>
        <v>1</v>
      </c>
      <c r="J1836" s="2" t="str">
        <f>"2048"</f>
        <v>2048</v>
      </c>
      <c r="K1836" s="3">
        <v>46196</v>
      </c>
      <c r="L1836" s="3">
        <v>46198</v>
      </c>
      <c r="M1836" s="1" t="s">
        <v>5167</v>
      </c>
      <c r="N1836" s="1" t="s">
        <v>7903</v>
      </c>
    </row>
    <row r="1837" spans="1:14" s="1" customFormat="1" x14ac:dyDescent="0.35">
      <c r="A1837" s="1" t="s">
        <v>5171</v>
      </c>
      <c r="B1837" s="1" t="s">
        <v>3162</v>
      </c>
      <c r="C1837" s="1" t="s">
        <v>3248</v>
      </c>
      <c r="D1837" s="1" t="s">
        <v>7902</v>
      </c>
      <c r="E1837" s="1" t="str">
        <f>"2330"</f>
        <v>2330</v>
      </c>
      <c r="F1837" s="1" t="s">
        <v>70</v>
      </c>
      <c r="G1837" s="1" t="s">
        <v>71</v>
      </c>
      <c r="H1837" s="1" t="s">
        <v>16</v>
      </c>
      <c r="I1837" s="4" t="str">
        <f>"1"</f>
        <v>1</v>
      </c>
      <c r="J1837" s="2" t="str">
        <f>"26680"</f>
        <v>26680</v>
      </c>
      <c r="K1837" s="3">
        <v>46186</v>
      </c>
      <c r="L1837" s="3">
        <v>46200</v>
      </c>
      <c r="M1837" s="1" t="s">
        <v>7901</v>
      </c>
      <c r="N1837" s="1" t="s">
        <v>7900</v>
      </c>
    </row>
    <row r="1838" spans="1:14" s="1" customFormat="1" x14ac:dyDescent="0.35">
      <c r="A1838" s="1" t="s">
        <v>5171</v>
      </c>
      <c r="B1838" s="1" t="s">
        <v>3162</v>
      </c>
      <c r="C1838" s="1" t="s">
        <v>3375</v>
      </c>
      <c r="D1838" s="1" t="s">
        <v>7899</v>
      </c>
      <c r="E1838" s="1" t="str">
        <f>"2330"</f>
        <v>2330</v>
      </c>
      <c r="F1838" s="1" t="s">
        <v>70</v>
      </c>
      <c r="G1838" s="1" t="s">
        <v>71</v>
      </c>
      <c r="H1838" s="1" t="s">
        <v>16</v>
      </c>
      <c r="I1838" s="4" t="str">
        <f>"1"</f>
        <v>1</v>
      </c>
      <c r="J1838" s="2" t="str">
        <f>"26680"</f>
        <v>26680</v>
      </c>
      <c r="K1838" s="3">
        <v>46187</v>
      </c>
      <c r="L1838" s="3">
        <v>46200</v>
      </c>
      <c r="M1838" s="1" t="s">
        <v>7898</v>
      </c>
      <c r="N1838" s="1" t="s">
        <v>7897</v>
      </c>
    </row>
    <row r="1839" spans="1:14" s="1" customFormat="1" x14ac:dyDescent="0.35">
      <c r="A1839" s="1" t="s">
        <v>5216</v>
      </c>
      <c r="B1839" s="1" t="s">
        <v>3162</v>
      </c>
      <c r="C1839" s="1" t="s">
        <v>3178</v>
      </c>
      <c r="D1839" s="1" t="s">
        <v>7896</v>
      </c>
      <c r="E1839" s="1" t="str">
        <f>"6070"</f>
        <v>6070</v>
      </c>
      <c r="F1839" s="1" t="str">
        <f>"015867009"</f>
        <v>015867009</v>
      </c>
      <c r="G1839" s="1" t="s">
        <v>7879</v>
      </c>
      <c r="H1839" s="1" t="s">
        <v>16</v>
      </c>
      <c r="I1839" s="4" t="str">
        <f>"1"</f>
        <v>1</v>
      </c>
      <c r="J1839" s="2" t="str">
        <f>"4544"</f>
        <v>4544</v>
      </c>
      <c r="K1839" s="3">
        <v>46199</v>
      </c>
      <c r="L1839" s="3">
        <v>46202</v>
      </c>
      <c r="M1839" s="1" t="s">
        <v>7875</v>
      </c>
      <c r="N1839" s="1" t="s">
        <v>7895</v>
      </c>
    </row>
    <row r="1840" spans="1:14" s="1" customFormat="1" x14ac:dyDescent="0.35">
      <c r="A1840" s="1" t="s">
        <v>5216</v>
      </c>
      <c r="B1840" s="1" t="s">
        <v>3162</v>
      </c>
      <c r="C1840" s="1" t="s">
        <v>3178</v>
      </c>
      <c r="D1840" s="1" t="s">
        <v>7894</v>
      </c>
      <c r="E1840" s="1" t="str">
        <f>"5855"</f>
        <v>5855</v>
      </c>
      <c r="F1840" s="1" t="str">
        <f>"014331217"</f>
        <v>014331217</v>
      </c>
      <c r="G1840" s="1" t="s">
        <v>7887</v>
      </c>
      <c r="H1840" s="1" t="s">
        <v>215</v>
      </c>
      <c r="I1840" s="4" t="str">
        <f>"1"</f>
        <v>1</v>
      </c>
      <c r="J1840" s="2" t="str">
        <f>"6626"</f>
        <v>6626</v>
      </c>
      <c r="K1840" s="3">
        <v>46199</v>
      </c>
      <c r="L1840" s="3">
        <v>46202</v>
      </c>
      <c r="M1840" s="1" t="s">
        <v>7875</v>
      </c>
      <c r="N1840" s="1" t="s">
        <v>7893</v>
      </c>
    </row>
    <row r="1841" spans="1:14" s="1" customFormat="1" x14ac:dyDescent="0.35">
      <c r="A1841" s="1" t="s">
        <v>5216</v>
      </c>
      <c r="B1841" s="1" t="s">
        <v>3162</v>
      </c>
      <c r="C1841" s="1" t="s">
        <v>3178</v>
      </c>
      <c r="D1841" s="1" t="s">
        <v>7892</v>
      </c>
      <c r="E1841" s="1" t="str">
        <f>"5855"</f>
        <v>5855</v>
      </c>
      <c r="F1841" s="1" t="str">
        <f>"014331217"</f>
        <v>014331217</v>
      </c>
      <c r="G1841" s="1" t="s">
        <v>7887</v>
      </c>
      <c r="H1841" s="1" t="s">
        <v>215</v>
      </c>
      <c r="I1841" s="4" t="str">
        <f>"1"</f>
        <v>1</v>
      </c>
      <c r="J1841" s="2" t="str">
        <f>"6626"</f>
        <v>6626</v>
      </c>
      <c r="K1841" s="3">
        <v>46199</v>
      </c>
      <c r="L1841" s="3">
        <v>46202</v>
      </c>
      <c r="M1841" s="1" t="s">
        <v>7875</v>
      </c>
      <c r="N1841" s="1" t="s">
        <v>7891</v>
      </c>
    </row>
    <row r="1842" spans="1:14" s="1" customFormat="1" x14ac:dyDescent="0.35">
      <c r="A1842" s="1" t="s">
        <v>5216</v>
      </c>
      <c r="B1842" s="1" t="s">
        <v>3162</v>
      </c>
      <c r="C1842" s="1" t="s">
        <v>3178</v>
      </c>
      <c r="D1842" s="1" t="s">
        <v>7890</v>
      </c>
      <c r="E1842" s="1" t="str">
        <f>"5855"</f>
        <v>5855</v>
      </c>
      <c r="F1842" s="1" t="str">
        <f>"014331217"</f>
        <v>014331217</v>
      </c>
      <c r="G1842" s="1" t="s">
        <v>7887</v>
      </c>
      <c r="H1842" s="1" t="s">
        <v>215</v>
      </c>
      <c r="I1842" s="4" t="str">
        <f>"1"</f>
        <v>1</v>
      </c>
      <c r="J1842" s="2" t="str">
        <f>"6626"</f>
        <v>6626</v>
      </c>
      <c r="K1842" s="3">
        <v>46199</v>
      </c>
      <c r="L1842" s="3">
        <v>46202</v>
      </c>
      <c r="M1842" s="1" t="s">
        <v>7875</v>
      </c>
      <c r="N1842" s="1" t="s">
        <v>7886</v>
      </c>
    </row>
    <row r="1843" spans="1:14" s="1" customFormat="1" x14ac:dyDescent="0.35">
      <c r="A1843" s="1" t="s">
        <v>5216</v>
      </c>
      <c r="B1843" s="1" t="s">
        <v>3162</v>
      </c>
      <c r="C1843" s="1" t="s">
        <v>3178</v>
      </c>
      <c r="D1843" s="1" t="s">
        <v>7889</v>
      </c>
      <c r="E1843" s="1" t="str">
        <f>"5855"</f>
        <v>5855</v>
      </c>
      <c r="F1843" s="1" t="str">
        <f>"014331217"</f>
        <v>014331217</v>
      </c>
      <c r="G1843" s="1" t="s">
        <v>7887</v>
      </c>
      <c r="H1843" s="1" t="s">
        <v>215</v>
      </c>
      <c r="I1843" s="4" t="str">
        <f>"1"</f>
        <v>1</v>
      </c>
      <c r="J1843" s="2" t="str">
        <f>"6626"</f>
        <v>6626</v>
      </c>
      <c r="K1843" s="3">
        <v>46199</v>
      </c>
      <c r="L1843" s="3">
        <v>46202</v>
      </c>
      <c r="M1843" s="1" t="s">
        <v>7875</v>
      </c>
      <c r="N1843" s="1" t="s">
        <v>7886</v>
      </c>
    </row>
    <row r="1844" spans="1:14" s="1" customFormat="1" x14ac:dyDescent="0.35">
      <c r="A1844" s="1" t="s">
        <v>5216</v>
      </c>
      <c r="B1844" s="1" t="s">
        <v>3162</v>
      </c>
      <c r="C1844" s="1" t="s">
        <v>3178</v>
      </c>
      <c r="D1844" s="1" t="s">
        <v>7888</v>
      </c>
      <c r="E1844" s="1" t="str">
        <f>"5855"</f>
        <v>5855</v>
      </c>
      <c r="F1844" s="1" t="str">
        <f>"014331217"</f>
        <v>014331217</v>
      </c>
      <c r="G1844" s="1" t="s">
        <v>7887</v>
      </c>
      <c r="H1844" s="1" t="s">
        <v>215</v>
      </c>
      <c r="I1844" s="4" t="str">
        <f>"1"</f>
        <v>1</v>
      </c>
      <c r="J1844" s="2" t="str">
        <f>"6626"</f>
        <v>6626</v>
      </c>
      <c r="K1844" s="3">
        <v>46199</v>
      </c>
      <c r="L1844" s="3">
        <v>46202</v>
      </c>
      <c r="M1844" s="1" t="s">
        <v>7875</v>
      </c>
      <c r="N1844" s="1" t="s">
        <v>7886</v>
      </c>
    </row>
    <row r="1845" spans="1:14" s="1" customFormat="1" x14ac:dyDescent="0.35">
      <c r="A1845" s="1" t="s">
        <v>5216</v>
      </c>
      <c r="B1845" s="1" t="s">
        <v>3162</v>
      </c>
      <c r="C1845" s="1" t="s">
        <v>3178</v>
      </c>
      <c r="D1845" s="1" t="s">
        <v>7885</v>
      </c>
      <c r="E1845" s="1" t="str">
        <f>"6070"</f>
        <v>6070</v>
      </c>
      <c r="F1845" s="1" t="str">
        <f>"015867009"</f>
        <v>015867009</v>
      </c>
      <c r="G1845" s="1" t="s">
        <v>7879</v>
      </c>
      <c r="H1845" s="1" t="s">
        <v>16</v>
      </c>
      <c r="I1845" s="4" t="str">
        <f>"1"</f>
        <v>1</v>
      </c>
      <c r="J1845" s="2" t="str">
        <f>"4544"</f>
        <v>4544</v>
      </c>
      <c r="K1845" s="3">
        <v>46199</v>
      </c>
      <c r="L1845" s="3">
        <v>46202</v>
      </c>
      <c r="M1845" s="1" t="s">
        <v>7875</v>
      </c>
      <c r="N1845" s="1" t="s">
        <v>7878</v>
      </c>
    </row>
    <row r="1846" spans="1:14" s="1" customFormat="1" x14ac:dyDescent="0.35">
      <c r="A1846" s="1" t="s">
        <v>5216</v>
      </c>
      <c r="B1846" s="1" t="s">
        <v>3162</v>
      </c>
      <c r="C1846" s="1" t="s">
        <v>3178</v>
      </c>
      <c r="D1846" s="1" t="s">
        <v>7884</v>
      </c>
      <c r="E1846" s="1" t="str">
        <f>"6070"</f>
        <v>6070</v>
      </c>
      <c r="F1846" s="1" t="str">
        <f>"015867009"</f>
        <v>015867009</v>
      </c>
      <c r="G1846" s="1" t="s">
        <v>7879</v>
      </c>
      <c r="H1846" s="1" t="s">
        <v>16</v>
      </c>
      <c r="I1846" s="4" t="str">
        <f>"1"</f>
        <v>1</v>
      </c>
      <c r="J1846" s="2" t="str">
        <f>"4544"</f>
        <v>4544</v>
      </c>
      <c r="K1846" s="3">
        <v>46199</v>
      </c>
      <c r="L1846" s="3">
        <v>46202</v>
      </c>
      <c r="M1846" s="1" t="s">
        <v>7875</v>
      </c>
      <c r="N1846" s="1" t="s">
        <v>7878</v>
      </c>
    </row>
    <row r="1847" spans="1:14" s="1" customFormat="1" x14ac:dyDescent="0.35">
      <c r="A1847" s="1" t="s">
        <v>5216</v>
      </c>
      <c r="B1847" s="1" t="s">
        <v>3162</v>
      </c>
      <c r="C1847" s="1" t="s">
        <v>3178</v>
      </c>
      <c r="D1847" s="1" t="s">
        <v>7883</v>
      </c>
      <c r="E1847" s="1" t="str">
        <f>"6070"</f>
        <v>6070</v>
      </c>
      <c r="F1847" s="1" t="str">
        <f>"015867009"</f>
        <v>015867009</v>
      </c>
      <c r="G1847" s="1" t="s">
        <v>7879</v>
      </c>
      <c r="H1847" s="1" t="s">
        <v>16</v>
      </c>
      <c r="I1847" s="4" t="str">
        <f>"1"</f>
        <v>1</v>
      </c>
      <c r="J1847" s="2" t="str">
        <f>"4544"</f>
        <v>4544</v>
      </c>
      <c r="K1847" s="3">
        <v>46199</v>
      </c>
      <c r="L1847" s="3">
        <v>46202</v>
      </c>
      <c r="M1847" s="1" t="s">
        <v>7875</v>
      </c>
      <c r="N1847" s="1" t="s">
        <v>7878</v>
      </c>
    </row>
    <row r="1848" spans="1:14" s="1" customFormat="1" x14ac:dyDescent="0.35">
      <c r="A1848" s="1" t="s">
        <v>5216</v>
      </c>
      <c r="B1848" s="1" t="s">
        <v>3162</v>
      </c>
      <c r="C1848" s="1" t="s">
        <v>3178</v>
      </c>
      <c r="D1848" s="1" t="s">
        <v>7882</v>
      </c>
      <c r="E1848" s="1" t="str">
        <f>"6070"</f>
        <v>6070</v>
      </c>
      <c r="F1848" s="1" t="str">
        <f>"015867009"</f>
        <v>015867009</v>
      </c>
      <c r="G1848" s="1" t="s">
        <v>7879</v>
      </c>
      <c r="H1848" s="1" t="s">
        <v>16</v>
      </c>
      <c r="I1848" s="4" t="str">
        <f>"1"</f>
        <v>1</v>
      </c>
      <c r="J1848" s="2" t="str">
        <f>"4544"</f>
        <v>4544</v>
      </c>
      <c r="K1848" s="3">
        <v>46199</v>
      </c>
      <c r="L1848" s="3">
        <v>46202</v>
      </c>
      <c r="M1848" s="1" t="s">
        <v>7875</v>
      </c>
      <c r="N1848" s="1" t="s">
        <v>7878</v>
      </c>
    </row>
    <row r="1849" spans="1:14" s="1" customFormat="1" x14ac:dyDescent="0.35">
      <c r="A1849" s="1" t="s">
        <v>5216</v>
      </c>
      <c r="B1849" s="1" t="s">
        <v>3162</v>
      </c>
      <c r="C1849" s="1" t="s">
        <v>3178</v>
      </c>
      <c r="D1849" s="1" t="s">
        <v>7881</v>
      </c>
      <c r="E1849" s="1" t="str">
        <f>"6070"</f>
        <v>6070</v>
      </c>
      <c r="F1849" s="1" t="str">
        <f>"015867009"</f>
        <v>015867009</v>
      </c>
      <c r="G1849" s="1" t="s">
        <v>7879</v>
      </c>
      <c r="H1849" s="1" t="s">
        <v>16</v>
      </c>
      <c r="I1849" s="4" t="str">
        <f>"1"</f>
        <v>1</v>
      </c>
      <c r="J1849" s="2" t="str">
        <f>"4544"</f>
        <v>4544</v>
      </c>
      <c r="K1849" s="3">
        <v>46199</v>
      </c>
      <c r="L1849" s="3">
        <v>46202</v>
      </c>
      <c r="M1849" s="1" t="s">
        <v>7875</v>
      </c>
      <c r="N1849" s="1" t="s">
        <v>7878</v>
      </c>
    </row>
    <row r="1850" spans="1:14" s="1" customFormat="1" x14ac:dyDescent="0.35">
      <c r="A1850" s="1" t="s">
        <v>5216</v>
      </c>
      <c r="B1850" s="1" t="s">
        <v>3162</v>
      </c>
      <c r="C1850" s="1" t="s">
        <v>3178</v>
      </c>
      <c r="D1850" s="1" t="s">
        <v>7880</v>
      </c>
      <c r="E1850" s="1" t="str">
        <f>"6070"</f>
        <v>6070</v>
      </c>
      <c r="F1850" s="1" t="str">
        <f>"015867009"</f>
        <v>015867009</v>
      </c>
      <c r="G1850" s="1" t="s">
        <v>7879</v>
      </c>
      <c r="H1850" s="1" t="s">
        <v>16</v>
      </c>
      <c r="I1850" s="4" t="str">
        <f>"1"</f>
        <v>1</v>
      </c>
      <c r="J1850" s="2" t="str">
        <f>"4544"</f>
        <v>4544</v>
      </c>
      <c r="K1850" s="3">
        <v>46199</v>
      </c>
      <c r="L1850" s="3">
        <v>46202</v>
      </c>
      <c r="M1850" s="1" t="s">
        <v>7875</v>
      </c>
      <c r="N1850" s="1" t="s">
        <v>7878</v>
      </c>
    </row>
    <row r="1851" spans="1:14" s="1" customFormat="1" x14ac:dyDescent="0.35">
      <c r="A1851" s="1" t="s">
        <v>5216</v>
      </c>
      <c r="B1851" s="1" t="s">
        <v>3162</v>
      </c>
      <c r="C1851" s="1" t="s">
        <v>7877</v>
      </c>
      <c r="D1851" s="1" t="s">
        <v>7876</v>
      </c>
      <c r="E1851" s="1" t="str">
        <f>"5855"</f>
        <v>5855</v>
      </c>
      <c r="F1851" s="1" t="str">
        <f>"015390509"</f>
        <v>015390509</v>
      </c>
      <c r="G1851" s="1" t="s">
        <v>1698</v>
      </c>
      <c r="H1851" s="1" t="s">
        <v>16</v>
      </c>
      <c r="I1851" s="4" t="str">
        <f>"1"</f>
        <v>1</v>
      </c>
      <c r="J1851" s="2" t="str">
        <f>"124747"</f>
        <v>124747</v>
      </c>
      <c r="K1851" s="3">
        <v>46202</v>
      </c>
      <c r="L1851" s="3">
        <v>46202</v>
      </c>
      <c r="M1851" s="1" t="s">
        <v>7875</v>
      </c>
      <c r="N1851" s="1" t="s">
        <v>7874</v>
      </c>
    </row>
    <row r="1852" spans="1:14" s="1" customFormat="1" x14ac:dyDescent="0.35">
      <c r="A1852" s="1" t="s">
        <v>5216</v>
      </c>
      <c r="B1852" s="1" t="s">
        <v>3162</v>
      </c>
      <c r="C1852" s="1" t="s">
        <v>3362</v>
      </c>
      <c r="D1852" s="1" t="s">
        <v>7873</v>
      </c>
      <c r="E1852" s="1" t="str">
        <f>"2320"</f>
        <v>2320</v>
      </c>
      <c r="F1852" s="1" t="str">
        <f>"009260949"</f>
        <v>009260949</v>
      </c>
      <c r="G1852" s="1" t="s">
        <v>271</v>
      </c>
      <c r="H1852" s="1" t="s">
        <v>16</v>
      </c>
      <c r="I1852" s="4" t="str">
        <f>"1"</f>
        <v>1</v>
      </c>
      <c r="J1852" s="2" t="str">
        <f>"10260"</f>
        <v>10260</v>
      </c>
      <c r="K1852" s="3">
        <v>46200</v>
      </c>
      <c r="L1852" s="3">
        <v>46202</v>
      </c>
      <c r="M1852" s="1" t="s">
        <v>7872</v>
      </c>
      <c r="N1852" s="1" t="s">
        <v>7871</v>
      </c>
    </row>
    <row r="1853" spans="1:14" s="1" customFormat="1" x14ac:dyDescent="0.35">
      <c r="A1853" s="1" t="s">
        <v>5171</v>
      </c>
      <c r="B1853" s="1" t="s">
        <v>3162</v>
      </c>
      <c r="C1853" s="1" t="s">
        <v>3284</v>
      </c>
      <c r="D1853" s="1" t="s">
        <v>7870</v>
      </c>
      <c r="E1853" s="1" t="str">
        <f>"2320"</f>
        <v>2320</v>
      </c>
      <c r="F1853" s="1" t="s">
        <v>975</v>
      </c>
      <c r="G1853" s="1" t="s">
        <v>976</v>
      </c>
      <c r="H1853" s="1" t="s">
        <v>16</v>
      </c>
      <c r="I1853" s="4" t="str">
        <f>"1"</f>
        <v>1</v>
      </c>
      <c r="J1853" s="2" t="str">
        <f>"36123"</f>
        <v>36123</v>
      </c>
      <c r="K1853" s="3">
        <v>46196</v>
      </c>
      <c r="L1853" s="3">
        <v>46203</v>
      </c>
      <c r="M1853" s="1" t="s">
        <v>7869</v>
      </c>
      <c r="N1853" s="1" t="s">
        <v>7868</v>
      </c>
    </row>
    <row r="1854" spans="1:14" s="1" customFormat="1" x14ac:dyDescent="0.35">
      <c r="A1854" s="1" t="s">
        <v>5171</v>
      </c>
      <c r="B1854" s="1" t="s">
        <v>3162</v>
      </c>
      <c r="C1854" s="1" t="s">
        <v>3284</v>
      </c>
      <c r="D1854" s="1" t="s">
        <v>7867</v>
      </c>
      <c r="E1854" s="1" t="str">
        <f>"2320"</f>
        <v>2320</v>
      </c>
      <c r="F1854" s="1" t="s">
        <v>975</v>
      </c>
      <c r="G1854" s="1" t="s">
        <v>976</v>
      </c>
      <c r="H1854" s="1" t="s">
        <v>16</v>
      </c>
      <c r="I1854" s="4" t="str">
        <f>"1"</f>
        <v>1</v>
      </c>
      <c r="J1854" s="2">
        <v>36645.83</v>
      </c>
      <c r="K1854" s="3">
        <v>46196</v>
      </c>
      <c r="L1854" s="3">
        <v>46203</v>
      </c>
      <c r="M1854" s="1" t="s">
        <v>7866</v>
      </c>
      <c r="N1854" s="1" t="s">
        <v>7865</v>
      </c>
    </row>
    <row r="1855" spans="1:14" s="1" customFormat="1" x14ac:dyDescent="0.35">
      <c r="A1855" s="1" t="s">
        <v>5171</v>
      </c>
      <c r="B1855" s="1" t="s">
        <v>3162</v>
      </c>
      <c r="C1855" s="1" t="s">
        <v>3375</v>
      </c>
      <c r="D1855" s="1" t="s">
        <v>7864</v>
      </c>
      <c r="E1855" s="1" t="str">
        <f>"3930"</f>
        <v>3930</v>
      </c>
      <c r="F1855" s="1" t="str">
        <f>"010543833"</f>
        <v>010543833</v>
      </c>
      <c r="G1855" s="1" t="s">
        <v>1304</v>
      </c>
      <c r="H1855" s="1" t="s">
        <v>16</v>
      </c>
      <c r="I1855" s="4" t="str">
        <f>"1"</f>
        <v>1</v>
      </c>
      <c r="J1855" s="2" t="str">
        <f>"100010"</f>
        <v>100010</v>
      </c>
      <c r="K1855" s="3">
        <v>46189</v>
      </c>
      <c r="L1855" s="3">
        <v>46203</v>
      </c>
      <c r="M1855" s="1" t="s">
        <v>7863</v>
      </c>
      <c r="N1855" s="1" t="s">
        <v>7862</v>
      </c>
    </row>
    <row r="1856" spans="1:14" s="1" customFormat="1" x14ac:dyDescent="0.35">
      <c r="A1856" s="1" t="s">
        <v>5171</v>
      </c>
      <c r="B1856" s="1" t="s">
        <v>3162</v>
      </c>
      <c r="C1856" s="1" t="s">
        <v>3375</v>
      </c>
      <c r="D1856" s="1" t="s">
        <v>7861</v>
      </c>
      <c r="E1856" s="1" t="str">
        <f>"2320"</f>
        <v>2320</v>
      </c>
      <c r="F1856" s="1" t="s">
        <v>975</v>
      </c>
      <c r="G1856" s="1" t="s">
        <v>976</v>
      </c>
      <c r="H1856" s="1" t="s">
        <v>16</v>
      </c>
      <c r="I1856" s="4" t="str">
        <f>"1"</f>
        <v>1</v>
      </c>
      <c r="J1856" s="2">
        <v>36645.83</v>
      </c>
      <c r="K1856" s="3">
        <v>46196</v>
      </c>
      <c r="L1856" s="3">
        <v>46203</v>
      </c>
      <c r="M1856" s="1" t="s">
        <v>7860</v>
      </c>
      <c r="N1856" s="1" t="s">
        <v>7859</v>
      </c>
    </row>
    <row r="1857" spans="1:14" s="1" customFormat="1" x14ac:dyDescent="0.35">
      <c r="A1857" s="1" t="s">
        <v>5171</v>
      </c>
      <c r="B1857" s="1" t="s">
        <v>3162</v>
      </c>
      <c r="C1857" s="1" t="s">
        <v>3375</v>
      </c>
      <c r="D1857" s="1" t="s">
        <v>7858</v>
      </c>
      <c r="E1857" s="1" t="str">
        <f>"2320"</f>
        <v>2320</v>
      </c>
      <c r="F1857" s="1" t="s">
        <v>975</v>
      </c>
      <c r="G1857" s="1" t="s">
        <v>976</v>
      </c>
      <c r="H1857" s="1" t="s">
        <v>16</v>
      </c>
      <c r="I1857" s="4" t="str">
        <f>"1"</f>
        <v>1</v>
      </c>
      <c r="J1857" s="2" t="str">
        <f>"36123"</f>
        <v>36123</v>
      </c>
      <c r="K1857" s="3">
        <v>46196</v>
      </c>
      <c r="L1857" s="3">
        <v>46203</v>
      </c>
      <c r="M1857" s="1" t="s">
        <v>7857</v>
      </c>
      <c r="N1857" s="1" t="s">
        <v>7852</v>
      </c>
    </row>
    <row r="1858" spans="1:14" s="1" customFormat="1" x14ac:dyDescent="0.35">
      <c r="A1858" s="1" t="s">
        <v>5171</v>
      </c>
      <c r="B1858" s="1" t="s">
        <v>3162</v>
      </c>
      <c r="C1858" s="1" t="s">
        <v>3375</v>
      </c>
      <c r="D1858" s="1" t="s">
        <v>7856</v>
      </c>
      <c r="E1858" s="1" t="str">
        <f>"2320"</f>
        <v>2320</v>
      </c>
      <c r="F1858" s="1" t="s">
        <v>975</v>
      </c>
      <c r="G1858" s="1" t="s">
        <v>976</v>
      </c>
      <c r="H1858" s="1" t="s">
        <v>16</v>
      </c>
      <c r="I1858" s="4" t="str">
        <f>"1"</f>
        <v>1</v>
      </c>
      <c r="J1858" s="2" t="str">
        <f>"36123"</f>
        <v>36123</v>
      </c>
      <c r="K1858" s="3">
        <v>46196</v>
      </c>
      <c r="L1858" s="3">
        <v>46203</v>
      </c>
      <c r="M1858" s="1" t="s">
        <v>7855</v>
      </c>
      <c r="N1858" s="1" t="s">
        <v>7852</v>
      </c>
    </row>
    <row r="1859" spans="1:14" s="1" customFormat="1" x14ac:dyDescent="0.35">
      <c r="A1859" s="1" t="s">
        <v>5171</v>
      </c>
      <c r="B1859" s="1" t="s">
        <v>3162</v>
      </c>
      <c r="C1859" s="1" t="s">
        <v>3375</v>
      </c>
      <c r="D1859" s="1" t="s">
        <v>7854</v>
      </c>
      <c r="E1859" s="1" t="str">
        <f>"2320"</f>
        <v>2320</v>
      </c>
      <c r="F1859" s="1" t="s">
        <v>975</v>
      </c>
      <c r="G1859" s="1" t="s">
        <v>976</v>
      </c>
      <c r="H1859" s="1" t="s">
        <v>16</v>
      </c>
      <c r="I1859" s="4" t="str">
        <f>"1"</f>
        <v>1</v>
      </c>
      <c r="J1859" s="2" t="str">
        <f>"36123"</f>
        <v>36123</v>
      </c>
      <c r="K1859" s="3">
        <v>46196</v>
      </c>
      <c r="L1859" s="3">
        <v>46203</v>
      </c>
      <c r="M1859" s="1" t="s">
        <v>7853</v>
      </c>
      <c r="N1859" s="1" t="s">
        <v>7852</v>
      </c>
    </row>
    <row r="1860" spans="1:14" s="1" customFormat="1" x14ac:dyDescent="0.35">
      <c r="A1860" s="1" t="s">
        <v>5171</v>
      </c>
      <c r="B1860" s="1" t="s">
        <v>7815</v>
      </c>
      <c r="C1860" s="1" t="s">
        <v>7814</v>
      </c>
      <c r="D1860" s="1" t="s">
        <v>7851</v>
      </c>
      <c r="E1860" s="1" t="str">
        <f>"5855"</f>
        <v>5855</v>
      </c>
      <c r="F1860" s="1" t="s">
        <v>7848</v>
      </c>
      <c r="G1860" s="1" t="s">
        <v>7847</v>
      </c>
      <c r="H1860" s="1" t="s">
        <v>16</v>
      </c>
      <c r="I1860" s="4" t="str">
        <f>"10"</f>
        <v>10</v>
      </c>
      <c r="J1860" s="2">
        <v>6502.57</v>
      </c>
      <c r="K1860" s="3">
        <v>46112</v>
      </c>
      <c r="L1860" s="3">
        <v>46114</v>
      </c>
      <c r="N1860" s="1" t="s">
        <v>7846</v>
      </c>
    </row>
    <row r="1861" spans="1:14" s="1" customFormat="1" x14ac:dyDescent="0.35">
      <c r="A1861" s="1" t="s">
        <v>5171</v>
      </c>
      <c r="B1861" s="1" t="s">
        <v>7815</v>
      </c>
      <c r="C1861" s="1" t="s">
        <v>7814</v>
      </c>
      <c r="D1861" s="1" t="s">
        <v>7850</v>
      </c>
      <c r="E1861" s="1" t="str">
        <f>"5855"</f>
        <v>5855</v>
      </c>
      <c r="F1861" s="1" t="s">
        <v>7848</v>
      </c>
      <c r="G1861" s="1" t="s">
        <v>7847</v>
      </c>
      <c r="H1861" s="1" t="s">
        <v>16</v>
      </c>
      <c r="I1861" s="4" t="str">
        <f>"10"</f>
        <v>10</v>
      </c>
      <c r="J1861" s="2">
        <v>6502.57</v>
      </c>
      <c r="K1861" s="3">
        <v>46112</v>
      </c>
      <c r="L1861" s="3">
        <v>46114</v>
      </c>
      <c r="N1861" s="1" t="s">
        <v>7846</v>
      </c>
    </row>
    <row r="1862" spans="1:14" s="1" customFormat="1" x14ac:dyDescent="0.35">
      <c r="A1862" s="1" t="s">
        <v>5171</v>
      </c>
      <c r="B1862" s="1" t="s">
        <v>7815</v>
      </c>
      <c r="C1862" s="1" t="s">
        <v>7814</v>
      </c>
      <c r="D1862" s="1" t="s">
        <v>7849</v>
      </c>
      <c r="E1862" s="1" t="str">
        <f>"5855"</f>
        <v>5855</v>
      </c>
      <c r="F1862" s="1" t="s">
        <v>7848</v>
      </c>
      <c r="G1862" s="1" t="s">
        <v>7847</v>
      </c>
      <c r="H1862" s="1" t="s">
        <v>16</v>
      </c>
      <c r="I1862" s="4" t="str">
        <f>"10"</f>
        <v>10</v>
      </c>
      <c r="J1862" s="2">
        <v>6502.57</v>
      </c>
      <c r="K1862" s="3">
        <v>46112</v>
      </c>
      <c r="L1862" s="3">
        <v>46116</v>
      </c>
      <c r="M1862" s="1" t="s">
        <v>5167</v>
      </c>
      <c r="N1862" s="1" t="s">
        <v>7846</v>
      </c>
    </row>
    <row r="1863" spans="1:14" s="1" customFormat="1" x14ac:dyDescent="0.35">
      <c r="A1863" s="1" t="s">
        <v>5171</v>
      </c>
      <c r="B1863" s="1" t="s">
        <v>7815</v>
      </c>
      <c r="C1863" s="1" t="s">
        <v>7814</v>
      </c>
      <c r="D1863" s="1" t="s">
        <v>7845</v>
      </c>
      <c r="E1863" s="1" t="str">
        <f>"8415"</f>
        <v>8415</v>
      </c>
      <c r="F1863" s="1" t="str">
        <f>"015387012"</f>
        <v>015387012</v>
      </c>
      <c r="G1863" s="1" t="s">
        <v>1892</v>
      </c>
      <c r="H1863" s="1" t="s">
        <v>16</v>
      </c>
      <c r="I1863" s="4" t="str">
        <f>"3"</f>
        <v>3</v>
      </c>
      <c r="J1863" s="2">
        <v>111.26</v>
      </c>
      <c r="K1863" s="3">
        <v>46093</v>
      </c>
      <c r="L1863" s="3">
        <v>46130</v>
      </c>
      <c r="M1863" s="1" t="s">
        <v>5167</v>
      </c>
      <c r="N1863" s="1" t="s">
        <v>7839</v>
      </c>
    </row>
    <row r="1864" spans="1:14" s="1" customFormat="1" x14ac:dyDescent="0.35">
      <c r="A1864" s="1" t="s">
        <v>5171</v>
      </c>
      <c r="B1864" s="1" t="s">
        <v>7815</v>
      </c>
      <c r="C1864" s="1" t="s">
        <v>7814</v>
      </c>
      <c r="D1864" s="1" t="s">
        <v>7844</v>
      </c>
      <c r="E1864" s="1" t="str">
        <f>"8415"</f>
        <v>8415</v>
      </c>
      <c r="F1864" s="1" t="str">
        <f>"015802854"</f>
        <v>015802854</v>
      </c>
      <c r="G1864" s="1" t="s">
        <v>1892</v>
      </c>
      <c r="H1864" s="1" t="s">
        <v>16</v>
      </c>
      <c r="I1864" s="4" t="str">
        <f>"3"</f>
        <v>3</v>
      </c>
      <c r="J1864" s="2">
        <v>146.83000000000001</v>
      </c>
      <c r="K1864" s="3">
        <v>46093</v>
      </c>
      <c r="L1864" s="3">
        <v>46130</v>
      </c>
      <c r="M1864" s="1" t="s">
        <v>5167</v>
      </c>
      <c r="N1864" s="1" t="s">
        <v>7839</v>
      </c>
    </row>
    <row r="1865" spans="1:14" s="1" customFormat="1" x14ac:dyDescent="0.35">
      <c r="A1865" s="1" t="s">
        <v>5171</v>
      </c>
      <c r="B1865" s="1" t="s">
        <v>7815</v>
      </c>
      <c r="C1865" s="1" t="s">
        <v>7814</v>
      </c>
      <c r="D1865" s="1" t="s">
        <v>7843</v>
      </c>
      <c r="E1865" s="1" t="str">
        <f>"8415"</f>
        <v>8415</v>
      </c>
      <c r="F1865" s="1" t="str">
        <f>"015802782"</f>
        <v>015802782</v>
      </c>
      <c r="G1865" s="1" t="s">
        <v>1892</v>
      </c>
      <c r="H1865" s="1" t="s">
        <v>16</v>
      </c>
      <c r="I1865" s="4" t="str">
        <f>"5"</f>
        <v>5</v>
      </c>
      <c r="J1865" s="2">
        <v>146.81</v>
      </c>
      <c r="K1865" s="3">
        <v>46093</v>
      </c>
      <c r="L1865" s="3">
        <v>46130</v>
      </c>
      <c r="M1865" s="1" t="s">
        <v>5167</v>
      </c>
      <c r="N1865" s="1" t="s">
        <v>7842</v>
      </c>
    </row>
    <row r="1866" spans="1:14" s="1" customFormat="1" x14ac:dyDescent="0.35">
      <c r="A1866" s="1" t="s">
        <v>5171</v>
      </c>
      <c r="B1866" s="1" t="s">
        <v>7815</v>
      </c>
      <c r="C1866" s="1" t="s">
        <v>7814</v>
      </c>
      <c r="D1866" s="1" t="s">
        <v>7841</v>
      </c>
      <c r="E1866" s="1" t="str">
        <f>"8415"</f>
        <v>8415</v>
      </c>
      <c r="F1866" s="1" t="str">
        <f>"015802782"</f>
        <v>015802782</v>
      </c>
      <c r="G1866" s="1" t="s">
        <v>1892</v>
      </c>
      <c r="H1866" s="1" t="s">
        <v>16</v>
      </c>
      <c r="I1866" s="4" t="str">
        <f>"3"</f>
        <v>3</v>
      </c>
      <c r="J1866" s="2">
        <v>146.81</v>
      </c>
      <c r="K1866" s="3">
        <v>46093</v>
      </c>
      <c r="L1866" s="3">
        <v>46130</v>
      </c>
      <c r="M1866" s="1" t="s">
        <v>5167</v>
      </c>
      <c r="N1866" s="1" t="s">
        <v>7839</v>
      </c>
    </row>
    <row r="1867" spans="1:14" s="1" customFormat="1" x14ac:dyDescent="0.35">
      <c r="A1867" s="1" t="s">
        <v>5171</v>
      </c>
      <c r="B1867" s="1" t="s">
        <v>7815</v>
      </c>
      <c r="C1867" s="1" t="s">
        <v>7814</v>
      </c>
      <c r="D1867" s="1" t="s">
        <v>7840</v>
      </c>
      <c r="E1867" s="1" t="str">
        <f>"8415"</f>
        <v>8415</v>
      </c>
      <c r="F1867" s="1" t="str">
        <f>"015802782"</f>
        <v>015802782</v>
      </c>
      <c r="G1867" s="1" t="s">
        <v>1892</v>
      </c>
      <c r="H1867" s="1" t="s">
        <v>16</v>
      </c>
      <c r="I1867" s="4" t="str">
        <f>"3"</f>
        <v>3</v>
      </c>
      <c r="J1867" s="2">
        <v>146.81</v>
      </c>
      <c r="K1867" s="3">
        <v>46093</v>
      </c>
      <c r="L1867" s="3">
        <v>46130</v>
      </c>
      <c r="M1867" s="1" t="s">
        <v>5167</v>
      </c>
      <c r="N1867" s="1" t="s">
        <v>7839</v>
      </c>
    </row>
    <row r="1868" spans="1:14" s="1" customFormat="1" x14ac:dyDescent="0.35">
      <c r="A1868" s="1" t="s">
        <v>5171</v>
      </c>
      <c r="B1868" s="1" t="s">
        <v>7815</v>
      </c>
      <c r="C1868" s="1" t="s">
        <v>7814</v>
      </c>
      <c r="D1868" s="1" t="s">
        <v>7838</v>
      </c>
      <c r="E1868" s="1" t="str">
        <f>"6230"</f>
        <v>6230</v>
      </c>
      <c r="F1868" s="1" t="s">
        <v>2631</v>
      </c>
      <c r="G1868" s="1" t="s">
        <v>2632</v>
      </c>
      <c r="H1868" s="1" t="s">
        <v>16</v>
      </c>
      <c r="I1868" s="4" t="str">
        <f>"25"</f>
        <v>25</v>
      </c>
      <c r="J1868" s="2" t="str">
        <f>"15"</f>
        <v>15</v>
      </c>
      <c r="K1868" s="3">
        <v>46113</v>
      </c>
      <c r="L1868" s="3">
        <v>46144</v>
      </c>
      <c r="M1868" s="1" t="s">
        <v>5167</v>
      </c>
      <c r="N1868" s="1" t="s">
        <v>7837</v>
      </c>
    </row>
    <row r="1869" spans="1:14" s="1" customFormat="1" x14ac:dyDescent="0.35">
      <c r="A1869" s="1" t="s">
        <v>5171</v>
      </c>
      <c r="B1869" s="1" t="s">
        <v>7815</v>
      </c>
      <c r="C1869" s="1" t="s">
        <v>7814</v>
      </c>
      <c r="D1869" s="1" t="s">
        <v>7836</v>
      </c>
      <c r="E1869" s="1" t="str">
        <f>"6545"</f>
        <v>6545</v>
      </c>
      <c r="F1869" s="1" t="str">
        <f>"015841582"</f>
        <v>015841582</v>
      </c>
      <c r="G1869" s="1" t="s">
        <v>305</v>
      </c>
      <c r="H1869" s="1" t="s">
        <v>215</v>
      </c>
      <c r="I1869" s="4" t="str">
        <f>"2"</f>
        <v>2</v>
      </c>
      <c r="J1869" s="2">
        <v>103.24</v>
      </c>
      <c r="K1869" s="3">
        <v>46113</v>
      </c>
      <c r="L1869" s="3">
        <v>46151</v>
      </c>
      <c r="M1869" s="1" t="s">
        <v>5167</v>
      </c>
      <c r="N1869" s="1" t="s">
        <v>7835</v>
      </c>
    </row>
    <row r="1870" spans="1:14" s="1" customFormat="1" x14ac:dyDescent="0.35">
      <c r="A1870" s="1" t="s">
        <v>5171</v>
      </c>
      <c r="B1870" s="1" t="s">
        <v>7815</v>
      </c>
      <c r="C1870" s="1" t="s">
        <v>7814</v>
      </c>
      <c r="D1870" s="1" t="s">
        <v>7834</v>
      </c>
      <c r="E1870" s="1" t="str">
        <f>"8415"</f>
        <v>8415</v>
      </c>
      <c r="F1870" s="1" t="str">
        <f>"015802782"</f>
        <v>015802782</v>
      </c>
      <c r="G1870" s="1" t="s">
        <v>1892</v>
      </c>
      <c r="H1870" s="1" t="s">
        <v>16</v>
      </c>
      <c r="I1870" s="4" t="str">
        <f>"10"</f>
        <v>10</v>
      </c>
      <c r="J1870" s="2">
        <v>146.81</v>
      </c>
      <c r="K1870" s="3">
        <v>46113</v>
      </c>
      <c r="L1870" s="3">
        <v>46151</v>
      </c>
      <c r="M1870" s="1" t="s">
        <v>5167</v>
      </c>
      <c r="N1870" s="1" t="s">
        <v>7821</v>
      </c>
    </row>
    <row r="1871" spans="1:14" s="1" customFormat="1" x14ac:dyDescent="0.35">
      <c r="A1871" s="1" t="s">
        <v>5171</v>
      </c>
      <c r="B1871" s="1" t="s">
        <v>7815</v>
      </c>
      <c r="C1871" s="1" t="s">
        <v>7814</v>
      </c>
      <c r="D1871" s="1" t="s">
        <v>7833</v>
      </c>
      <c r="E1871" s="1" t="str">
        <f>"8415"</f>
        <v>8415</v>
      </c>
      <c r="F1871" s="1" t="str">
        <f>"015802861"</f>
        <v>015802861</v>
      </c>
      <c r="G1871" s="1" t="s">
        <v>1892</v>
      </c>
      <c r="H1871" s="1" t="s">
        <v>16</v>
      </c>
      <c r="I1871" s="4" t="str">
        <f>"1"</f>
        <v>1</v>
      </c>
      <c r="J1871" s="2">
        <v>146.81</v>
      </c>
      <c r="K1871" s="3">
        <v>46113</v>
      </c>
      <c r="L1871" s="3">
        <v>46151</v>
      </c>
      <c r="M1871" s="1" t="s">
        <v>5167</v>
      </c>
      <c r="N1871" s="1" t="s">
        <v>7821</v>
      </c>
    </row>
    <row r="1872" spans="1:14" s="1" customFormat="1" x14ac:dyDescent="0.35">
      <c r="A1872" s="1" t="s">
        <v>5171</v>
      </c>
      <c r="B1872" s="1" t="s">
        <v>7815</v>
      </c>
      <c r="C1872" s="1" t="s">
        <v>7814</v>
      </c>
      <c r="D1872" s="1" t="s">
        <v>7832</v>
      </c>
      <c r="E1872" s="1" t="str">
        <f>"8415"</f>
        <v>8415</v>
      </c>
      <c r="F1872" s="1" t="str">
        <f>"015802782"</f>
        <v>015802782</v>
      </c>
      <c r="G1872" s="1" t="s">
        <v>1892</v>
      </c>
      <c r="H1872" s="1" t="s">
        <v>16</v>
      </c>
      <c r="I1872" s="4" t="str">
        <f>"1"</f>
        <v>1</v>
      </c>
      <c r="J1872" s="2">
        <v>146.81</v>
      </c>
      <c r="K1872" s="3">
        <v>46113</v>
      </c>
      <c r="L1872" s="3">
        <v>46151</v>
      </c>
      <c r="M1872" s="1" t="s">
        <v>5167</v>
      </c>
      <c r="N1872" s="1" t="s">
        <v>7831</v>
      </c>
    </row>
    <row r="1873" spans="1:14" s="1" customFormat="1" x14ac:dyDescent="0.35">
      <c r="A1873" s="1" t="s">
        <v>5171</v>
      </c>
      <c r="B1873" s="1" t="s">
        <v>7815</v>
      </c>
      <c r="C1873" s="1" t="s">
        <v>7814</v>
      </c>
      <c r="D1873" s="1" t="s">
        <v>7830</v>
      </c>
      <c r="E1873" s="1" t="str">
        <f>"5830"</f>
        <v>5830</v>
      </c>
      <c r="F1873" s="1" t="str">
        <f>"016259732"</f>
        <v>016259732</v>
      </c>
      <c r="G1873" s="1" t="s">
        <v>1767</v>
      </c>
      <c r="H1873" s="1" t="s">
        <v>16</v>
      </c>
      <c r="I1873" s="4" t="str">
        <f>"1"</f>
        <v>1</v>
      </c>
      <c r="J1873" s="2" t="str">
        <f>"94423"</f>
        <v>94423</v>
      </c>
      <c r="K1873" s="3">
        <v>46142</v>
      </c>
      <c r="L1873" s="3">
        <v>46151</v>
      </c>
      <c r="M1873" s="1" t="s">
        <v>5167</v>
      </c>
      <c r="N1873" s="1" t="s">
        <v>7829</v>
      </c>
    </row>
    <row r="1874" spans="1:14" s="1" customFormat="1" x14ac:dyDescent="0.35">
      <c r="A1874" s="1" t="s">
        <v>5171</v>
      </c>
      <c r="B1874" s="1" t="s">
        <v>7815</v>
      </c>
      <c r="C1874" s="1" t="s">
        <v>7814</v>
      </c>
      <c r="D1874" s="1" t="s">
        <v>7828</v>
      </c>
      <c r="E1874" s="1" t="str">
        <f>"6545"</f>
        <v>6545</v>
      </c>
      <c r="F1874" s="1" t="str">
        <f>"015841582"</f>
        <v>015841582</v>
      </c>
      <c r="G1874" s="1" t="s">
        <v>305</v>
      </c>
      <c r="H1874" s="1" t="s">
        <v>215</v>
      </c>
      <c r="I1874" s="4" t="str">
        <f>"2"</f>
        <v>2</v>
      </c>
      <c r="J1874" s="2">
        <v>103.24</v>
      </c>
      <c r="K1874" s="3">
        <v>46142</v>
      </c>
      <c r="L1874" s="3">
        <v>46172</v>
      </c>
      <c r="M1874" s="1" t="s">
        <v>5167</v>
      </c>
      <c r="N1874" s="1" t="s">
        <v>7827</v>
      </c>
    </row>
    <row r="1875" spans="1:14" s="1" customFormat="1" x14ac:dyDescent="0.35">
      <c r="A1875" s="1" t="s">
        <v>5171</v>
      </c>
      <c r="B1875" s="1" t="s">
        <v>7815</v>
      </c>
      <c r="C1875" s="1" t="s">
        <v>7814</v>
      </c>
      <c r="D1875" s="1" t="s">
        <v>7826</v>
      </c>
      <c r="E1875" s="1" t="str">
        <f>"8415"</f>
        <v>8415</v>
      </c>
      <c r="F1875" s="1" t="str">
        <f>"015801348"</f>
        <v>015801348</v>
      </c>
      <c r="G1875" s="1" t="s">
        <v>493</v>
      </c>
      <c r="H1875" s="1" t="s">
        <v>16</v>
      </c>
      <c r="I1875" s="4" t="str">
        <f>"4"</f>
        <v>4</v>
      </c>
      <c r="J1875" s="2">
        <v>80.94</v>
      </c>
      <c r="K1875" s="3">
        <v>46142</v>
      </c>
      <c r="L1875" s="3">
        <v>46179</v>
      </c>
      <c r="M1875" s="1" t="s">
        <v>5167</v>
      </c>
      <c r="N1875" s="1" t="s">
        <v>7825</v>
      </c>
    </row>
    <row r="1876" spans="1:14" s="1" customFormat="1" x14ac:dyDescent="0.35">
      <c r="A1876" s="1" t="s">
        <v>5171</v>
      </c>
      <c r="B1876" s="1" t="s">
        <v>7815</v>
      </c>
      <c r="C1876" s="1" t="s">
        <v>7814</v>
      </c>
      <c r="D1876" s="1" t="s">
        <v>7824</v>
      </c>
      <c r="E1876" s="1" t="str">
        <f>"8415"</f>
        <v>8415</v>
      </c>
      <c r="F1876" s="1" t="str">
        <f>"015802778"</f>
        <v>015802778</v>
      </c>
      <c r="G1876" s="1" t="s">
        <v>1892</v>
      </c>
      <c r="H1876" s="1" t="s">
        <v>16</v>
      </c>
      <c r="I1876" s="4" t="str">
        <f>"1"</f>
        <v>1</v>
      </c>
      <c r="J1876" s="2">
        <v>150.29</v>
      </c>
      <c r="K1876" s="3">
        <v>46142</v>
      </c>
      <c r="L1876" s="3">
        <v>46179</v>
      </c>
      <c r="M1876" s="1" t="s">
        <v>5167</v>
      </c>
      <c r="N1876" s="1" t="s">
        <v>7823</v>
      </c>
    </row>
    <row r="1877" spans="1:14" s="1" customFormat="1" x14ac:dyDescent="0.35">
      <c r="A1877" s="1" t="s">
        <v>5171</v>
      </c>
      <c r="B1877" s="1" t="s">
        <v>7815</v>
      </c>
      <c r="C1877" s="1" t="s">
        <v>7814</v>
      </c>
      <c r="D1877" s="1" t="s">
        <v>7822</v>
      </c>
      <c r="E1877" s="1" t="str">
        <f>"8415"</f>
        <v>8415</v>
      </c>
      <c r="F1877" s="1" t="str">
        <f>"015802782"</f>
        <v>015802782</v>
      </c>
      <c r="G1877" s="1" t="s">
        <v>1892</v>
      </c>
      <c r="H1877" s="1" t="s">
        <v>16</v>
      </c>
      <c r="I1877" s="4" t="str">
        <f>"2"</f>
        <v>2</v>
      </c>
      <c r="J1877" s="2">
        <v>146.81</v>
      </c>
      <c r="K1877" s="3">
        <v>46142</v>
      </c>
      <c r="L1877" s="3">
        <v>46179</v>
      </c>
      <c r="M1877" s="1" t="s">
        <v>5167</v>
      </c>
      <c r="N1877" s="1" t="s">
        <v>7821</v>
      </c>
    </row>
    <row r="1878" spans="1:14" s="1" customFormat="1" x14ac:dyDescent="0.35">
      <c r="A1878" s="1" t="s">
        <v>5171</v>
      </c>
      <c r="B1878" s="1" t="s">
        <v>7815</v>
      </c>
      <c r="C1878" s="1" t="s">
        <v>7814</v>
      </c>
      <c r="D1878" s="1" t="s">
        <v>7820</v>
      </c>
      <c r="E1878" s="1" t="str">
        <f>"6545"</f>
        <v>6545</v>
      </c>
      <c r="F1878" s="1" t="str">
        <f>"015841582"</f>
        <v>015841582</v>
      </c>
      <c r="G1878" s="1" t="s">
        <v>305</v>
      </c>
      <c r="H1878" s="1" t="s">
        <v>215</v>
      </c>
      <c r="I1878" s="4" t="str">
        <f>"6"</f>
        <v>6</v>
      </c>
      <c r="J1878" s="2">
        <v>103.24</v>
      </c>
      <c r="K1878" s="3">
        <v>46190</v>
      </c>
      <c r="L1878" s="3">
        <v>46191</v>
      </c>
      <c r="M1878" s="1" t="s">
        <v>5167</v>
      </c>
      <c r="N1878" s="1" t="s">
        <v>7819</v>
      </c>
    </row>
    <row r="1879" spans="1:14" s="1" customFormat="1" x14ac:dyDescent="0.35">
      <c r="A1879" s="1" t="s">
        <v>5171</v>
      </c>
      <c r="B1879" s="1" t="s">
        <v>7815</v>
      </c>
      <c r="C1879" s="1" t="s">
        <v>7814</v>
      </c>
      <c r="D1879" s="1" t="s">
        <v>7818</v>
      </c>
      <c r="E1879" s="1" t="str">
        <f>"1385"</f>
        <v>1385</v>
      </c>
      <c r="F1879" s="1" t="s">
        <v>356</v>
      </c>
      <c r="G1879" s="1" t="s">
        <v>357</v>
      </c>
      <c r="H1879" s="1" t="s">
        <v>16</v>
      </c>
      <c r="I1879" s="4" t="str">
        <f>"1"</f>
        <v>1</v>
      </c>
      <c r="J1879" s="2" t="str">
        <f>"20000"</f>
        <v>20000</v>
      </c>
      <c r="K1879" s="3">
        <v>46190</v>
      </c>
      <c r="L1879" s="3">
        <v>46195</v>
      </c>
      <c r="M1879" s="1" t="s">
        <v>5167</v>
      </c>
      <c r="N1879" s="1" t="s">
        <v>7816</v>
      </c>
    </row>
    <row r="1880" spans="1:14" s="1" customFormat="1" x14ac:dyDescent="0.35">
      <c r="A1880" s="1" t="s">
        <v>5171</v>
      </c>
      <c r="B1880" s="1" t="s">
        <v>7815</v>
      </c>
      <c r="C1880" s="1" t="s">
        <v>7814</v>
      </c>
      <c r="D1880" s="1" t="s">
        <v>7817</v>
      </c>
      <c r="E1880" s="1" t="str">
        <f>"1385"</f>
        <v>1385</v>
      </c>
      <c r="F1880" s="1" t="s">
        <v>356</v>
      </c>
      <c r="G1880" s="1" t="s">
        <v>357</v>
      </c>
      <c r="H1880" s="1" t="s">
        <v>16</v>
      </c>
      <c r="I1880" s="4" t="str">
        <f>"1"</f>
        <v>1</v>
      </c>
      <c r="J1880" s="2" t="str">
        <f>"20000"</f>
        <v>20000</v>
      </c>
      <c r="K1880" s="3">
        <v>46190</v>
      </c>
      <c r="L1880" s="3">
        <v>46195</v>
      </c>
      <c r="M1880" s="1" t="s">
        <v>5167</v>
      </c>
      <c r="N1880" s="1" t="s">
        <v>7816</v>
      </c>
    </row>
    <row r="1881" spans="1:14" s="1" customFormat="1" x14ac:dyDescent="0.35">
      <c r="A1881" s="1" t="s">
        <v>5171</v>
      </c>
      <c r="B1881" s="1" t="s">
        <v>7815</v>
      </c>
      <c r="C1881" s="1" t="s">
        <v>7814</v>
      </c>
      <c r="D1881" s="1" t="s">
        <v>7813</v>
      </c>
      <c r="E1881" s="1" t="str">
        <f>"5855"</f>
        <v>5855</v>
      </c>
      <c r="F1881" s="1" t="str">
        <f>"014748904"</f>
        <v>014748904</v>
      </c>
      <c r="G1881" s="1" t="s">
        <v>175</v>
      </c>
      <c r="H1881" s="1" t="s">
        <v>16</v>
      </c>
      <c r="I1881" s="4" t="str">
        <f>"2"</f>
        <v>2</v>
      </c>
      <c r="J1881" s="2" t="str">
        <f>"5314"</f>
        <v>5314</v>
      </c>
      <c r="K1881" s="3">
        <v>46190</v>
      </c>
      <c r="L1881" s="3">
        <v>46201</v>
      </c>
      <c r="M1881" s="1" t="s">
        <v>5167</v>
      </c>
      <c r="N1881" s="1" t="s">
        <v>7812</v>
      </c>
    </row>
    <row r="1882" spans="1:14" s="1" customFormat="1" x14ac:dyDescent="0.35">
      <c r="A1882" s="1" t="s">
        <v>5171</v>
      </c>
      <c r="B1882" s="1" t="s">
        <v>3473</v>
      </c>
      <c r="C1882" s="1" t="s">
        <v>3474</v>
      </c>
      <c r="D1882" s="1" t="s">
        <v>7811</v>
      </c>
      <c r="E1882" s="1" t="str">
        <f>"1385"</f>
        <v>1385</v>
      </c>
      <c r="F1882" s="1" t="str">
        <f>"015917915"</f>
        <v>015917915</v>
      </c>
      <c r="G1882" s="1" t="s">
        <v>7810</v>
      </c>
      <c r="H1882" s="1" t="s">
        <v>16</v>
      </c>
      <c r="I1882" s="4" t="str">
        <f>"1"</f>
        <v>1</v>
      </c>
      <c r="J1882" s="2" t="str">
        <f>"231603"</f>
        <v>231603</v>
      </c>
      <c r="K1882" s="3">
        <v>46113</v>
      </c>
      <c r="L1882" s="3">
        <v>46116</v>
      </c>
      <c r="M1882" s="1" t="s">
        <v>5167</v>
      </c>
      <c r="N1882" s="1" t="s">
        <v>7809</v>
      </c>
    </row>
    <row r="1883" spans="1:14" s="1" customFormat="1" x14ac:dyDescent="0.35">
      <c r="A1883" s="1" t="s">
        <v>5171</v>
      </c>
      <c r="B1883" s="1" t="s">
        <v>3473</v>
      </c>
      <c r="C1883" s="1" t="s">
        <v>3474</v>
      </c>
      <c r="D1883" s="1" t="s">
        <v>7808</v>
      </c>
      <c r="E1883" s="1" t="str">
        <f>"1040"</f>
        <v>1040</v>
      </c>
      <c r="F1883" s="1" t="str">
        <f>"999658029"</f>
        <v>999658029</v>
      </c>
      <c r="G1883" s="1" t="s">
        <v>7806</v>
      </c>
      <c r="H1883" s="1" t="s">
        <v>16</v>
      </c>
      <c r="I1883" s="4" t="str">
        <f>"1"</f>
        <v>1</v>
      </c>
      <c r="J1883" s="2">
        <v>2739.72</v>
      </c>
      <c r="K1883" s="3">
        <v>46115</v>
      </c>
      <c r="L1883" s="3">
        <v>46117</v>
      </c>
      <c r="M1883" s="1" t="s">
        <v>5167</v>
      </c>
      <c r="N1883" s="1" t="s">
        <v>7805</v>
      </c>
    </row>
    <row r="1884" spans="1:14" s="1" customFormat="1" x14ac:dyDescent="0.35">
      <c r="A1884" s="1" t="s">
        <v>5171</v>
      </c>
      <c r="B1884" s="1" t="s">
        <v>3473</v>
      </c>
      <c r="C1884" s="1" t="s">
        <v>3474</v>
      </c>
      <c r="D1884" s="1" t="s">
        <v>7807</v>
      </c>
      <c r="E1884" s="1" t="str">
        <f>"1040"</f>
        <v>1040</v>
      </c>
      <c r="F1884" s="1" t="str">
        <f>"999658028"</f>
        <v>999658028</v>
      </c>
      <c r="G1884" s="1" t="s">
        <v>7806</v>
      </c>
      <c r="H1884" s="1" t="s">
        <v>16</v>
      </c>
      <c r="I1884" s="4" t="str">
        <f>"1"</f>
        <v>1</v>
      </c>
      <c r="J1884" s="2">
        <v>2406.38</v>
      </c>
      <c r="K1884" s="3">
        <v>46115</v>
      </c>
      <c r="L1884" s="3">
        <v>46117</v>
      </c>
      <c r="M1884" s="1" t="s">
        <v>5167</v>
      </c>
      <c r="N1884" s="1" t="s">
        <v>7805</v>
      </c>
    </row>
    <row r="1885" spans="1:14" s="1" customFormat="1" x14ac:dyDescent="0.35">
      <c r="A1885" s="1" t="s">
        <v>5171</v>
      </c>
      <c r="B1885" s="1" t="s">
        <v>3473</v>
      </c>
      <c r="C1885" s="1" t="s">
        <v>3474</v>
      </c>
      <c r="D1885" s="1" t="s">
        <v>7804</v>
      </c>
      <c r="E1885" s="1" t="str">
        <f>"2320"</f>
        <v>2320</v>
      </c>
      <c r="F1885" s="1" t="str">
        <f>"015187332"</f>
        <v>015187332</v>
      </c>
      <c r="G1885" s="1" t="s">
        <v>414</v>
      </c>
      <c r="H1885" s="1" t="s">
        <v>16</v>
      </c>
      <c r="I1885" s="4" t="str">
        <f>"1"</f>
        <v>1</v>
      </c>
      <c r="J1885" s="2" t="str">
        <f>"143579"</f>
        <v>143579</v>
      </c>
      <c r="K1885" s="3">
        <v>46111</v>
      </c>
      <c r="L1885" s="3">
        <v>46121</v>
      </c>
      <c r="M1885" s="1" t="s">
        <v>7803</v>
      </c>
      <c r="N1885" s="1" t="s">
        <v>7802</v>
      </c>
    </row>
    <row r="1886" spans="1:14" s="1" customFormat="1" x14ac:dyDescent="0.35">
      <c r="A1886" s="1" t="s">
        <v>5171</v>
      </c>
      <c r="B1886" s="1" t="s">
        <v>3473</v>
      </c>
      <c r="C1886" s="1" t="s">
        <v>3474</v>
      </c>
      <c r="D1886" s="1" t="s">
        <v>7801</v>
      </c>
      <c r="E1886" s="1" t="str">
        <f>"5330"</f>
        <v>5330</v>
      </c>
      <c r="F1886" s="1" t="str">
        <f>"011624813"</f>
        <v>011624813</v>
      </c>
      <c r="G1886" s="1" t="s">
        <v>7800</v>
      </c>
      <c r="H1886" s="1" t="s">
        <v>7799</v>
      </c>
      <c r="I1886" s="4" t="str">
        <f>"2"</f>
        <v>2</v>
      </c>
      <c r="J1886" s="2">
        <v>82.65</v>
      </c>
      <c r="K1886" s="3">
        <v>46121</v>
      </c>
      <c r="L1886" s="3">
        <v>46123</v>
      </c>
      <c r="M1886" s="1" t="s">
        <v>5167</v>
      </c>
      <c r="N1886" s="1" t="s">
        <v>7798</v>
      </c>
    </row>
    <row r="1887" spans="1:14" s="1" customFormat="1" x14ac:dyDescent="0.35">
      <c r="A1887" s="1" t="s">
        <v>5171</v>
      </c>
      <c r="B1887" s="1" t="s">
        <v>3473</v>
      </c>
      <c r="C1887" s="1" t="s">
        <v>3474</v>
      </c>
      <c r="D1887" s="1" t="s">
        <v>7797</v>
      </c>
      <c r="E1887" s="1" t="str">
        <f>"5855"</f>
        <v>5855</v>
      </c>
      <c r="F1887" s="1" t="str">
        <f>"015330555"</f>
        <v>015330555</v>
      </c>
      <c r="G1887" s="1" t="s">
        <v>462</v>
      </c>
      <c r="H1887" s="1" t="s">
        <v>16</v>
      </c>
      <c r="I1887" s="4" t="str">
        <f>"12"</f>
        <v>12</v>
      </c>
      <c r="J1887" s="2" t="str">
        <f>"1800"</f>
        <v>1800</v>
      </c>
      <c r="K1887" s="3">
        <v>46121</v>
      </c>
      <c r="L1887" s="3">
        <v>46123</v>
      </c>
      <c r="M1887" s="1" t="s">
        <v>5167</v>
      </c>
      <c r="N1887" s="1" t="s">
        <v>7796</v>
      </c>
    </row>
    <row r="1888" spans="1:14" s="1" customFormat="1" x14ac:dyDescent="0.35">
      <c r="A1888" s="1" t="s">
        <v>5171</v>
      </c>
      <c r="B1888" s="1" t="s">
        <v>3473</v>
      </c>
      <c r="C1888" s="1" t="s">
        <v>3474</v>
      </c>
      <c r="D1888" s="1" t="s">
        <v>7795</v>
      </c>
      <c r="E1888" s="1" t="str">
        <f>"6920"</f>
        <v>6920</v>
      </c>
      <c r="F1888" s="1" t="str">
        <f>"015430362"</f>
        <v>015430362</v>
      </c>
      <c r="G1888" s="1" t="s">
        <v>7794</v>
      </c>
      <c r="H1888" s="1" t="s">
        <v>16</v>
      </c>
      <c r="I1888" s="4" t="str">
        <f>"4"</f>
        <v>4</v>
      </c>
      <c r="J1888" s="2" t="str">
        <f>"16039"</f>
        <v>16039</v>
      </c>
      <c r="K1888" s="3">
        <v>46121</v>
      </c>
      <c r="L1888" s="3">
        <v>46124</v>
      </c>
      <c r="M1888" s="1" t="s">
        <v>5167</v>
      </c>
      <c r="N1888" s="1" t="s">
        <v>7793</v>
      </c>
    </row>
    <row r="1889" spans="1:14" s="1" customFormat="1" x14ac:dyDescent="0.35">
      <c r="A1889" s="1" t="s">
        <v>5171</v>
      </c>
      <c r="B1889" s="1" t="s">
        <v>3473</v>
      </c>
      <c r="C1889" s="1" t="s">
        <v>3474</v>
      </c>
      <c r="D1889" s="1" t="s">
        <v>7792</v>
      </c>
      <c r="E1889" s="1" t="str">
        <f>"5855"</f>
        <v>5855</v>
      </c>
      <c r="F1889" s="1" t="str">
        <f>"015294726"</f>
        <v>015294726</v>
      </c>
      <c r="G1889" s="1" t="s">
        <v>1379</v>
      </c>
      <c r="H1889" s="1" t="s">
        <v>16</v>
      </c>
      <c r="I1889" s="4" t="str">
        <f>"20"</f>
        <v>20</v>
      </c>
      <c r="J1889" s="2" t="str">
        <f>"1200"</f>
        <v>1200</v>
      </c>
      <c r="K1889" s="3">
        <v>46121</v>
      </c>
      <c r="L1889" s="3">
        <v>46124</v>
      </c>
      <c r="M1889" s="1" t="s">
        <v>5167</v>
      </c>
      <c r="N1889" s="1" t="s">
        <v>7791</v>
      </c>
    </row>
    <row r="1890" spans="1:14" s="1" customFormat="1" x14ac:dyDescent="0.35">
      <c r="A1890" s="1" t="s">
        <v>5171</v>
      </c>
      <c r="B1890" s="1" t="s">
        <v>3473</v>
      </c>
      <c r="C1890" s="1" t="s">
        <v>7784</v>
      </c>
      <c r="D1890" s="1" t="s">
        <v>7790</v>
      </c>
      <c r="E1890" s="1" t="str">
        <f>"5855"</f>
        <v>5855</v>
      </c>
      <c r="F1890" s="1" t="str">
        <f>"015330555"</f>
        <v>015330555</v>
      </c>
      <c r="G1890" s="1" t="s">
        <v>462</v>
      </c>
      <c r="H1890" s="1" t="s">
        <v>16</v>
      </c>
      <c r="I1890" s="4" t="str">
        <f>"2"</f>
        <v>2</v>
      </c>
      <c r="J1890" s="2" t="str">
        <f>"1800"</f>
        <v>1800</v>
      </c>
      <c r="K1890" s="3">
        <v>46124</v>
      </c>
      <c r="L1890" s="3">
        <v>46126</v>
      </c>
      <c r="M1890" s="1" t="s">
        <v>7789</v>
      </c>
      <c r="N1890" s="1" t="s">
        <v>7788</v>
      </c>
    </row>
    <row r="1891" spans="1:14" s="1" customFormat="1" x14ac:dyDescent="0.35">
      <c r="A1891" s="1" t="s">
        <v>5171</v>
      </c>
      <c r="B1891" s="1" t="s">
        <v>3473</v>
      </c>
      <c r="C1891" s="1" t="s">
        <v>3474</v>
      </c>
      <c r="D1891" s="1" t="s">
        <v>7787</v>
      </c>
      <c r="E1891" s="1" t="str">
        <f>"8460"</f>
        <v>8460</v>
      </c>
      <c r="F1891" s="1" t="str">
        <f>"006068366"</f>
        <v>006068366</v>
      </c>
      <c r="G1891" s="1" t="s">
        <v>2408</v>
      </c>
      <c r="H1891" s="1" t="s">
        <v>16</v>
      </c>
      <c r="I1891" s="4" t="str">
        <f>"8"</f>
        <v>8</v>
      </c>
      <c r="J1891" s="2">
        <v>41.55</v>
      </c>
      <c r="K1891" s="3">
        <v>46125</v>
      </c>
      <c r="L1891" s="3">
        <v>46128</v>
      </c>
      <c r="M1891" s="1" t="s">
        <v>7786</v>
      </c>
      <c r="N1891" s="1" t="s">
        <v>7785</v>
      </c>
    </row>
    <row r="1892" spans="1:14" s="1" customFormat="1" x14ac:dyDescent="0.35">
      <c r="A1892" s="1" t="s">
        <v>5171</v>
      </c>
      <c r="B1892" s="1" t="s">
        <v>3473</v>
      </c>
      <c r="C1892" s="1" t="s">
        <v>7784</v>
      </c>
      <c r="D1892" s="1" t="s">
        <v>7783</v>
      </c>
      <c r="E1892" s="1" t="str">
        <f>"5855"</f>
        <v>5855</v>
      </c>
      <c r="F1892" s="1" t="str">
        <f>"015777174"</f>
        <v>015777174</v>
      </c>
      <c r="G1892" s="1" t="s">
        <v>1366</v>
      </c>
      <c r="H1892" s="1" t="s">
        <v>16</v>
      </c>
      <c r="I1892" s="4" t="str">
        <f>"21"</f>
        <v>21</v>
      </c>
      <c r="J1892" s="2" t="str">
        <f>"1791"</f>
        <v>1791</v>
      </c>
      <c r="K1892" s="3">
        <v>46131</v>
      </c>
      <c r="L1892" s="3">
        <v>46135</v>
      </c>
      <c r="M1892" s="1" t="s">
        <v>5167</v>
      </c>
      <c r="N1892" s="1" t="s">
        <v>7782</v>
      </c>
    </row>
    <row r="1893" spans="1:14" s="1" customFormat="1" x14ac:dyDescent="0.35">
      <c r="A1893" s="1" t="s">
        <v>5171</v>
      </c>
      <c r="B1893" s="1" t="s">
        <v>3473</v>
      </c>
      <c r="C1893" s="1" t="s">
        <v>3474</v>
      </c>
      <c r="D1893" s="1" t="s">
        <v>7781</v>
      </c>
      <c r="E1893" s="1" t="str">
        <f>"6350"</f>
        <v>6350</v>
      </c>
      <c r="F1893" s="1" t="str">
        <f>"016414645"</f>
        <v>016414645</v>
      </c>
      <c r="G1893" s="1" t="s">
        <v>3523</v>
      </c>
      <c r="H1893" s="1" t="s">
        <v>215</v>
      </c>
      <c r="I1893" s="4" t="str">
        <f>"1"</f>
        <v>1</v>
      </c>
      <c r="J1893" s="2">
        <v>31352.080000000002</v>
      </c>
      <c r="K1893" s="3">
        <v>46146</v>
      </c>
      <c r="L1893" s="3">
        <v>46158</v>
      </c>
      <c r="M1893" s="1" t="s">
        <v>7780</v>
      </c>
      <c r="N1893" s="1" t="s">
        <v>7779</v>
      </c>
    </row>
    <row r="1894" spans="1:14" s="1" customFormat="1" x14ac:dyDescent="0.35">
      <c r="A1894" s="1" t="s">
        <v>5171</v>
      </c>
      <c r="B1894" s="1" t="s">
        <v>3473</v>
      </c>
      <c r="C1894" s="1" t="s">
        <v>3612</v>
      </c>
      <c r="D1894" s="1" t="s">
        <v>7778</v>
      </c>
      <c r="E1894" s="1" t="str">
        <f>"6115"</f>
        <v>6115</v>
      </c>
      <c r="F1894" s="1" t="str">
        <f>"016122549"</f>
        <v>016122549</v>
      </c>
      <c r="G1894" s="1" t="s">
        <v>2431</v>
      </c>
      <c r="H1894" s="1" t="s">
        <v>16</v>
      </c>
      <c r="I1894" s="4" t="str">
        <f>"2"</f>
        <v>2</v>
      </c>
      <c r="J1894" s="2" t="str">
        <f>"7873"</f>
        <v>7873</v>
      </c>
      <c r="K1894" s="3">
        <v>46146</v>
      </c>
      <c r="L1894" s="3">
        <v>46158</v>
      </c>
      <c r="M1894" s="1" t="s">
        <v>7777</v>
      </c>
      <c r="N1894" s="1" t="s">
        <v>7776</v>
      </c>
    </row>
    <row r="1895" spans="1:14" s="1" customFormat="1" x14ac:dyDescent="0.35">
      <c r="A1895" s="1" t="s">
        <v>5230</v>
      </c>
      <c r="B1895" s="1" t="s">
        <v>3473</v>
      </c>
      <c r="C1895" s="1" t="s">
        <v>3474</v>
      </c>
      <c r="D1895" s="1" t="s">
        <v>7775</v>
      </c>
      <c r="E1895" s="1" t="str">
        <f>"8340"</f>
        <v>8340</v>
      </c>
      <c r="F1895" s="1" t="str">
        <f>"017063167"</f>
        <v>017063167</v>
      </c>
      <c r="G1895" s="1" t="s">
        <v>3567</v>
      </c>
      <c r="H1895" s="1" t="s">
        <v>215</v>
      </c>
      <c r="I1895" s="4" t="str">
        <f>"5"</f>
        <v>5</v>
      </c>
      <c r="J1895" s="2">
        <v>1923.04</v>
      </c>
      <c r="K1895" s="3">
        <v>46160</v>
      </c>
      <c r="L1895" s="3">
        <v>46160</v>
      </c>
      <c r="N1895" s="1" t="s">
        <v>3568</v>
      </c>
    </row>
    <row r="1896" spans="1:14" s="1" customFormat="1" x14ac:dyDescent="0.35">
      <c r="A1896" s="1" t="s">
        <v>5171</v>
      </c>
      <c r="B1896" s="1" t="s">
        <v>3619</v>
      </c>
      <c r="C1896" s="1" t="s">
        <v>3753</v>
      </c>
      <c r="D1896" s="1" t="s">
        <v>7774</v>
      </c>
      <c r="E1896" s="1" t="str">
        <f>"6605"</f>
        <v>6605</v>
      </c>
      <c r="F1896" s="1" t="str">
        <f>"011966971"</f>
        <v>011966971</v>
      </c>
      <c r="G1896" s="1" t="s">
        <v>480</v>
      </c>
      <c r="H1896" s="1" t="s">
        <v>16</v>
      </c>
      <c r="I1896" s="4" t="str">
        <f>"2"</f>
        <v>2</v>
      </c>
      <c r="J1896" s="2">
        <v>87.84</v>
      </c>
      <c r="K1896" s="3">
        <v>46109</v>
      </c>
      <c r="L1896" s="3">
        <v>46113</v>
      </c>
      <c r="M1896" s="1" t="s">
        <v>7773</v>
      </c>
      <c r="N1896" s="1" t="s">
        <v>7772</v>
      </c>
    </row>
    <row r="1897" spans="1:14" s="1" customFormat="1" x14ac:dyDescent="0.35">
      <c r="A1897" s="1" t="s">
        <v>5171</v>
      </c>
      <c r="B1897" s="1" t="s">
        <v>3619</v>
      </c>
      <c r="C1897" s="1" t="s">
        <v>3753</v>
      </c>
      <c r="D1897" s="1" t="s">
        <v>7771</v>
      </c>
      <c r="E1897" s="1" t="str">
        <f>"7690"</f>
        <v>7690</v>
      </c>
      <c r="F1897" s="1" t="str">
        <f>"014626772"</f>
        <v>014626772</v>
      </c>
      <c r="G1897" s="1" t="s">
        <v>7770</v>
      </c>
      <c r="H1897" s="1" t="s">
        <v>3041</v>
      </c>
      <c r="I1897" s="4" t="str">
        <f>"6"</f>
        <v>6</v>
      </c>
      <c r="J1897" s="2">
        <v>114.37</v>
      </c>
      <c r="K1897" s="3">
        <v>46109</v>
      </c>
      <c r="L1897" s="3">
        <v>46113</v>
      </c>
      <c r="M1897" s="1" t="s">
        <v>7769</v>
      </c>
      <c r="N1897" s="1" t="s">
        <v>7768</v>
      </c>
    </row>
    <row r="1898" spans="1:14" s="1" customFormat="1" x14ac:dyDescent="0.35">
      <c r="A1898" s="1" t="s">
        <v>5171</v>
      </c>
      <c r="B1898" s="1" t="s">
        <v>3619</v>
      </c>
      <c r="C1898" s="1" t="s">
        <v>3814</v>
      </c>
      <c r="D1898" s="1" t="s">
        <v>7767</v>
      </c>
      <c r="E1898" s="1" t="str">
        <f>"2310"</f>
        <v>2310</v>
      </c>
      <c r="F1898" s="1" t="str">
        <f>"016544105"</f>
        <v>016544105</v>
      </c>
      <c r="G1898" s="1" t="s">
        <v>4907</v>
      </c>
      <c r="H1898" s="1" t="s">
        <v>16</v>
      </c>
      <c r="I1898" s="4" t="str">
        <f>"2"</f>
        <v>2</v>
      </c>
      <c r="J1898" s="2">
        <v>31905.14</v>
      </c>
      <c r="K1898" s="3">
        <v>46103</v>
      </c>
      <c r="L1898" s="3">
        <v>46113</v>
      </c>
      <c r="M1898" s="1" t="s">
        <v>7766</v>
      </c>
      <c r="N1898" s="1" t="s">
        <v>7765</v>
      </c>
    </row>
    <row r="1899" spans="1:14" s="1" customFormat="1" x14ac:dyDescent="0.35">
      <c r="A1899" s="1" t="s">
        <v>5171</v>
      </c>
      <c r="B1899" s="1" t="s">
        <v>3619</v>
      </c>
      <c r="C1899" s="1" t="s">
        <v>3824</v>
      </c>
      <c r="D1899" s="1" t="s">
        <v>7764</v>
      </c>
      <c r="E1899" s="1" t="str">
        <f>"2310"</f>
        <v>2310</v>
      </c>
      <c r="F1899" s="1" t="str">
        <f>"016544105"</f>
        <v>016544105</v>
      </c>
      <c r="G1899" s="1" t="s">
        <v>4907</v>
      </c>
      <c r="H1899" s="1" t="s">
        <v>16</v>
      </c>
      <c r="I1899" s="4" t="str">
        <f>"2"</f>
        <v>2</v>
      </c>
      <c r="J1899" s="2">
        <v>31905.14</v>
      </c>
      <c r="K1899" s="3">
        <v>46103</v>
      </c>
      <c r="L1899" s="3">
        <v>46113</v>
      </c>
      <c r="M1899" s="1" t="s">
        <v>7763</v>
      </c>
      <c r="N1899" s="1" t="s">
        <v>7762</v>
      </c>
    </row>
    <row r="1900" spans="1:14" s="1" customFormat="1" x14ac:dyDescent="0.35">
      <c r="A1900" s="1" t="s">
        <v>5171</v>
      </c>
      <c r="B1900" s="1" t="s">
        <v>3619</v>
      </c>
      <c r="C1900" s="1" t="s">
        <v>3753</v>
      </c>
      <c r="D1900" s="1" t="s">
        <v>7761</v>
      </c>
      <c r="E1900" s="1" t="str">
        <f>"1095"</f>
        <v>1095</v>
      </c>
      <c r="F1900" s="1" t="str">
        <f>"003924102"</f>
        <v>003924102</v>
      </c>
      <c r="G1900" s="1" t="s">
        <v>7424</v>
      </c>
      <c r="H1900" s="1" t="s">
        <v>16</v>
      </c>
      <c r="I1900" s="4" t="str">
        <f>"20"</f>
        <v>20</v>
      </c>
      <c r="J1900" s="2">
        <v>54.29</v>
      </c>
      <c r="K1900" s="3">
        <v>46110</v>
      </c>
      <c r="L1900" s="3">
        <v>46121</v>
      </c>
      <c r="M1900" s="1" t="s">
        <v>7760</v>
      </c>
      <c r="N1900" s="1" t="s">
        <v>7759</v>
      </c>
    </row>
    <row r="1901" spans="1:14" s="1" customFormat="1" x14ac:dyDescent="0.35">
      <c r="A1901" s="1" t="s">
        <v>5171</v>
      </c>
      <c r="B1901" s="1" t="s">
        <v>3619</v>
      </c>
      <c r="C1901" s="1" t="s">
        <v>7665</v>
      </c>
      <c r="D1901" s="1" t="s">
        <v>7758</v>
      </c>
      <c r="E1901" s="1" t="str">
        <f>"2310"</f>
        <v>2310</v>
      </c>
      <c r="F1901" s="1" t="s">
        <v>178</v>
      </c>
      <c r="G1901" s="1" t="s">
        <v>179</v>
      </c>
      <c r="H1901" s="1" t="s">
        <v>16</v>
      </c>
      <c r="I1901" s="4" t="str">
        <f>"2"</f>
        <v>2</v>
      </c>
      <c r="J1901" s="2" t="str">
        <f>"7500"</f>
        <v>7500</v>
      </c>
      <c r="K1901" s="3">
        <v>46120</v>
      </c>
      <c r="L1901" s="3">
        <v>46121</v>
      </c>
      <c r="M1901" s="1" t="s">
        <v>5167</v>
      </c>
      <c r="N1901" s="1" t="s">
        <v>7756</v>
      </c>
    </row>
    <row r="1902" spans="1:14" s="1" customFormat="1" x14ac:dyDescent="0.35">
      <c r="A1902" s="1" t="s">
        <v>5171</v>
      </c>
      <c r="B1902" s="1" t="s">
        <v>3619</v>
      </c>
      <c r="C1902" s="1" t="s">
        <v>7665</v>
      </c>
      <c r="D1902" s="1" t="s">
        <v>7757</v>
      </c>
      <c r="E1902" s="1" t="str">
        <f>"2310"</f>
        <v>2310</v>
      </c>
      <c r="F1902" s="1" t="s">
        <v>178</v>
      </c>
      <c r="G1902" s="1" t="s">
        <v>179</v>
      </c>
      <c r="H1902" s="1" t="s">
        <v>16</v>
      </c>
      <c r="I1902" s="4" t="str">
        <f>"2"</f>
        <v>2</v>
      </c>
      <c r="J1902" s="2" t="str">
        <f>"7500"</f>
        <v>7500</v>
      </c>
      <c r="K1902" s="3">
        <v>46120</v>
      </c>
      <c r="L1902" s="3">
        <v>46121</v>
      </c>
      <c r="M1902" s="1" t="s">
        <v>5167</v>
      </c>
      <c r="N1902" s="1" t="s">
        <v>7756</v>
      </c>
    </row>
    <row r="1903" spans="1:14" s="1" customFormat="1" x14ac:dyDescent="0.35">
      <c r="A1903" s="1" t="s">
        <v>5171</v>
      </c>
      <c r="B1903" s="1" t="s">
        <v>3619</v>
      </c>
      <c r="C1903" s="1" t="s">
        <v>3625</v>
      </c>
      <c r="D1903" s="1" t="s">
        <v>7755</v>
      </c>
      <c r="E1903" s="1" t="str">
        <f>"8460"</f>
        <v>8460</v>
      </c>
      <c r="F1903" s="1" t="s">
        <v>6225</v>
      </c>
      <c r="G1903" s="1" t="s">
        <v>6224</v>
      </c>
      <c r="H1903" s="1" t="s">
        <v>16</v>
      </c>
      <c r="I1903" s="4" t="str">
        <f>"7"</f>
        <v>7</v>
      </c>
      <c r="J1903" s="2" t="str">
        <f>"10"</f>
        <v>10</v>
      </c>
      <c r="K1903" s="3">
        <v>46119</v>
      </c>
      <c r="L1903" s="3">
        <v>46122</v>
      </c>
      <c r="M1903" s="1" t="s">
        <v>7754</v>
      </c>
      <c r="N1903" s="1" t="s">
        <v>7753</v>
      </c>
    </row>
    <row r="1904" spans="1:14" s="1" customFormat="1" x14ac:dyDescent="0.35">
      <c r="A1904" s="1" t="s">
        <v>5171</v>
      </c>
      <c r="B1904" s="1" t="s">
        <v>3619</v>
      </c>
      <c r="C1904" s="1" t="s">
        <v>3753</v>
      </c>
      <c r="D1904" s="1" t="s">
        <v>7752</v>
      </c>
      <c r="E1904" s="1" t="str">
        <f>"3510"</f>
        <v>3510</v>
      </c>
      <c r="F1904" s="1" t="s">
        <v>4817</v>
      </c>
      <c r="G1904" s="1" t="s">
        <v>4818</v>
      </c>
      <c r="H1904" s="1" t="s">
        <v>16</v>
      </c>
      <c r="I1904" s="4" t="str">
        <f>"1"</f>
        <v>1</v>
      </c>
      <c r="J1904" s="2" t="str">
        <f>"1000"</f>
        <v>1000</v>
      </c>
      <c r="K1904" s="3">
        <v>46106</v>
      </c>
      <c r="L1904" s="3">
        <v>46122</v>
      </c>
      <c r="M1904" s="1" t="s">
        <v>7751</v>
      </c>
      <c r="N1904" s="1" t="s">
        <v>7750</v>
      </c>
    </row>
    <row r="1905" spans="1:14" s="1" customFormat="1" x14ac:dyDescent="0.35">
      <c r="A1905" s="1" t="s">
        <v>5171</v>
      </c>
      <c r="B1905" s="1" t="s">
        <v>3619</v>
      </c>
      <c r="C1905" s="1" t="s">
        <v>3753</v>
      </c>
      <c r="D1905" s="1" t="s">
        <v>7749</v>
      </c>
      <c r="E1905" s="1" t="str">
        <f>"2330"</f>
        <v>2330</v>
      </c>
      <c r="F1905" s="1" t="s">
        <v>70</v>
      </c>
      <c r="G1905" s="1" t="s">
        <v>71</v>
      </c>
      <c r="H1905" s="1" t="s">
        <v>16</v>
      </c>
      <c r="I1905" s="4" t="str">
        <f>"1"</f>
        <v>1</v>
      </c>
      <c r="J1905" s="2" t="str">
        <f>"14000"</f>
        <v>14000</v>
      </c>
      <c r="K1905" s="3">
        <v>46109</v>
      </c>
      <c r="L1905" s="3">
        <v>46122</v>
      </c>
      <c r="M1905" s="1" t="s">
        <v>7748</v>
      </c>
      <c r="N1905" s="1" t="s">
        <v>7651</v>
      </c>
    </row>
    <row r="1906" spans="1:14" s="1" customFormat="1" x14ac:dyDescent="0.35">
      <c r="A1906" s="1" t="s">
        <v>5171</v>
      </c>
      <c r="B1906" s="1" t="s">
        <v>3619</v>
      </c>
      <c r="C1906" s="1" t="s">
        <v>3824</v>
      </c>
      <c r="D1906" s="1" t="s">
        <v>7747</v>
      </c>
      <c r="E1906" s="1" t="str">
        <f>"8140"</f>
        <v>8140</v>
      </c>
      <c r="F1906" s="1" t="str">
        <f>"008282938"</f>
        <v>008282938</v>
      </c>
      <c r="G1906" s="1" t="s">
        <v>1085</v>
      </c>
      <c r="H1906" s="1" t="s">
        <v>16</v>
      </c>
      <c r="I1906" s="4" t="str">
        <f>"50"</f>
        <v>50</v>
      </c>
      <c r="J1906" s="2">
        <v>3.88</v>
      </c>
      <c r="K1906" s="3">
        <v>46078</v>
      </c>
      <c r="L1906" s="3">
        <v>46122</v>
      </c>
      <c r="M1906" s="1" t="s">
        <v>7746</v>
      </c>
      <c r="N1906" s="1" t="s">
        <v>7745</v>
      </c>
    </row>
    <row r="1907" spans="1:14" s="1" customFormat="1" x14ac:dyDescent="0.35">
      <c r="A1907" s="1" t="s">
        <v>5171</v>
      </c>
      <c r="B1907" s="1" t="s">
        <v>3619</v>
      </c>
      <c r="C1907" s="1" t="s">
        <v>7728</v>
      </c>
      <c r="D1907" s="1" t="s">
        <v>7744</v>
      </c>
      <c r="E1907" s="1" t="str">
        <f>"6230"</f>
        <v>6230</v>
      </c>
      <c r="F1907" s="1" t="str">
        <f>"013827265"</f>
        <v>013827265</v>
      </c>
      <c r="G1907" s="1" t="s">
        <v>3215</v>
      </c>
      <c r="H1907" s="1" t="s">
        <v>16</v>
      </c>
      <c r="I1907" s="4" t="str">
        <f>"1"</f>
        <v>1</v>
      </c>
      <c r="J1907" s="2" t="str">
        <f>"18400"</f>
        <v>18400</v>
      </c>
      <c r="K1907" s="3">
        <v>46109</v>
      </c>
      <c r="L1907" s="3">
        <v>46123</v>
      </c>
      <c r="M1907" s="1" t="s">
        <v>7743</v>
      </c>
      <c r="N1907" s="1" t="s">
        <v>7742</v>
      </c>
    </row>
    <row r="1908" spans="1:14" s="1" customFormat="1" x14ac:dyDescent="0.35">
      <c r="A1908" s="1" t="s">
        <v>5171</v>
      </c>
      <c r="B1908" s="1" t="s">
        <v>3619</v>
      </c>
      <c r="C1908" s="1" t="s">
        <v>7728</v>
      </c>
      <c r="D1908" s="1" t="s">
        <v>7741</v>
      </c>
      <c r="E1908" s="1" t="str">
        <f>"2340"</f>
        <v>2340</v>
      </c>
      <c r="F1908" s="1" t="s">
        <v>84</v>
      </c>
      <c r="G1908" s="1" t="s">
        <v>85</v>
      </c>
      <c r="H1908" s="1" t="s">
        <v>16</v>
      </c>
      <c r="I1908" s="4" t="str">
        <f>"1"</f>
        <v>1</v>
      </c>
      <c r="J1908" s="2" t="str">
        <f>"1000"</f>
        <v>1000</v>
      </c>
      <c r="K1908" s="3">
        <v>46109</v>
      </c>
      <c r="L1908" s="3">
        <v>46123</v>
      </c>
      <c r="M1908" s="1" t="s">
        <v>7740</v>
      </c>
      <c r="N1908" s="1" t="s">
        <v>7739</v>
      </c>
    </row>
    <row r="1909" spans="1:14" s="1" customFormat="1" x14ac:dyDescent="0.35">
      <c r="A1909" s="1" t="s">
        <v>5171</v>
      </c>
      <c r="B1909" s="1" t="s">
        <v>3619</v>
      </c>
      <c r="C1909" s="1" t="s">
        <v>3753</v>
      </c>
      <c r="D1909" s="1" t="s">
        <v>7738</v>
      </c>
      <c r="E1909" s="1" t="str">
        <f>"3750"</f>
        <v>3750</v>
      </c>
      <c r="F1909" s="1" t="s">
        <v>3083</v>
      </c>
      <c r="G1909" s="1" t="s">
        <v>3084</v>
      </c>
      <c r="H1909" s="1" t="s">
        <v>16</v>
      </c>
      <c r="I1909" s="4" t="str">
        <f>"1"</f>
        <v>1</v>
      </c>
      <c r="J1909" s="2" t="str">
        <f>"5000"</f>
        <v>5000</v>
      </c>
      <c r="K1909" s="3">
        <v>46109</v>
      </c>
      <c r="L1909" s="3">
        <v>46123</v>
      </c>
      <c r="M1909" s="1" t="s">
        <v>7737</v>
      </c>
      <c r="N1909" s="1" t="s">
        <v>7736</v>
      </c>
    </row>
    <row r="1910" spans="1:14" s="1" customFormat="1" x14ac:dyDescent="0.35">
      <c r="A1910" s="1" t="s">
        <v>5171</v>
      </c>
      <c r="B1910" s="1" t="s">
        <v>3619</v>
      </c>
      <c r="C1910" s="1" t="s">
        <v>7512</v>
      </c>
      <c r="D1910" s="1" t="s">
        <v>7735</v>
      </c>
      <c r="E1910" s="1" t="str">
        <f>"4110"</f>
        <v>4110</v>
      </c>
      <c r="F1910" s="1" t="str">
        <f>"011112006"</f>
        <v>011112006</v>
      </c>
      <c r="G1910" s="1" t="s">
        <v>7734</v>
      </c>
      <c r="H1910" s="1" t="s">
        <v>16</v>
      </c>
      <c r="I1910" s="4" t="str">
        <f>"1"</f>
        <v>1</v>
      </c>
      <c r="J1910" s="2">
        <v>8425.9699999999993</v>
      </c>
      <c r="K1910" s="3">
        <v>46079</v>
      </c>
      <c r="L1910" s="3">
        <v>46125</v>
      </c>
      <c r="M1910" s="1" t="s">
        <v>7733</v>
      </c>
      <c r="N1910" s="1" t="s">
        <v>7732</v>
      </c>
    </row>
    <row r="1911" spans="1:14" s="1" customFormat="1" x14ac:dyDescent="0.35">
      <c r="A1911" s="1" t="s">
        <v>5171</v>
      </c>
      <c r="B1911" s="1" t="s">
        <v>3619</v>
      </c>
      <c r="C1911" s="1" t="s">
        <v>7728</v>
      </c>
      <c r="D1911" s="1" t="s">
        <v>7731</v>
      </c>
      <c r="E1911" s="1" t="str">
        <f>"4220"</f>
        <v>4220</v>
      </c>
      <c r="F1911" s="1" t="s">
        <v>2030</v>
      </c>
      <c r="G1911" s="1" t="s">
        <v>2031</v>
      </c>
      <c r="H1911" s="1" t="s">
        <v>16</v>
      </c>
      <c r="I1911" s="4" t="str">
        <f>"1"</f>
        <v>1</v>
      </c>
      <c r="J1911" s="2">
        <v>109.47</v>
      </c>
      <c r="K1911" s="3">
        <v>46109</v>
      </c>
      <c r="L1911" s="3">
        <v>46126</v>
      </c>
      <c r="M1911" s="1" t="s">
        <v>7730</v>
      </c>
      <c r="N1911" s="1" t="s">
        <v>7729</v>
      </c>
    </row>
    <row r="1912" spans="1:14" s="1" customFormat="1" x14ac:dyDescent="0.35">
      <c r="A1912" s="1" t="s">
        <v>5171</v>
      </c>
      <c r="B1912" s="1" t="s">
        <v>3619</v>
      </c>
      <c r="C1912" s="1" t="s">
        <v>7728</v>
      </c>
      <c r="D1912" s="1" t="s">
        <v>7727</v>
      </c>
      <c r="E1912" s="1" t="str">
        <f>"4220"</f>
        <v>4220</v>
      </c>
      <c r="F1912" s="1" t="str">
        <f>"012354005"</f>
        <v>012354005</v>
      </c>
      <c r="G1912" s="1" t="s">
        <v>2034</v>
      </c>
      <c r="H1912" s="1" t="s">
        <v>458</v>
      </c>
      <c r="I1912" s="4" t="str">
        <f>"1"</f>
        <v>1</v>
      </c>
      <c r="J1912" s="2" t="str">
        <f>"3000"</f>
        <v>3000</v>
      </c>
      <c r="K1912" s="3">
        <v>46109</v>
      </c>
      <c r="L1912" s="3">
        <v>46126</v>
      </c>
      <c r="M1912" s="1" t="s">
        <v>7726</v>
      </c>
      <c r="N1912" s="1" t="s">
        <v>7725</v>
      </c>
    </row>
    <row r="1913" spans="1:14" s="1" customFormat="1" x14ac:dyDescent="0.35">
      <c r="A1913" s="1" t="s">
        <v>5171</v>
      </c>
      <c r="B1913" s="1" t="s">
        <v>3619</v>
      </c>
      <c r="C1913" s="1" t="s">
        <v>3824</v>
      </c>
      <c r="D1913" s="1" t="s">
        <v>7724</v>
      </c>
      <c r="E1913" s="1" t="str">
        <f>"8415"</f>
        <v>8415</v>
      </c>
      <c r="F1913" s="1" t="s">
        <v>1139</v>
      </c>
      <c r="G1913" s="1" t="s">
        <v>1140</v>
      </c>
      <c r="H1913" s="1" t="s">
        <v>16</v>
      </c>
      <c r="I1913" s="4" t="str">
        <f>"30"</f>
        <v>30</v>
      </c>
      <c r="J1913" s="2">
        <v>65.02</v>
      </c>
      <c r="K1913" s="3">
        <v>46096</v>
      </c>
      <c r="L1913" s="3">
        <v>46127</v>
      </c>
      <c r="M1913" s="1" t="s">
        <v>7723</v>
      </c>
      <c r="N1913" s="1" t="s">
        <v>3839</v>
      </c>
    </row>
    <row r="1914" spans="1:14" s="1" customFormat="1" x14ac:dyDescent="0.35">
      <c r="A1914" s="1" t="s">
        <v>5171</v>
      </c>
      <c r="B1914" s="1" t="s">
        <v>3619</v>
      </c>
      <c r="C1914" s="1" t="s">
        <v>3753</v>
      </c>
      <c r="D1914" s="1" t="s">
        <v>7722</v>
      </c>
      <c r="E1914" s="1" t="str">
        <f>"7360"</f>
        <v>7360</v>
      </c>
      <c r="F1914" s="1" t="str">
        <f>"013132238"</f>
        <v>013132238</v>
      </c>
      <c r="G1914" s="1" t="s">
        <v>7721</v>
      </c>
      <c r="H1914" s="1" t="s">
        <v>16</v>
      </c>
      <c r="I1914" s="4" t="str">
        <f>"1"</f>
        <v>1</v>
      </c>
      <c r="J1914" s="2" t="str">
        <f>"145000"</f>
        <v>145000</v>
      </c>
      <c r="K1914" s="3">
        <v>46102</v>
      </c>
      <c r="L1914" s="3">
        <v>46128</v>
      </c>
      <c r="M1914" s="1" t="s">
        <v>7720</v>
      </c>
      <c r="N1914" s="1" t="s">
        <v>7719</v>
      </c>
    </row>
    <row r="1915" spans="1:14" s="1" customFormat="1" x14ac:dyDescent="0.35">
      <c r="A1915" s="1" t="s">
        <v>5171</v>
      </c>
      <c r="B1915" s="1" t="s">
        <v>3619</v>
      </c>
      <c r="C1915" s="1" t="s">
        <v>3753</v>
      </c>
      <c r="D1915" s="1" t="s">
        <v>7718</v>
      </c>
      <c r="E1915" s="1" t="str">
        <f>"5140"</f>
        <v>5140</v>
      </c>
      <c r="F1915" s="1" t="s">
        <v>7717</v>
      </c>
      <c r="G1915" s="1" t="s">
        <v>7716</v>
      </c>
      <c r="H1915" s="1" t="s">
        <v>16</v>
      </c>
      <c r="I1915" s="4" t="str">
        <f>"1"</f>
        <v>1</v>
      </c>
      <c r="J1915" s="2" t="str">
        <f>"300"</f>
        <v>300</v>
      </c>
      <c r="K1915" s="3">
        <v>46116</v>
      </c>
      <c r="L1915" s="3">
        <v>46128</v>
      </c>
      <c r="M1915" s="1" t="s">
        <v>7715</v>
      </c>
      <c r="N1915" s="1" t="s">
        <v>7714</v>
      </c>
    </row>
    <row r="1916" spans="1:14" s="1" customFormat="1" x14ac:dyDescent="0.35">
      <c r="A1916" s="1" t="s">
        <v>5171</v>
      </c>
      <c r="B1916" s="1" t="s">
        <v>3619</v>
      </c>
      <c r="C1916" s="1" t="s">
        <v>3753</v>
      </c>
      <c r="D1916" s="1" t="s">
        <v>7713</v>
      </c>
      <c r="E1916" s="1" t="str">
        <f>"4240"</f>
        <v>4240</v>
      </c>
      <c r="F1916" s="1" t="str">
        <f>"015475933"</f>
        <v>015475933</v>
      </c>
      <c r="G1916" s="1" t="s">
        <v>6267</v>
      </c>
      <c r="H1916" s="1" t="s">
        <v>16</v>
      </c>
      <c r="I1916" s="4" t="str">
        <f>"21"</f>
        <v>21</v>
      </c>
      <c r="J1916" s="2">
        <v>59.03</v>
      </c>
      <c r="K1916" s="3">
        <v>46124</v>
      </c>
      <c r="L1916" s="3">
        <v>46128</v>
      </c>
      <c r="M1916" s="1" t="s">
        <v>7712</v>
      </c>
      <c r="N1916" s="1" t="s">
        <v>7711</v>
      </c>
    </row>
    <row r="1917" spans="1:14" s="1" customFormat="1" x14ac:dyDescent="0.35">
      <c r="A1917" s="1" t="s">
        <v>5171</v>
      </c>
      <c r="B1917" s="1" t="s">
        <v>3619</v>
      </c>
      <c r="C1917" s="1" t="s">
        <v>3753</v>
      </c>
      <c r="D1917" s="1" t="s">
        <v>7710</v>
      </c>
      <c r="E1917" s="1" t="str">
        <f>"2420"</f>
        <v>2420</v>
      </c>
      <c r="F1917" s="1" t="s">
        <v>501</v>
      </c>
      <c r="G1917" s="1" t="s">
        <v>502</v>
      </c>
      <c r="H1917" s="1" t="s">
        <v>16</v>
      </c>
      <c r="I1917" s="4" t="str">
        <f>"1"</f>
        <v>1</v>
      </c>
      <c r="J1917" s="2" t="str">
        <f>"20000"</f>
        <v>20000</v>
      </c>
      <c r="K1917" s="3">
        <v>46116</v>
      </c>
      <c r="L1917" s="3">
        <v>46130</v>
      </c>
      <c r="M1917" s="1" t="s">
        <v>7709</v>
      </c>
      <c r="N1917" s="1" t="s">
        <v>7708</v>
      </c>
    </row>
    <row r="1918" spans="1:14" s="1" customFormat="1" x14ac:dyDescent="0.35">
      <c r="A1918" s="1" t="s">
        <v>5171</v>
      </c>
      <c r="B1918" s="1" t="s">
        <v>3619</v>
      </c>
      <c r="C1918" s="1" t="s">
        <v>3814</v>
      </c>
      <c r="D1918" s="1" t="s">
        <v>7707</v>
      </c>
      <c r="E1918" s="1" t="str">
        <f>"2340"</f>
        <v>2340</v>
      </c>
      <c r="F1918" s="1" t="s">
        <v>84</v>
      </c>
      <c r="G1918" s="1" t="s">
        <v>85</v>
      </c>
      <c r="H1918" s="1" t="s">
        <v>16</v>
      </c>
      <c r="I1918" s="4" t="str">
        <f>"1"</f>
        <v>1</v>
      </c>
      <c r="J1918" s="2" t="str">
        <f>"19891"</f>
        <v>19891</v>
      </c>
      <c r="K1918" s="3">
        <v>46116</v>
      </c>
      <c r="L1918" s="3">
        <v>46130</v>
      </c>
      <c r="M1918" s="1" t="s">
        <v>7706</v>
      </c>
      <c r="N1918" s="1" t="s">
        <v>7705</v>
      </c>
    </row>
    <row r="1919" spans="1:14" s="1" customFormat="1" x14ac:dyDescent="0.35">
      <c r="A1919" s="1" t="s">
        <v>5216</v>
      </c>
      <c r="B1919" s="1" t="s">
        <v>3619</v>
      </c>
      <c r="C1919" s="1" t="s">
        <v>3750</v>
      </c>
      <c r="D1919" s="1" t="s">
        <v>7704</v>
      </c>
      <c r="E1919" s="1" t="str">
        <f>"8140"</f>
        <v>8140</v>
      </c>
      <c r="F1919" s="1" t="str">
        <f>"009601699"</f>
        <v>009601699</v>
      </c>
      <c r="G1919" s="1" t="s">
        <v>1085</v>
      </c>
      <c r="H1919" s="1" t="s">
        <v>16</v>
      </c>
      <c r="I1919" s="4" t="str">
        <f>"50"</f>
        <v>50</v>
      </c>
      <c r="J1919" s="2">
        <v>11.1</v>
      </c>
      <c r="K1919" s="3">
        <v>46137</v>
      </c>
      <c r="L1919" s="3">
        <v>46139</v>
      </c>
      <c r="M1919" s="1" t="s">
        <v>7703</v>
      </c>
      <c r="N1919" s="1" t="s">
        <v>7702</v>
      </c>
    </row>
    <row r="1920" spans="1:14" s="1" customFormat="1" x14ac:dyDescent="0.35">
      <c r="A1920" s="1" t="s">
        <v>5216</v>
      </c>
      <c r="B1920" s="1" t="s">
        <v>3619</v>
      </c>
      <c r="C1920" s="1" t="s">
        <v>3814</v>
      </c>
      <c r="D1920" s="1" t="s">
        <v>7701</v>
      </c>
      <c r="E1920" s="1" t="str">
        <f>"2340"</f>
        <v>2340</v>
      </c>
      <c r="F1920" s="1" t="s">
        <v>84</v>
      </c>
      <c r="G1920" s="1" t="s">
        <v>85</v>
      </c>
      <c r="H1920" s="1" t="s">
        <v>16</v>
      </c>
      <c r="I1920" s="4" t="str">
        <f>"1"</f>
        <v>1</v>
      </c>
      <c r="J1920" s="2">
        <v>31905.14</v>
      </c>
      <c r="K1920" s="3">
        <v>46137</v>
      </c>
      <c r="L1920" s="3">
        <v>46139</v>
      </c>
      <c r="M1920" s="1" t="s">
        <v>5608</v>
      </c>
      <c r="N1920" s="1" t="s">
        <v>7675</v>
      </c>
    </row>
    <row r="1921" spans="1:14" s="1" customFormat="1" x14ac:dyDescent="0.35">
      <c r="A1921" s="1" t="s">
        <v>5171</v>
      </c>
      <c r="B1921" s="1" t="s">
        <v>3619</v>
      </c>
      <c r="C1921" s="1" t="s">
        <v>3814</v>
      </c>
      <c r="D1921" s="1" t="s">
        <v>7700</v>
      </c>
      <c r="E1921" s="1" t="str">
        <f>"2320"</f>
        <v>2320</v>
      </c>
      <c r="F1921" s="1" t="str">
        <f>"015959568"</f>
        <v>015959568</v>
      </c>
      <c r="G1921" s="1" t="s">
        <v>5404</v>
      </c>
      <c r="H1921" s="1" t="s">
        <v>16</v>
      </c>
      <c r="I1921" s="4" t="str">
        <f>"1"</f>
        <v>1</v>
      </c>
      <c r="J1921" s="2" t="str">
        <f>"31613"</f>
        <v>31613</v>
      </c>
      <c r="K1921" s="3">
        <v>46130</v>
      </c>
      <c r="L1921" s="3">
        <v>46140</v>
      </c>
      <c r="M1921" s="1" t="s">
        <v>7699</v>
      </c>
      <c r="N1921" s="1" t="s">
        <v>7698</v>
      </c>
    </row>
    <row r="1922" spans="1:14" s="1" customFormat="1" x14ac:dyDescent="0.35">
      <c r="A1922" s="1" t="s">
        <v>5171</v>
      </c>
      <c r="B1922" s="1" t="s">
        <v>3619</v>
      </c>
      <c r="C1922" s="1" t="s">
        <v>3753</v>
      </c>
      <c r="D1922" s="1" t="s">
        <v>7697</v>
      </c>
      <c r="E1922" s="1" t="str">
        <f>"1740"</f>
        <v>1740</v>
      </c>
      <c r="F1922" s="1" t="str">
        <f>"013894119"</f>
        <v>013894119</v>
      </c>
      <c r="G1922" s="1" t="s">
        <v>3758</v>
      </c>
      <c r="H1922" s="1" t="s">
        <v>16</v>
      </c>
      <c r="I1922" s="4" t="str">
        <f>"1"</f>
        <v>1</v>
      </c>
      <c r="J1922" s="2">
        <v>29723.74</v>
      </c>
      <c r="K1922" s="3">
        <v>46109</v>
      </c>
      <c r="L1922" s="3">
        <v>46142</v>
      </c>
      <c r="M1922" s="1" t="s">
        <v>7696</v>
      </c>
      <c r="N1922" s="1" t="s">
        <v>3759</v>
      </c>
    </row>
    <row r="1923" spans="1:14" s="1" customFormat="1" x14ac:dyDescent="0.35">
      <c r="A1923" s="1" t="s">
        <v>5171</v>
      </c>
      <c r="B1923" s="1" t="s">
        <v>3619</v>
      </c>
      <c r="C1923" s="1" t="s">
        <v>3753</v>
      </c>
      <c r="D1923" s="1" t="s">
        <v>7695</v>
      </c>
      <c r="E1923" s="1" t="str">
        <f>"2320"</f>
        <v>2320</v>
      </c>
      <c r="F1923" s="1" t="s">
        <v>975</v>
      </c>
      <c r="G1923" s="1" t="s">
        <v>976</v>
      </c>
      <c r="H1923" s="1" t="s">
        <v>16</v>
      </c>
      <c r="I1923" s="4" t="str">
        <f>"1"</f>
        <v>1</v>
      </c>
      <c r="J1923" s="2" t="str">
        <f>"6500"</f>
        <v>6500</v>
      </c>
      <c r="K1923" s="3">
        <v>46116</v>
      </c>
      <c r="L1923" s="3">
        <v>46142</v>
      </c>
      <c r="M1923" s="1" t="s">
        <v>7694</v>
      </c>
      <c r="N1923" s="1" t="s">
        <v>7693</v>
      </c>
    </row>
    <row r="1924" spans="1:14" s="1" customFormat="1" x14ac:dyDescent="0.35">
      <c r="A1924" s="1" t="s">
        <v>5171</v>
      </c>
      <c r="B1924" s="1" t="s">
        <v>3619</v>
      </c>
      <c r="C1924" s="1" t="s">
        <v>3753</v>
      </c>
      <c r="D1924" s="1" t="s">
        <v>7692</v>
      </c>
      <c r="E1924" s="1" t="str">
        <f>"3825"</f>
        <v>3825</v>
      </c>
      <c r="F1924" s="1" t="s">
        <v>3015</v>
      </c>
      <c r="G1924" s="1" t="s">
        <v>3016</v>
      </c>
      <c r="H1924" s="1" t="s">
        <v>16</v>
      </c>
      <c r="I1924" s="4" t="str">
        <f>"1"</f>
        <v>1</v>
      </c>
      <c r="J1924" s="2" t="str">
        <f>"500"</f>
        <v>500</v>
      </c>
      <c r="K1924" s="3">
        <v>46127</v>
      </c>
      <c r="L1924" s="3">
        <v>46142</v>
      </c>
      <c r="M1924" s="1" t="s">
        <v>7691</v>
      </c>
      <c r="N1924" s="1" t="s">
        <v>7690</v>
      </c>
    </row>
    <row r="1925" spans="1:14" s="1" customFormat="1" x14ac:dyDescent="0.35">
      <c r="A1925" s="1" t="s">
        <v>5171</v>
      </c>
      <c r="B1925" s="1" t="s">
        <v>3619</v>
      </c>
      <c r="C1925" s="1" t="s">
        <v>7512</v>
      </c>
      <c r="D1925" s="1" t="s">
        <v>7689</v>
      </c>
      <c r="E1925" s="1" t="str">
        <f>"2340"</f>
        <v>2340</v>
      </c>
      <c r="F1925" s="1" t="s">
        <v>84</v>
      </c>
      <c r="G1925" s="1" t="s">
        <v>85</v>
      </c>
      <c r="H1925" s="1" t="s">
        <v>16</v>
      </c>
      <c r="I1925" s="4" t="str">
        <f>"1"</f>
        <v>1</v>
      </c>
      <c r="J1925" s="2">
        <v>31905.14</v>
      </c>
      <c r="K1925" s="3">
        <v>46139</v>
      </c>
      <c r="L1925" s="3">
        <v>46143</v>
      </c>
      <c r="M1925" s="1" t="s">
        <v>7688</v>
      </c>
      <c r="N1925" s="1" t="s">
        <v>7685</v>
      </c>
    </row>
    <row r="1926" spans="1:14" s="1" customFormat="1" x14ac:dyDescent="0.35">
      <c r="A1926" s="1" t="s">
        <v>5171</v>
      </c>
      <c r="B1926" s="1" t="s">
        <v>3619</v>
      </c>
      <c r="C1926" s="1" t="s">
        <v>7512</v>
      </c>
      <c r="D1926" s="1" t="s">
        <v>7687</v>
      </c>
      <c r="E1926" s="1" t="str">
        <f>"2340"</f>
        <v>2340</v>
      </c>
      <c r="F1926" s="1" t="s">
        <v>84</v>
      </c>
      <c r="G1926" s="1" t="s">
        <v>85</v>
      </c>
      <c r="H1926" s="1" t="s">
        <v>16</v>
      </c>
      <c r="I1926" s="4" t="str">
        <f>"1"</f>
        <v>1</v>
      </c>
      <c r="J1926" s="2">
        <v>31905.14</v>
      </c>
      <c r="K1926" s="3">
        <v>46139</v>
      </c>
      <c r="L1926" s="3">
        <v>46143</v>
      </c>
      <c r="M1926" s="1" t="s">
        <v>7686</v>
      </c>
      <c r="N1926" s="1" t="s">
        <v>7685</v>
      </c>
    </row>
    <row r="1927" spans="1:14" s="1" customFormat="1" x14ac:dyDescent="0.35">
      <c r="A1927" s="1" t="s">
        <v>5171</v>
      </c>
      <c r="B1927" s="1" t="s">
        <v>3619</v>
      </c>
      <c r="C1927" s="1" t="s">
        <v>3625</v>
      </c>
      <c r="D1927" s="1" t="s">
        <v>7684</v>
      </c>
      <c r="E1927" s="1" t="str">
        <f>"2340"</f>
        <v>2340</v>
      </c>
      <c r="F1927" s="1" t="s">
        <v>84</v>
      </c>
      <c r="G1927" s="1" t="s">
        <v>85</v>
      </c>
      <c r="H1927" s="1" t="s">
        <v>16</v>
      </c>
      <c r="I1927" s="4" t="str">
        <f>"1"</f>
        <v>1</v>
      </c>
      <c r="J1927" s="2">
        <v>31905.14</v>
      </c>
      <c r="K1927" s="3">
        <v>46139</v>
      </c>
      <c r="L1927" s="3">
        <v>46143</v>
      </c>
      <c r="M1927" s="1" t="s">
        <v>7683</v>
      </c>
      <c r="N1927" s="1" t="s">
        <v>7682</v>
      </c>
    </row>
    <row r="1928" spans="1:14" s="1" customFormat="1" x14ac:dyDescent="0.35">
      <c r="A1928" s="1" t="s">
        <v>5171</v>
      </c>
      <c r="B1928" s="1" t="s">
        <v>3619</v>
      </c>
      <c r="C1928" s="1" t="s">
        <v>3814</v>
      </c>
      <c r="D1928" s="1" t="s">
        <v>7681</v>
      </c>
      <c r="E1928" s="1" t="str">
        <f>"2340"</f>
        <v>2340</v>
      </c>
      <c r="F1928" s="1" t="s">
        <v>84</v>
      </c>
      <c r="G1928" s="1" t="s">
        <v>85</v>
      </c>
      <c r="H1928" s="1" t="s">
        <v>16</v>
      </c>
      <c r="I1928" s="4" t="str">
        <f>"1"</f>
        <v>1</v>
      </c>
      <c r="J1928" s="2">
        <v>31905.14</v>
      </c>
      <c r="K1928" s="3">
        <v>46137</v>
      </c>
      <c r="L1928" s="3">
        <v>46143</v>
      </c>
      <c r="M1928" s="1" t="s">
        <v>7680</v>
      </c>
      <c r="N1928" s="1" t="s">
        <v>7675</v>
      </c>
    </row>
    <row r="1929" spans="1:14" s="1" customFormat="1" x14ac:dyDescent="0.35">
      <c r="A1929" s="1" t="s">
        <v>5171</v>
      </c>
      <c r="B1929" s="1" t="s">
        <v>3619</v>
      </c>
      <c r="C1929" s="1" t="s">
        <v>3814</v>
      </c>
      <c r="D1929" s="1" t="s">
        <v>7679</v>
      </c>
      <c r="E1929" s="1" t="str">
        <f>"2340"</f>
        <v>2340</v>
      </c>
      <c r="F1929" s="1" t="s">
        <v>84</v>
      </c>
      <c r="G1929" s="1" t="s">
        <v>85</v>
      </c>
      <c r="H1929" s="1" t="s">
        <v>16</v>
      </c>
      <c r="I1929" s="4" t="str">
        <f>"1"</f>
        <v>1</v>
      </c>
      <c r="J1929" s="2">
        <v>31905.14</v>
      </c>
      <c r="K1929" s="3">
        <v>46137</v>
      </c>
      <c r="L1929" s="3">
        <v>46143</v>
      </c>
      <c r="M1929" s="1" t="s">
        <v>7678</v>
      </c>
      <c r="N1929" s="1" t="s">
        <v>7675</v>
      </c>
    </row>
    <row r="1930" spans="1:14" s="1" customFormat="1" x14ac:dyDescent="0.35">
      <c r="A1930" s="1" t="s">
        <v>5171</v>
      </c>
      <c r="B1930" s="1" t="s">
        <v>3619</v>
      </c>
      <c r="C1930" s="1" t="s">
        <v>3814</v>
      </c>
      <c r="D1930" s="1" t="s">
        <v>7677</v>
      </c>
      <c r="E1930" s="1" t="str">
        <f>"2340"</f>
        <v>2340</v>
      </c>
      <c r="F1930" s="1" t="s">
        <v>84</v>
      </c>
      <c r="G1930" s="1" t="s">
        <v>85</v>
      </c>
      <c r="H1930" s="1" t="s">
        <v>16</v>
      </c>
      <c r="I1930" s="4" t="str">
        <f>"1"</f>
        <v>1</v>
      </c>
      <c r="J1930" s="2">
        <v>31905.14</v>
      </c>
      <c r="K1930" s="3">
        <v>46137</v>
      </c>
      <c r="L1930" s="3">
        <v>46143</v>
      </c>
      <c r="M1930" s="1" t="s">
        <v>7676</v>
      </c>
      <c r="N1930" s="1" t="s">
        <v>7675</v>
      </c>
    </row>
    <row r="1931" spans="1:14" s="1" customFormat="1" x14ac:dyDescent="0.35">
      <c r="A1931" s="1" t="s">
        <v>5171</v>
      </c>
      <c r="B1931" s="1" t="s">
        <v>3619</v>
      </c>
      <c r="C1931" s="1" t="s">
        <v>3814</v>
      </c>
      <c r="D1931" s="1" t="s">
        <v>7674</v>
      </c>
      <c r="E1931" s="1" t="str">
        <f>"1240"</f>
        <v>1240</v>
      </c>
      <c r="F1931" s="1" t="s">
        <v>1800</v>
      </c>
      <c r="G1931" s="1" t="s">
        <v>1801</v>
      </c>
      <c r="H1931" s="1" t="s">
        <v>16</v>
      </c>
      <c r="I1931" s="4" t="str">
        <f>"12"</f>
        <v>12</v>
      </c>
      <c r="J1931" s="2" t="str">
        <f>"2499"</f>
        <v>2499</v>
      </c>
      <c r="K1931" s="3">
        <v>46140</v>
      </c>
      <c r="L1931" s="3">
        <v>46143</v>
      </c>
      <c r="M1931" s="1" t="s">
        <v>7673</v>
      </c>
      <c r="N1931" s="1" t="s">
        <v>7672</v>
      </c>
    </row>
    <row r="1932" spans="1:14" s="1" customFormat="1" x14ac:dyDescent="0.35">
      <c r="A1932" s="1" t="s">
        <v>5171</v>
      </c>
      <c r="B1932" s="1" t="s">
        <v>3619</v>
      </c>
      <c r="C1932" s="1" t="s">
        <v>7537</v>
      </c>
      <c r="D1932" s="1" t="s">
        <v>7671</v>
      </c>
      <c r="E1932" s="1" t="str">
        <f>"2340"</f>
        <v>2340</v>
      </c>
      <c r="F1932" s="1" t="s">
        <v>84</v>
      </c>
      <c r="G1932" s="1" t="s">
        <v>85</v>
      </c>
      <c r="H1932" s="1" t="s">
        <v>16</v>
      </c>
      <c r="I1932" s="4" t="str">
        <f>"1"</f>
        <v>1</v>
      </c>
      <c r="J1932" s="2">
        <v>31905.14</v>
      </c>
      <c r="K1932" s="3">
        <v>46139</v>
      </c>
      <c r="L1932" s="3">
        <v>46143</v>
      </c>
      <c r="M1932" s="1" t="s">
        <v>7670</v>
      </c>
      <c r="N1932" s="1" t="s">
        <v>7534</v>
      </c>
    </row>
    <row r="1933" spans="1:14" s="1" customFormat="1" x14ac:dyDescent="0.35">
      <c r="A1933" s="1" t="s">
        <v>5171</v>
      </c>
      <c r="B1933" s="1" t="s">
        <v>3619</v>
      </c>
      <c r="C1933" s="1" t="s">
        <v>7537</v>
      </c>
      <c r="D1933" s="1" t="s">
        <v>7669</v>
      </c>
      <c r="E1933" s="1" t="str">
        <f>"2340"</f>
        <v>2340</v>
      </c>
      <c r="F1933" s="1" t="s">
        <v>84</v>
      </c>
      <c r="G1933" s="1" t="s">
        <v>85</v>
      </c>
      <c r="H1933" s="1" t="s">
        <v>16</v>
      </c>
      <c r="I1933" s="4" t="str">
        <f>"1"</f>
        <v>1</v>
      </c>
      <c r="J1933" s="2">
        <v>31905.14</v>
      </c>
      <c r="K1933" s="3">
        <v>46139</v>
      </c>
      <c r="L1933" s="3">
        <v>46143</v>
      </c>
      <c r="M1933" s="1" t="s">
        <v>7668</v>
      </c>
      <c r="N1933" s="1" t="s">
        <v>7534</v>
      </c>
    </row>
    <row r="1934" spans="1:14" s="1" customFormat="1" x14ac:dyDescent="0.35">
      <c r="A1934" s="1" t="s">
        <v>5171</v>
      </c>
      <c r="B1934" s="1" t="s">
        <v>3619</v>
      </c>
      <c r="C1934" s="1" t="s">
        <v>7537</v>
      </c>
      <c r="D1934" s="1" t="s">
        <v>7667</v>
      </c>
      <c r="E1934" s="1" t="str">
        <f>"2340"</f>
        <v>2340</v>
      </c>
      <c r="F1934" s="1" t="s">
        <v>84</v>
      </c>
      <c r="G1934" s="1" t="s">
        <v>85</v>
      </c>
      <c r="H1934" s="1" t="s">
        <v>16</v>
      </c>
      <c r="I1934" s="4" t="str">
        <f>"1"</f>
        <v>1</v>
      </c>
      <c r="J1934" s="2">
        <v>31905.14</v>
      </c>
      <c r="K1934" s="3">
        <v>46139</v>
      </c>
      <c r="L1934" s="3">
        <v>46143</v>
      </c>
      <c r="M1934" s="1" t="s">
        <v>7666</v>
      </c>
      <c r="N1934" s="1" t="s">
        <v>7534</v>
      </c>
    </row>
    <row r="1935" spans="1:14" s="1" customFormat="1" x14ac:dyDescent="0.35">
      <c r="A1935" s="1" t="s">
        <v>5171</v>
      </c>
      <c r="B1935" s="1" t="s">
        <v>3619</v>
      </c>
      <c r="C1935" s="1" t="s">
        <v>7665</v>
      </c>
      <c r="D1935" s="1" t="s">
        <v>7664</v>
      </c>
      <c r="E1935" s="1" t="str">
        <f>"4710"</f>
        <v>4710</v>
      </c>
      <c r="F1935" s="1" t="s">
        <v>7663</v>
      </c>
      <c r="G1935" s="1" t="s">
        <v>7662</v>
      </c>
      <c r="H1935" s="1" t="s">
        <v>16</v>
      </c>
      <c r="I1935" s="4" t="str">
        <f>"20"</f>
        <v>20</v>
      </c>
      <c r="J1935" s="2" t="str">
        <f>"25"</f>
        <v>25</v>
      </c>
      <c r="K1935" s="3">
        <v>46120</v>
      </c>
      <c r="L1935" s="3">
        <v>46146</v>
      </c>
      <c r="M1935" s="1" t="s">
        <v>7661</v>
      </c>
      <c r="N1935" s="1" t="s">
        <v>7660</v>
      </c>
    </row>
    <row r="1936" spans="1:14" s="1" customFormat="1" x14ac:dyDescent="0.35">
      <c r="A1936" s="1" t="s">
        <v>5171</v>
      </c>
      <c r="B1936" s="1" t="s">
        <v>3619</v>
      </c>
      <c r="C1936" s="1" t="s">
        <v>3625</v>
      </c>
      <c r="D1936" s="1" t="s">
        <v>7659</v>
      </c>
      <c r="E1936" s="1" t="str">
        <f>"7025"</f>
        <v>7025</v>
      </c>
      <c r="F1936" s="1" t="s">
        <v>1128</v>
      </c>
      <c r="G1936" s="1" t="s">
        <v>1129</v>
      </c>
      <c r="H1936" s="1" t="s">
        <v>16</v>
      </c>
      <c r="I1936" s="4" t="str">
        <f>"5"</f>
        <v>5</v>
      </c>
      <c r="J1936" s="2">
        <v>305.97000000000003</v>
      </c>
      <c r="K1936" s="3">
        <v>46146</v>
      </c>
      <c r="L1936" s="3">
        <v>46147</v>
      </c>
      <c r="M1936" s="1" t="s">
        <v>5469</v>
      </c>
      <c r="N1936" s="1" t="s">
        <v>7658</v>
      </c>
    </row>
    <row r="1937" spans="1:14" s="1" customFormat="1" x14ac:dyDescent="0.35">
      <c r="A1937" s="1" t="s">
        <v>5171</v>
      </c>
      <c r="B1937" s="1" t="s">
        <v>3619</v>
      </c>
      <c r="C1937" s="1" t="s">
        <v>3753</v>
      </c>
      <c r="D1937" s="1" t="s">
        <v>7657</v>
      </c>
      <c r="E1937" s="1" t="str">
        <f>"2330"</f>
        <v>2330</v>
      </c>
      <c r="F1937" s="1" t="s">
        <v>70</v>
      </c>
      <c r="G1937" s="1" t="s">
        <v>71</v>
      </c>
      <c r="H1937" s="1" t="s">
        <v>16</v>
      </c>
      <c r="I1937" s="4" t="str">
        <f>"1"</f>
        <v>1</v>
      </c>
      <c r="J1937" s="2" t="str">
        <f>"14000"</f>
        <v>14000</v>
      </c>
      <c r="K1937" s="3">
        <v>46109</v>
      </c>
      <c r="L1937" s="3">
        <v>46147</v>
      </c>
      <c r="M1937" s="1" t="s">
        <v>7656</v>
      </c>
      <c r="N1937" s="1" t="s">
        <v>7651</v>
      </c>
    </row>
    <row r="1938" spans="1:14" s="1" customFormat="1" x14ac:dyDescent="0.35">
      <c r="A1938" s="1" t="s">
        <v>5171</v>
      </c>
      <c r="B1938" s="1" t="s">
        <v>3619</v>
      </c>
      <c r="C1938" s="1" t="s">
        <v>3753</v>
      </c>
      <c r="D1938" s="1" t="s">
        <v>7655</v>
      </c>
      <c r="E1938" s="1" t="str">
        <f>"2330"</f>
        <v>2330</v>
      </c>
      <c r="F1938" s="1" t="s">
        <v>70</v>
      </c>
      <c r="G1938" s="1" t="s">
        <v>71</v>
      </c>
      <c r="H1938" s="1" t="s">
        <v>16</v>
      </c>
      <c r="I1938" s="4" t="str">
        <f>"1"</f>
        <v>1</v>
      </c>
      <c r="J1938" s="2" t="str">
        <f>"14000"</f>
        <v>14000</v>
      </c>
      <c r="K1938" s="3">
        <v>46109</v>
      </c>
      <c r="L1938" s="3">
        <v>46147</v>
      </c>
      <c r="M1938" s="1" t="s">
        <v>7654</v>
      </c>
      <c r="N1938" s="1" t="s">
        <v>7651</v>
      </c>
    </row>
    <row r="1939" spans="1:14" s="1" customFormat="1" x14ac:dyDescent="0.35">
      <c r="A1939" s="1" t="s">
        <v>5171</v>
      </c>
      <c r="B1939" s="1" t="s">
        <v>3619</v>
      </c>
      <c r="C1939" s="1" t="s">
        <v>3753</v>
      </c>
      <c r="D1939" s="1" t="s">
        <v>7653</v>
      </c>
      <c r="E1939" s="1" t="str">
        <f>"2330"</f>
        <v>2330</v>
      </c>
      <c r="F1939" s="1" t="s">
        <v>70</v>
      </c>
      <c r="G1939" s="1" t="s">
        <v>71</v>
      </c>
      <c r="H1939" s="1" t="s">
        <v>16</v>
      </c>
      <c r="I1939" s="4" t="str">
        <f>"1"</f>
        <v>1</v>
      </c>
      <c r="J1939" s="2" t="str">
        <f>"14000"</f>
        <v>14000</v>
      </c>
      <c r="K1939" s="3">
        <v>46109</v>
      </c>
      <c r="L1939" s="3">
        <v>46147</v>
      </c>
      <c r="M1939" s="1" t="s">
        <v>7652</v>
      </c>
      <c r="N1939" s="1" t="s">
        <v>7651</v>
      </c>
    </row>
    <row r="1940" spans="1:14" s="1" customFormat="1" x14ac:dyDescent="0.35">
      <c r="A1940" s="1" t="s">
        <v>5171</v>
      </c>
      <c r="B1940" s="1" t="s">
        <v>3619</v>
      </c>
      <c r="C1940" s="1" t="s">
        <v>3753</v>
      </c>
      <c r="D1940" s="1" t="s">
        <v>7650</v>
      </c>
      <c r="E1940" s="1" t="str">
        <f>"8440"</f>
        <v>8440</v>
      </c>
      <c r="F1940" s="1" t="str">
        <f>"016788943"</f>
        <v>016788943</v>
      </c>
      <c r="G1940" s="1" t="s">
        <v>1970</v>
      </c>
      <c r="H1940" s="1" t="s">
        <v>311</v>
      </c>
      <c r="I1940" s="4" t="str">
        <f>"46"</f>
        <v>46</v>
      </c>
      <c r="J1940" s="2">
        <v>89.32</v>
      </c>
      <c r="K1940" s="3">
        <v>46109</v>
      </c>
      <c r="L1940" s="3">
        <v>46147</v>
      </c>
      <c r="M1940" s="1" t="s">
        <v>7649</v>
      </c>
      <c r="N1940" s="1" t="s">
        <v>7648</v>
      </c>
    </row>
    <row r="1941" spans="1:14" s="1" customFormat="1" x14ac:dyDescent="0.35">
      <c r="A1941" s="1" t="s">
        <v>5171</v>
      </c>
      <c r="B1941" s="1" t="s">
        <v>3619</v>
      </c>
      <c r="C1941" s="1" t="s">
        <v>3753</v>
      </c>
      <c r="D1941" s="1" t="s">
        <v>7647</v>
      </c>
      <c r="E1941" s="1" t="str">
        <f>"8415"</f>
        <v>8415</v>
      </c>
      <c r="F1941" s="1" t="str">
        <f>"015387787"</f>
        <v>015387787</v>
      </c>
      <c r="G1941" s="1" t="s">
        <v>3709</v>
      </c>
      <c r="H1941" s="1" t="s">
        <v>16</v>
      </c>
      <c r="I1941" s="4" t="str">
        <f>"15"</f>
        <v>15</v>
      </c>
      <c r="J1941" s="2">
        <v>21.96</v>
      </c>
      <c r="K1941" s="3">
        <v>46109</v>
      </c>
      <c r="L1941" s="3">
        <v>46147</v>
      </c>
      <c r="M1941" s="1" t="s">
        <v>7646</v>
      </c>
      <c r="N1941" s="1" t="s">
        <v>7645</v>
      </c>
    </row>
    <row r="1942" spans="1:14" s="1" customFormat="1" x14ac:dyDescent="0.35">
      <c r="A1942" s="1" t="s">
        <v>5171</v>
      </c>
      <c r="B1942" s="1" t="s">
        <v>3619</v>
      </c>
      <c r="C1942" s="1" t="s">
        <v>3753</v>
      </c>
      <c r="D1942" s="1" t="s">
        <v>7644</v>
      </c>
      <c r="E1942" s="1" t="str">
        <f>"7330"</f>
        <v>7330</v>
      </c>
      <c r="F1942" s="1" t="str">
        <f>"002922306"</f>
        <v>002922306</v>
      </c>
      <c r="G1942" s="1" t="s">
        <v>7643</v>
      </c>
      <c r="H1942" s="1" t="s">
        <v>16</v>
      </c>
      <c r="I1942" s="4" t="str">
        <f>"1"</f>
        <v>1</v>
      </c>
      <c r="J1942" s="2">
        <v>152.6</v>
      </c>
      <c r="K1942" s="3">
        <v>46109</v>
      </c>
      <c r="L1942" s="3">
        <v>46147</v>
      </c>
      <c r="M1942" s="1" t="s">
        <v>7642</v>
      </c>
      <c r="N1942" s="1" t="s">
        <v>7641</v>
      </c>
    </row>
    <row r="1943" spans="1:14" s="1" customFormat="1" x14ac:dyDescent="0.35">
      <c r="A1943" s="1" t="s">
        <v>5171</v>
      </c>
      <c r="B1943" s="1" t="s">
        <v>3619</v>
      </c>
      <c r="C1943" s="1" t="s">
        <v>3753</v>
      </c>
      <c r="D1943" s="1" t="s">
        <v>7640</v>
      </c>
      <c r="E1943" s="1" t="str">
        <f>"8340"</f>
        <v>8340</v>
      </c>
      <c r="F1943" s="1" t="str">
        <f>"016004809"</f>
        <v>016004809</v>
      </c>
      <c r="G1943" s="1" t="s">
        <v>888</v>
      </c>
      <c r="H1943" s="1" t="s">
        <v>16</v>
      </c>
      <c r="I1943" s="4" t="str">
        <f>"3"</f>
        <v>3</v>
      </c>
      <c r="J1943" s="2">
        <v>76.260000000000005</v>
      </c>
      <c r="K1943" s="3">
        <v>46109</v>
      </c>
      <c r="L1943" s="3">
        <v>46147</v>
      </c>
      <c r="M1943" s="1" t="s">
        <v>7639</v>
      </c>
      <c r="N1943" s="1" t="s">
        <v>7621</v>
      </c>
    </row>
    <row r="1944" spans="1:14" s="1" customFormat="1" x14ac:dyDescent="0.35">
      <c r="A1944" s="1" t="s">
        <v>5171</v>
      </c>
      <c r="B1944" s="1" t="s">
        <v>3619</v>
      </c>
      <c r="C1944" s="1" t="s">
        <v>3753</v>
      </c>
      <c r="D1944" s="1" t="s">
        <v>7638</v>
      </c>
      <c r="E1944" s="1" t="str">
        <f>"8340"</f>
        <v>8340</v>
      </c>
      <c r="F1944" s="1" t="str">
        <f>"016004809"</f>
        <v>016004809</v>
      </c>
      <c r="G1944" s="1" t="s">
        <v>888</v>
      </c>
      <c r="H1944" s="1" t="s">
        <v>16</v>
      </c>
      <c r="I1944" s="4" t="str">
        <f>"4"</f>
        <v>4</v>
      </c>
      <c r="J1944" s="2">
        <v>76.260000000000005</v>
      </c>
      <c r="K1944" s="3">
        <v>46109</v>
      </c>
      <c r="L1944" s="3">
        <v>46147</v>
      </c>
      <c r="M1944" s="1" t="s">
        <v>7637</v>
      </c>
      <c r="N1944" s="1" t="s">
        <v>7621</v>
      </c>
    </row>
    <row r="1945" spans="1:14" s="1" customFormat="1" x14ac:dyDescent="0.35">
      <c r="A1945" s="1" t="s">
        <v>5171</v>
      </c>
      <c r="B1945" s="1" t="s">
        <v>3619</v>
      </c>
      <c r="C1945" s="1" t="s">
        <v>3753</v>
      </c>
      <c r="D1945" s="1" t="s">
        <v>7636</v>
      </c>
      <c r="E1945" s="1" t="str">
        <f>"8340"</f>
        <v>8340</v>
      </c>
      <c r="F1945" s="1" t="str">
        <f>"016004809"</f>
        <v>016004809</v>
      </c>
      <c r="G1945" s="1" t="s">
        <v>888</v>
      </c>
      <c r="H1945" s="1" t="s">
        <v>16</v>
      </c>
      <c r="I1945" s="4" t="str">
        <f>"7"</f>
        <v>7</v>
      </c>
      <c r="J1945" s="2">
        <v>76.260000000000005</v>
      </c>
      <c r="K1945" s="3">
        <v>46109</v>
      </c>
      <c r="L1945" s="3">
        <v>46147</v>
      </c>
      <c r="M1945" s="1" t="s">
        <v>7635</v>
      </c>
      <c r="N1945" s="1" t="s">
        <v>7621</v>
      </c>
    </row>
    <row r="1946" spans="1:14" s="1" customFormat="1" x14ac:dyDescent="0.35">
      <c r="A1946" s="1" t="s">
        <v>5171</v>
      </c>
      <c r="B1946" s="1" t="s">
        <v>3619</v>
      </c>
      <c r="C1946" s="1" t="s">
        <v>3753</v>
      </c>
      <c r="D1946" s="1" t="s">
        <v>7634</v>
      </c>
      <c r="E1946" s="1" t="str">
        <f>"8340"</f>
        <v>8340</v>
      </c>
      <c r="F1946" s="1" t="str">
        <f>"016004807"</f>
        <v>016004807</v>
      </c>
      <c r="G1946" s="1" t="s">
        <v>888</v>
      </c>
      <c r="H1946" s="1" t="s">
        <v>16</v>
      </c>
      <c r="I1946" s="4" t="str">
        <f>"1"</f>
        <v>1</v>
      </c>
      <c r="J1946" s="2">
        <v>75.319999999999993</v>
      </c>
      <c r="K1946" s="3">
        <v>46109</v>
      </c>
      <c r="L1946" s="3">
        <v>46147</v>
      </c>
      <c r="M1946" s="1" t="s">
        <v>7633</v>
      </c>
      <c r="N1946" s="1" t="s">
        <v>7621</v>
      </c>
    </row>
    <row r="1947" spans="1:14" s="1" customFormat="1" x14ac:dyDescent="0.35">
      <c r="A1947" s="1" t="s">
        <v>5171</v>
      </c>
      <c r="B1947" s="1" t="s">
        <v>3619</v>
      </c>
      <c r="C1947" s="1" t="s">
        <v>3753</v>
      </c>
      <c r="D1947" s="1" t="s">
        <v>7632</v>
      </c>
      <c r="E1947" s="1" t="str">
        <f>"8340"</f>
        <v>8340</v>
      </c>
      <c r="F1947" s="1" t="str">
        <f>"016004809"</f>
        <v>016004809</v>
      </c>
      <c r="G1947" s="1" t="s">
        <v>888</v>
      </c>
      <c r="H1947" s="1" t="s">
        <v>16</v>
      </c>
      <c r="I1947" s="4" t="str">
        <f>"1"</f>
        <v>1</v>
      </c>
      <c r="J1947" s="2">
        <v>76.260000000000005</v>
      </c>
      <c r="K1947" s="3">
        <v>46109</v>
      </c>
      <c r="L1947" s="3">
        <v>46147</v>
      </c>
      <c r="M1947" s="1" t="s">
        <v>7631</v>
      </c>
      <c r="N1947" s="1" t="s">
        <v>7621</v>
      </c>
    </row>
    <row r="1948" spans="1:14" s="1" customFormat="1" x14ac:dyDescent="0.35">
      <c r="A1948" s="1" t="s">
        <v>5171</v>
      </c>
      <c r="B1948" s="1" t="s">
        <v>3619</v>
      </c>
      <c r="C1948" s="1" t="s">
        <v>3753</v>
      </c>
      <c r="D1948" s="1" t="s">
        <v>7630</v>
      </c>
      <c r="E1948" s="1" t="str">
        <f>"8340"</f>
        <v>8340</v>
      </c>
      <c r="F1948" s="1" t="str">
        <f>"016004809"</f>
        <v>016004809</v>
      </c>
      <c r="G1948" s="1" t="s">
        <v>888</v>
      </c>
      <c r="H1948" s="1" t="s">
        <v>16</v>
      </c>
      <c r="I1948" s="4" t="str">
        <f>"2"</f>
        <v>2</v>
      </c>
      <c r="J1948" s="2">
        <v>76.260000000000005</v>
      </c>
      <c r="K1948" s="3">
        <v>46109</v>
      </c>
      <c r="L1948" s="3">
        <v>46147</v>
      </c>
      <c r="M1948" s="1" t="s">
        <v>7629</v>
      </c>
      <c r="N1948" s="1" t="s">
        <v>7621</v>
      </c>
    </row>
    <row r="1949" spans="1:14" s="1" customFormat="1" x14ac:dyDescent="0.35">
      <c r="A1949" s="1" t="s">
        <v>5171</v>
      </c>
      <c r="B1949" s="1" t="s">
        <v>3619</v>
      </c>
      <c r="C1949" s="1" t="s">
        <v>3753</v>
      </c>
      <c r="D1949" s="1" t="s">
        <v>7628</v>
      </c>
      <c r="E1949" s="1" t="str">
        <f>"8340"</f>
        <v>8340</v>
      </c>
      <c r="F1949" s="1" t="str">
        <f>"016004809"</f>
        <v>016004809</v>
      </c>
      <c r="G1949" s="1" t="s">
        <v>888</v>
      </c>
      <c r="H1949" s="1" t="s">
        <v>16</v>
      </c>
      <c r="I1949" s="4" t="str">
        <f>"1"</f>
        <v>1</v>
      </c>
      <c r="J1949" s="2">
        <v>76.260000000000005</v>
      </c>
      <c r="K1949" s="3">
        <v>46109</v>
      </c>
      <c r="L1949" s="3">
        <v>46147</v>
      </c>
      <c r="M1949" s="1" t="s">
        <v>7627</v>
      </c>
      <c r="N1949" s="1" t="s">
        <v>7621</v>
      </c>
    </row>
    <row r="1950" spans="1:14" s="1" customFormat="1" x14ac:dyDescent="0.35">
      <c r="A1950" s="1" t="s">
        <v>5171</v>
      </c>
      <c r="B1950" s="1" t="s">
        <v>3619</v>
      </c>
      <c r="C1950" s="1" t="s">
        <v>3753</v>
      </c>
      <c r="D1950" s="1" t="s">
        <v>7626</v>
      </c>
      <c r="E1950" s="1" t="str">
        <f>"8415"</f>
        <v>8415</v>
      </c>
      <c r="F1950" s="1" t="s">
        <v>1139</v>
      </c>
      <c r="G1950" s="1" t="s">
        <v>1140</v>
      </c>
      <c r="H1950" s="1" t="s">
        <v>16</v>
      </c>
      <c r="I1950" s="4" t="str">
        <f>"1"</f>
        <v>1</v>
      </c>
      <c r="J1950" s="2">
        <v>280.58</v>
      </c>
      <c r="K1950" s="3">
        <v>46109</v>
      </c>
      <c r="L1950" s="3">
        <v>46147</v>
      </c>
      <c r="M1950" s="1" t="s">
        <v>7625</v>
      </c>
      <c r="N1950" s="1" t="s">
        <v>7624</v>
      </c>
    </row>
    <row r="1951" spans="1:14" s="1" customFormat="1" x14ac:dyDescent="0.35">
      <c r="A1951" s="1" t="s">
        <v>5171</v>
      </c>
      <c r="B1951" s="1" t="s">
        <v>3619</v>
      </c>
      <c r="C1951" s="1" t="s">
        <v>3753</v>
      </c>
      <c r="D1951" s="1" t="s">
        <v>7623</v>
      </c>
      <c r="E1951" s="1" t="str">
        <f>"8340"</f>
        <v>8340</v>
      </c>
      <c r="F1951" s="1" t="str">
        <f>"016004809"</f>
        <v>016004809</v>
      </c>
      <c r="G1951" s="1" t="s">
        <v>888</v>
      </c>
      <c r="H1951" s="1" t="s">
        <v>16</v>
      </c>
      <c r="I1951" s="4" t="str">
        <f>"6"</f>
        <v>6</v>
      </c>
      <c r="J1951" s="2">
        <v>76.260000000000005</v>
      </c>
      <c r="K1951" s="3">
        <v>46109</v>
      </c>
      <c r="L1951" s="3">
        <v>46147</v>
      </c>
      <c r="M1951" s="1" t="s">
        <v>7622</v>
      </c>
      <c r="N1951" s="1" t="s">
        <v>7621</v>
      </c>
    </row>
    <row r="1952" spans="1:14" s="1" customFormat="1" x14ac:dyDescent="0.35">
      <c r="A1952" s="1" t="s">
        <v>5171</v>
      </c>
      <c r="B1952" s="1" t="s">
        <v>3619</v>
      </c>
      <c r="C1952" s="1" t="s">
        <v>3753</v>
      </c>
      <c r="D1952" s="1" t="s">
        <v>7620</v>
      </c>
      <c r="E1952" s="1" t="str">
        <f>"4140"</f>
        <v>4140</v>
      </c>
      <c r="F1952" s="1" t="s">
        <v>398</v>
      </c>
      <c r="G1952" s="1" t="s">
        <v>399</v>
      </c>
      <c r="H1952" s="1" t="s">
        <v>16</v>
      </c>
      <c r="I1952" s="4" t="str">
        <f>"1"</f>
        <v>1</v>
      </c>
      <c r="J1952" s="2" t="str">
        <f>"200"</f>
        <v>200</v>
      </c>
      <c r="K1952" s="3">
        <v>46109</v>
      </c>
      <c r="L1952" s="3">
        <v>46147</v>
      </c>
      <c r="M1952" s="1" t="s">
        <v>7619</v>
      </c>
      <c r="N1952" s="1" t="s">
        <v>7618</v>
      </c>
    </row>
    <row r="1953" spans="1:14" s="1" customFormat="1" x14ac:dyDescent="0.35">
      <c r="A1953" s="1" t="s">
        <v>5171</v>
      </c>
      <c r="B1953" s="1" t="s">
        <v>3619</v>
      </c>
      <c r="C1953" s="1" t="s">
        <v>3753</v>
      </c>
      <c r="D1953" s="1" t="s">
        <v>7617</v>
      </c>
      <c r="E1953" s="1" t="str">
        <f>"7210"</f>
        <v>7210</v>
      </c>
      <c r="F1953" s="1" t="str">
        <f>"002827950"</f>
        <v>002827950</v>
      </c>
      <c r="G1953" s="1" t="s">
        <v>864</v>
      </c>
      <c r="H1953" s="1" t="s">
        <v>16</v>
      </c>
      <c r="I1953" s="4" t="str">
        <f>"2"</f>
        <v>2</v>
      </c>
      <c r="J1953" s="2">
        <v>41.47</v>
      </c>
      <c r="K1953" s="3">
        <v>46109</v>
      </c>
      <c r="L1953" s="3">
        <v>46147</v>
      </c>
      <c r="M1953" s="1" t="s">
        <v>7616</v>
      </c>
      <c r="N1953" s="1" t="s">
        <v>7611</v>
      </c>
    </row>
    <row r="1954" spans="1:14" s="1" customFormat="1" x14ac:dyDescent="0.35">
      <c r="A1954" s="1" t="s">
        <v>5171</v>
      </c>
      <c r="B1954" s="1" t="s">
        <v>3619</v>
      </c>
      <c r="C1954" s="1" t="s">
        <v>3753</v>
      </c>
      <c r="D1954" s="1" t="s">
        <v>7615</v>
      </c>
      <c r="E1954" s="1" t="str">
        <f>"7210"</f>
        <v>7210</v>
      </c>
      <c r="F1954" s="1" t="str">
        <f>"002827950"</f>
        <v>002827950</v>
      </c>
      <c r="G1954" s="1" t="s">
        <v>864</v>
      </c>
      <c r="H1954" s="1" t="s">
        <v>16</v>
      </c>
      <c r="I1954" s="4" t="str">
        <f>"2"</f>
        <v>2</v>
      </c>
      <c r="J1954" s="2">
        <v>41.47</v>
      </c>
      <c r="K1954" s="3">
        <v>46109</v>
      </c>
      <c r="L1954" s="3">
        <v>46147</v>
      </c>
      <c r="M1954" s="1" t="s">
        <v>7614</v>
      </c>
      <c r="N1954" s="1" t="s">
        <v>7611</v>
      </c>
    </row>
    <row r="1955" spans="1:14" s="1" customFormat="1" x14ac:dyDescent="0.35">
      <c r="A1955" s="1" t="s">
        <v>5171</v>
      </c>
      <c r="B1955" s="1" t="s">
        <v>3619</v>
      </c>
      <c r="C1955" s="1" t="s">
        <v>3753</v>
      </c>
      <c r="D1955" s="1" t="s">
        <v>7613</v>
      </c>
      <c r="E1955" s="1" t="str">
        <f>"7210"</f>
        <v>7210</v>
      </c>
      <c r="F1955" s="1" t="str">
        <f>"002827950"</f>
        <v>002827950</v>
      </c>
      <c r="G1955" s="1" t="s">
        <v>864</v>
      </c>
      <c r="H1955" s="1" t="s">
        <v>16</v>
      </c>
      <c r="I1955" s="4" t="str">
        <f>"1"</f>
        <v>1</v>
      </c>
      <c r="J1955" s="2">
        <v>41.47</v>
      </c>
      <c r="K1955" s="3">
        <v>46109</v>
      </c>
      <c r="L1955" s="3">
        <v>46147</v>
      </c>
      <c r="M1955" s="1" t="s">
        <v>7612</v>
      </c>
      <c r="N1955" s="1" t="s">
        <v>7611</v>
      </c>
    </row>
    <row r="1956" spans="1:14" s="1" customFormat="1" x14ac:dyDescent="0.35">
      <c r="A1956" s="1" t="s">
        <v>5171</v>
      </c>
      <c r="B1956" s="1" t="s">
        <v>3619</v>
      </c>
      <c r="C1956" s="1" t="s">
        <v>3753</v>
      </c>
      <c r="D1956" s="1" t="s">
        <v>7610</v>
      </c>
      <c r="E1956" s="1" t="str">
        <f>"6665"</f>
        <v>6665</v>
      </c>
      <c r="F1956" s="1" t="str">
        <f>"219061023"</f>
        <v>219061023</v>
      </c>
      <c r="G1956" s="1" t="s">
        <v>3780</v>
      </c>
      <c r="H1956" s="1" t="s">
        <v>16</v>
      </c>
      <c r="I1956" s="4" t="str">
        <f>"2"</f>
        <v>2</v>
      </c>
      <c r="J1956" s="2" t="str">
        <f>"2450"</f>
        <v>2450</v>
      </c>
      <c r="K1956" s="3">
        <v>46110</v>
      </c>
      <c r="L1956" s="3">
        <v>46147</v>
      </c>
      <c r="M1956" s="1" t="s">
        <v>7609</v>
      </c>
      <c r="N1956" s="1" t="s">
        <v>3783</v>
      </c>
    </row>
    <row r="1957" spans="1:14" s="1" customFormat="1" x14ac:dyDescent="0.35">
      <c r="A1957" s="1" t="s">
        <v>5171</v>
      </c>
      <c r="B1957" s="1" t="s">
        <v>3619</v>
      </c>
      <c r="C1957" s="1" t="s">
        <v>3753</v>
      </c>
      <c r="D1957" s="1" t="s">
        <v>7608</v>
      </c>
      <c r="E1957" s="1" t="str">
        <f>"6665"</f>
        <v>6665</v>
      </c>
      <c r="F1957" s="1" t="str">
        <f>"219061023"</f>
        <v>219061023</v>
      </c>
      <c r="G1957" s="1" t="s">
        <v>3780</v>
      </c>
      <c r="H1957" s="1" t="s">
        <v>16</v>
      </c>
      <c r="I1957" s="4" t="str">
        <f>"2"</f>
        <v>2</v>
      </c>
      <c r="J1957" s="2" t="str">
        <f>"2450"</f>
        <v>2450</v>
      </c>
      <c r="K1957" s="3">
        <v>46110</v>
      </c>
      <c r="L1957" s="3">
        <v>46147</v>
      </c>
      <c r="M1957" s="1" t="s">
        <v>7607</v>
      </c>
      <c r="N1957" s="1" t="s">
        <v>3783</v>
      </c>
    </row>
    <row r="1958" spans="1:14" s="1" customFormat="1" x14ac:dyDescent="0.35">
      <c r="A1958" s="1" t="s">
        <v>5171</v>
      </c>
      <c r="B1958" s="1" t="s">
        <v>3619</v>
      </c>
      <c r="C1958" s="1" t="s">
        <v>3753</v>
      </c>
      <c r="D1958" s="1" t="s">
        <v>7606</v>
      </c>
      <c r="E1958" s="1" t="str">
        <f>"2340"</f>
        <v>2340</v>
      </c>
      <c r="F1958" s="1" t="s">
        <v>84</v>
      </c>
      <c r="G1958" s="1" t="s">
        <v>85</v>
      </c>
      <c r="H1958" s="1" t="s">
        <v>16</v>
      </c>
      <c r="I1958" s="4" t="str">
        <f>"1"</f>
        <v>1</v>
      </c>
      <c r="J1958" s="2" t="str">
        <f>"19891"</f>
        <v>19891</v>
      </c>
      <c r="K1958" s="3">
        <v>46116</v>
      </c>
      <c r="L1958" s="3">
        <v>46147</v>
      </c>
      <c r="M1958" s="1" t="s">
        <v>7605</v>
      </c>
      <c r="N1958" s="1" t="s">
        <v>7604</v>
      </c>
    </row>
    <row r="1959" spans="1:14" s="1" customFormat="1" x14ac:dyDescent="0.35">
      <c r="A1959" s="1" t="s">
        <v>5171</v>
      </c>
      <c r="B1959" s="1" t="s">
        <v>3619</v>
      </c>
      <c r="C1959" s="1" t="s">
        <v>3753</v>
      </c>
      <c r="D1959" s="1" t="s">
        <v>7603</v>
      </c>
      <c r="E1959" s="1" t="str">
        <f>"8440"</f>
        <v>8440</v>
      </c>
      <c r="F1959" s="1" t="str">
        <f>"016789096"</f>
        <v>016789096</v>
      </c>
      <c r="G1959" s="1" t="s">
        <v>1970</v>
      </c>
      <c r="H1959" s="1" t="s">
        <v>311</v>
      </c>
      <c r="I1959" s="4" t="str">
        <f>"60"</f>
        <v>60</v>
      </c>
      <c r="J1959" s="2">
        <v>94.77</v>
      </c>
      <c r="K1959" s="3">
        <v>46118</v>
      </c>
      <c r="L1959" s="3">
        <v>46147</v>
      </c>
      <c r="M1959" s="1" t="s">
        <v>7602</v>
      </c>
      <c r="N1959" s="1" t="s">
        <v>7601</v>
      </c>
    </row>
    <row r="1960" spans="1:14" s="1" customFormat="1" x14ac:dyDescent="0.35">
      <c r="A1960" s="1" t="s">
        <v>5171</v>
      </c>
      <c r="B1960" s="1" t="s">
        <v>3619</v>
      </c>
      <c r="C1960" s="1" t="s">
        <v>3753</v>
      </c>
      <c r="D1960" s="1" t="s">
        <v>7600</v>
      </c>
      <c r="E1960" s="1" t="str">
        <f>"8340"</f>
        <v>8340</v>
      </c>
      <c r="F1960" s="1" t="str">
        <f>"016004809"</f>
        <v>016004809</v>
      </c>
      <c r="G1960" s="1" t="s">
        <v>888</v>
      </c>
      <c r="H1960" s="1" t="s">
        <v>16</v>
      </c>
      <c r="I1960" s="4" t="str">
        <f>"2"</f>
        <v>2</v>
      </c>
      <c r="J1960" s="2">
        <v>76.260000000000005</v>
      </c>
      <c r="K1960" s="3">
        <v>46118</v>
      </c>
      <c r="L1960" s="3">
        <v>46147</v>
      </c>
      <c r="M1960" s="1" t="s">
        <v>7599</v>
      </c>
      <c r="N1960" s="1" t="s">
        <v>7592</v>
      </c>
    </row>
    <row r="1961" spans="1:14" s="1" customFormat="1" x14ac:dyDescent="0.35">
      <c r="A1961" s="1" t="s">
        <v>5171</v>
      </c>
      <c r="B1961" s="1" t="s">
        <v>3619</v>
      </c>
      <c r="C1961" s="1" t="s">
        <v>3753</v>
      </c>
      <c r="D1961" s="1" t="s">
        <v>7598</v>
      </c>
      <c r="E1961" s="1" t="str">
        <f>"8340"</f>
        <v>8340</v>
      </c>
      <c r="F1961" s="1" t="str">
        <f>"016004807"</f>
        <v>016004807</v>
      </c>
      <c r="G1961" s="1" t="s">
        <v>888</v>
      </c>
      <c r="H1961" s="1" t="s">
        <v>16</v>
      </c>
      <c r="I1961" s="4" t="str">
        <f>"5"</f>
        <v>5</v>
      </c>
      <c r="J1961" s="2">
        <v>75.319999999999993</v>
      </c>
      <c r="K1961" s="3">
        <v>46118</v>
      </c>
      <c r="L1961" s="3">
        <v>46147</v>
      </c>
      <c r="M1961" s="1" t="s">
        <v>7597</v>
      </c>
      <c r="N1961" s="1" t="s">
        <v>7592</v>
      </c>
    </row>
    <row r="1962" spans="1:14" s="1" customFormat="1" x14ac:dyDescent="0.35">
      <c r="A1962" s="1" t="s">
        <v>5171</v>
      </c>
      <c r="B1962" s="1" t="s">
        <v>3619</v>
      </c>
      <c r="C1962" s="1" t="s">
        <v>3753</v>
      </c>
      <c r="D1962" s="1" t="s">
        <v>7596</v>
      </c>
      <c r="E1962" s="1" t="str">
        <f>"8340"</f>
        <v>8340</v>
      </c>
      <c r="F1962" s="1" t="str">
        <f>"016004809"</f>
        <v>016004809</v>
      </c>
      <c r="G1962" s="1" t="s">
        <v>888</v>
      </c>
      <c r="H1962" s="1" t="s">
        <v>16</v>
      </c>
      <c r="I1962" s="4" t="str">
        <f>"5"</f>
        <v>5</v>
      </c>
      <c r="J1962" s="2">
        <v>76.260000000000005</v>
      </c>
      <c r="K1962" s="3">
        <v>46118</v>
      </c>
      <c r="L1962" s="3">
        <v>46147</v>
      </c>
      <c r="M1962" s="1" t="s">
        <v>7595</v>
      </c>
      <c r="N1962" s="1" t="s">
        <v>7592</v>
      </c>
    </row>
    <row r="1963" spans="1:14" s="1" customFormat="1" x14ac:dyDescent="0.35">
      <c r="A1963" s="1" t="s">
        <v>5171</v>
      </c>
      <c r="B1963" s="1" t="s">
        <v>3619</v>
      </c>
      <c r="C1963" s="1" t="s">
        <v>3753</v>
      </c>
      <c r="D1963" s="1" t="s">
        <v>7594</v>
      </c>
      <c r="E1963" s="1" t="str">
        <f>"8340"</f>
        <v>8340</v>
      </c>
      <c r="F1963" s="1" t="str">
        <f>"016004807"</f>
        <v>016004807</v>
      </c>
      <c r="G1963" s="1" t="s">
        <v>888</v>
      </c>
      <c r="H1963" s="1" t="s">
        <v>16</v>
      </c>
      <c r="I1963" s="4" t="str">
        <f>"9"</f>
        <v>9</v>
      </c>
      <c r="J1963" s="2">
        <v>75.319999999999993</v>
      </c>
      <c r="K1963" s="3">
        <v>46118</v>
      </c>
      <c r="L1963" s="3">
        <v>46147</v>
      </c>
      <c r="M1963" s="1" t="s">
        <v>7593</v>
      </c>
      <c r="N1963" s="1" t="s">
        <v>7592</v>
      </c>
    </row>
    <row r="1964" spans="1:14" s="1" customFormat="1" x14ac:dyDescent="0.35">
      <c r="A1964" s="1" t="s">
        <v>5171</v>
      </c>
      <c r="B1964" s="1" t="s">
        <v>3619</v>
      </c>
      <c r="C1964" s="1" t="s">
        <v>3753</v>
      </c>
      <c r="D1964" s="1" t="s">
        <v>7591</v>
      </c>
      <c r="E1964" s="1" t="str">
        <f>"3220"</f>
        <v>3220</v>
      </c>
      <c r="F1964" s="1" t="s">
        <v>7590</v>
      </c>
      <c r="G1964" s="1" t="s">
        <v>7589</v>
      </c>
      <c r="H1964" s="1" t="s">
        <v>16</v>
      </c>
      <c r="I1964" s="4" t="str">
        <f>"1"</f>
        <v>1</v>
      </c>
      <c r="J1964" s="2" t="str">
        <f>"1500"</f>
        <v>1500</v>
      </c>
      <c r="K1964" s="3">
        <v>46121</v>
      </c>
      <c r="L1964" s="3">
        <v>46147</v>
      </c>
      <c r="M1964" s="1" t="s">
        <v>7588</v>
      </c>
      <c r="N1964" s="1" t="s">
        <v>7587</v>
      </c>
    </row>
    <row r="1965" spans="1:14" s="1" customFormat="1" x14ac:dyDescent="0.35">
      <c r="A1965" s="1" t="s">
        <v>5171</v>
      </c>
      <c r="B1965" s="1" t="s">
        <v>3619</v>
      </c>
      <c r="C1965" s="1" t="s">
        <v>3753</v>
      </c>
      <c r="D1965" s="1" t="s">
        <v>7586</v>
      </c>
      <c r="E1965" s="1" t="str">
        <f>"4140"</f>
        <v>4140</v>
      </c>
      <c r="F1965" s="1" t="s">
        <v>1013</v>
      </c>
      <c r="G1965" s="1" t="s">
        <v>1014</v>
      </c>
      <c r="H1965" s="1" t="s">
        <v>16</v>
      </c>
      <c r="I1965" s="4" t="str">
        <f>"1"</f>
        <v>1</v>
      </c>
      <c r="J1965" s="2" t="str">
        <f>"300"</f>
        <v>300</v>
      </c>
      <c r="K1965" s="3">
        <v>46121</v>
      </c>
      <c r="L1965" s="3">
        <v>46147</v>
      </c>
      <c r="M1965" s="1" t="s">
        <v>7585</v>
      </c>
      <c r="N1965" s="1" t="s">
        <v>7584</v>
      </c>
    </row>
    <row r="1966" spans="1:14" s="1" customFormat="1" x14ac:dyDescent="0.35">
      <c r="A1966" s="1" t="s">
        <v>5171</v>
      </c>
      <c r="B1966" s="1" t="s">
        <v>3619</v>
      </c>
      <c r="C1966" s="1" t="s">
        <v>3753</v>
      </c>
      <c r="D1966" s="1" t="s">
        <v>7583</v>
      </c>
      <c r="E1966" s="1" t="str">
        <f>"5180"</f>
        <v>5180</v>
      </c>
      <c r="F1966" s="1" t="str">
        <f>"014618105"</f>
        <v>014618105</v>
      </c>
      <c r="G1966" s="1" t="s">
        <v>3834</v>
      </c>
      <c r="H1966" s="1" t="s">
        <v>16</v>
      </c>
      <c r="I1966" s="4" t="str">
        <f>"1"</f>
        <v>1</v>
      </c>
      <c r="J1966" s="2">
        <v>9835.73</v>
      </c>
      <c r="K1966" s="3">
        <v>46124</v>
      </c>
      <c r="L1966" s="3">
        <v>46147</v>
      </c>
      <c r="M1966" s="1" t="s">
        <v>7582</v>
      </c>
      <c r="N1966" s="1" t="s">
        <v>7581</v>
      </c>
    </row>
    <row r="1967" spans="1:14" s="1" customFormat="1" x14ac:dyDescent="0.35">
      <c r="A1967" s="1" t="s">
        <v>5171</v>
      </c>
      <c r="B1967" s="1" t="s">
        <v>3619</v>
      </c>
      <c r="C1967" s="1" t="s">
        <v>3814</v>
      </c>
      <c r="D1967" s="1" t="s">
        <v>7580</v>
      </c>
      <c r="E1967" s="1" t="str">
        <f>"2310"</f>
        <v>2310</v>
      </c>
      <c r="F1967" s="1" t="s">
        <v>178</v>
      </c>
      <c r="G1967" s="1" t="s">
        <v>179</v>
      </c>
      <c r="H1967" s="1" t="s">
        <v>16</v>
      </c>
      <c r="I1967" s="4" t="str">
        <f>"1"</f>
        <v>1</v>
      </c>
      <c r="J1967" s="2" t="str">
        <f>"20000"</f>
        <v>20000</v>
      </c>
      <c r="K1967" s="3">
        <v>46137</v>
      </c>
      <c r="L1967" s="3">
        <v>46151</v>
      </c>
      <c r="M1967" s="1" t="s">
        <v>7579</v>
      </c>
      <c r="N1967" s="1" t="s">
        <v>7578</v>
      </c>
    </row>
    <row r="1968" spans="1:14" s="1" customFormat="1" x14ac:dyDescent="0.35">
      <c r="A1968" s="1" t="s">
        <v>5171</v>
      </c>
      <c r="B1968" s="1" t="s">
        <v>3619</v>
      </c>
      <c r="C1968" s="1" t="s">
        <v>3814</v>
      </c>
      <c r="D1968" s="1" t="s">
        <v>7577</v>
      </c>
      <c r="E1968" s="1" t="str">
        <f>"2310"</f>
        <v>2310</v>
      </c>
      <c r="F1968" s="1" t="s">
        <v>3035</v>
      </c>
      <c r="G1968" s="1" t="s">
        <v>3036</v>
      </c>
      <c r="H1968" s="1" t="s">
        <v>16</v>
      </c>
      <c r="I1968" s="4" t="str">
        <f>"1"</f>
        <v>1</v>
      </c>
      <c r="J1968" s="2" t="str">
        <f>"30840"</f>
        <v>30840</v>
      </c>
      <c r="K1968" s="3">
        <v>46137</v>
      </c>
      <c r="L1968" s="3">
        <v>46151</v>
      </c>
      <c r="M1968" s="1" t="s">
        <v>7576</v>
      </c>
      <c r="N1968" s="1" t="s">
        <v>7575</v>
      </c>
    </row>
    <row r="1969" spans="1:14" s="1" customFormat="1" x14ac:dyDescent="0.35">
      <c r="A1969" s="1" t="s">
        <v>5230</v>
      </c>
      <c r="B1969" s="1" t="s">
        <v>3619</v>
      </c>
      <c r="C1969" s="1" t="s">
        <v>3625</v>
      </c>
      <c r="D1969" s="1" t="s">
        <v>7574</v>
      </c>
      <c r="E1969" s="1" t="str">
        <f>"7025"</f>
        <v>7025</v>
      </c>
      <c r="F1969" s="1" t="s">
        <v>1128</v>
      </c>
      <c r="G1969" s="1" t="s">
        <v>1129</v>
      </c>
      <c r="H1969" s="1" t="s">
        <v>16</v>
      </c>
      <c r="I1969" s="4" t="str">
        <f>"3"</f>
        <v>3</v>
      </c>
      <c r="J1969" s="2" t="str">
        <f>"500"</f>
        <v>500</v>
      </c>
      <c r="K1969" s="3">
        <v>46154</v>
      </c>
      <c r="L1969" s="3">
        <v>46154</v>
      </c>
      <c r="N1969" s="1" t="s">
        <v>3670</v>
      </c>
    </row>
    <row r="1970" spans="1:14" s="1" customFormat="1" x14ac:dyDescent="0.35">
      <c r="A1970" s="1" t="s">
        <v>5171</v>
      </c>
      <c r="B1970" s="1" t="s">
        <v>3619</v>
      </c>
      <c r="C1970" s="1" t="s">
        <v>3620</v>
      </c>
      <c r="D1970" s="1" t="s">
        <v>7573</v>
      </c>
      <c r="E1970" s="1" t="str">
        <f>"6920"</f>
        <v>6920</v>
      </c>
      <c r="F1970" s="1" t="str">
        <f>"015649656"</f>
        <v>015649656</v>
      </c>
      <c r="G1970" s="1" t="s">
        <v>7567</v>
      </c>
      <c r="H1970" s="1" t="s">
        <v>16</v>
      </c>
      <c r="I1970" s="4" t="str">
        <f>"10"</f>
        <v>10</v>
      </c>
      <c r="J1970" s="2">
        <v>377.12</v>
      </c>
      <c r="K1970" s="3">
        <v>46156</v>
      </c>
      <c r="L1970" s="3">
        <v>46157</v>
      </c>
      <c r="M1970" s="1" t="s">
        <v>5167</v>
      </c>
      <c r="N1970" s="1" t="s">
        <v>7572</v>
      </c>
    </row>
    <row r="1971" spans="1:14" s="1" customFormat="1" x14ac:dyDescent="0.35">
      <c r="A1971" s="1" t="s">
        <v>5171</v>
      </c>
      <c r="B1971" s="1" t="s">
        <v>3619</v>
      </c>
      <c r="C1971" s="1" t="s">
        <v>3625</v>
      </c>
      <c r="D1971" s="1" t="s">
        <v>7571</v>
      </c>
      <c r="E1971" s="1" t="str">
        <f>"8145"</f>
        <v>8145</v>
      </c>
      <c r="F1971" s="1" t="s">
        <v>4173</v>
      </c>
      <c r="G1971" s="1" t="s">
        <v>4174</v>
      </c>
      <c r="H1971" s="1" t="s">
        <v>16</v>
      </c>
      <c r="I1971" s="4" t="str">
        <f>"1"</f>
        <v>1</v>
      </c>
      <c r="J1971" s="2" t="str">
        <f>"20"</f>
        <v>20</v>
      </c>
      <c r="K1971" s="3">
        <v>46146</v>
      </c>
      <c r="L1971" s="3">
        <v>46157</v>
      </c>
      <c r="M1971" s="1" t="s">
        <v>7570</v>
      </c>
      <c r="N1971" s="1" t="s">
        <v>7569</v>
      </c>
    </row>
    <row r="1972" spans="1:14" s="1" customFormat="1" x14ac:dyDescent="0.35">
      <c r="A1972" s="1" t="s">
        <v>5171</v>
      </c>
      <c r="B1972" s="1" t="s">
        <v>3619</v>
      </c>
      <c r="C1972" s="1" t="s">
        <v>3625</v>
      </c>
      <c r="D1972" s="1" t="s">
        <v>7568</v>
      </c>
      <c r="E1972" s="1" t="str">
        <f>"6920"</f>
        <v>6920</v>
      </c>
      <c r="F1972" s="1" t="str">
        <f>"015649656"</f>
        <v>015649656</v>
      </c>
      <c r="G1972" s="1" t="s">
        <v>7567</v>
      </c>
      <c r="H1972" s="1" t="s">
        <v>16</v>
      </c>
      <c r="I1972" s="4" t="str">
        <f>"4"</f>
        <v>4</v>
      </c>
      <c r="J1972" s="2">
        <v>377.12</v>
      </c>
      <c r="K1972" s="3">
        <v>46156</v>
      </c>
      <c r="L1972" s="3">
        <v>46157</v>
      </c>
      <c r="M1972" s="1" t="s">
        <v>7566</v>
      </c>
      <c r="N1972" s="1" t="s">
        <v>7565</v>
      </c>
    </row>
    <row r="1973" spans="1:14" s="1" customFormat="1" x14ac:dyDescent="0.35">
      <c r="A1973" s="1" t="s">
        <v>5171</v>
      </c>
      <c r="B1973" s="1" t="s">
        <v>3619</v>
      </c>
      <c r="C1973" s="1" t="s">
        <v>3625</v>
      </c>
      <c r="D1973" s="1" t="s">
        <v>7564</v>
      </c>
      <c r="E1973" s="1" t="str">
        <f>"5180"</f>
        <v>5180</v>
      </c>
      <c r="F1973" s="1" t="str">
        <f>"014609328"</f>
        <v>014609328</v>
      </c>
      <c r="G1973" s="1" t="s">
        <v>785</v>
      </c>
      <c r="H1973" s="1" t="s">
        <v>16</v>
      </c>
      <c r="I1973" s="4" t="str">
        <f>"1"</f>
        <v>1</v>
      </c>
      <c r="J1973" s="2">
        <v>2840.22</v>
      </c>
      <c r="K1973" s="3">
        <v>46153</v>
      </c>
      <c r="L1973" s="3">
        <v>46158</v>
      </c>
      <c r="M1973" s="1" t="s">
        <v>7563</v>
      </c>
      <c r="N1973" s="1" t="s">
        <v>3642</v>
      </c>
    </row>
    <row r="1974" spans="1:14" s="1" customFormat="1" x14ac:dyDescent="0.35">
      <c r="A1974" s="1" t="s">
        <v>5171</v>
      </c>
      <c r="B1974" s="1" t="s">
        <v>3619</v>
      </c>
      <c r="C1974" s="1" t="s">
        <v>7512</v>
      </c>
      <c r="D1974" s="1" t="s">
        <v>7562</v>
      </c>
      <c r="E1974" s="1" t="str">
        <f>"2320"</f>
        <v>2320</v>
      </c>
      <c r="F1974" s="1" t="str">
        <f>"010919076"</f>
        <v>010919076</v>
      </c>
      <c r="G1974" s="1" t="s">
        <v>2303</v>
      </c>
      <c r="H1974" s="1" t="s">
        <v>16</v>
      </c>
      <c r="I1974" s="4" t="str">
        <f>"1"</f>
        <v>1</v>
      </c>
      <c r="J1974" s="2" t="str">
        <f>"18044"</f>
        <v>18044</v>
      </c>
      <c r="K1974" s="3">
        <v>46160</v>
      </c>
      <c r="L1974" s="3">
        <v>46161</v>
      </c>
      <c r="M1974" s="1" t="s">
        <v>7561</v>
      </c>
      <c r="N1974" s="1" t="s">
        <v>7551</v>
      </c>
    </row>
    <row r="1975" spans="1:14" s="1" customFormat="1" x14ac:dyDescent="0.35">
      <c r="A1975" s="1" t="s">
        <v>5171</v>
      </c>
      <c r="B1975" s="1" t="s">
        <v>3619</v>
      </c>
      <c r="C1975" s="1" t="s">
        <v>3625</v>
      </c>
      <c r="D1975" s="1" t="s">
        <v>7560</v>
      </c>
      <c r="E1975" s="1" t="str">
        <f>"7025"</f>
        <v>7025</v>
      </c>
      <c r="F1975" s="1" t="s">
        <v>1128</v>
      </c>
      <c r="G1975" s="1" t="s">
        <v>1129</v>
      </c>
      <c r="H1975" s="1" t="s">
        <v>16</v>
      </c>
      <c r="I1975" s="4" t="str">
        <f>"2"</f>
        <v>2</v>
      </c>
      <c r="J1975" s="2" t="str">
        <f>"400"</f>
        <v>400</v>
      </c>
      <c r="K1975" s="3">
        <v>46156</v>
      </c>
      <c r="L1975" s="3">
        <v>46162</v>
      </c>
      <c r="M1975" s="1" t="s">
        <v>7559</v>
      </c>
      <c r="N1975" s="1" t="s">
        <v>7558</v>
      </c>
    </row>
    <row r="1976" spans="1:14" s="1" customFormat="1" x14ac:dyDescent="0.35">
      <c r="A1976" s="1" t="s">
        <v>5171</v>
      </c>
      <c r="B1976" s="1" t="s">
        <v>3619</v>
      </c>
      <c r="C1976" s="1" t="s">
        <v>3625</v>
      </c>
      <c r="D1976" s="1" t="s">
        <v>7557</v>
      </c>
      <c r="E1976" s="1" t="str">
        <f>"7025"</f>
        <v>7025</v>
      </c>
      <c r="F1976" s="1" t="s">
        <v>1128</v>
      </c>
      <c r="G1976" s="1" t="s">
        <v>1129</v>
      </c>
      <c r="H1976" s="1" t="s">
        <v>16</v>
      </c>
      <c r="I1976" s="4" t="str">
        <f>"2"</f>
        <v>2</v>
      </c>
      <c r="J1976" s="2" t="str">
        <f>"400"</f>
        <v>400</v>
      </c>
      <c r="K1976" s="3">
        <v>46161</v>
      </c>
      <c r="L1976" s="3">
        <v>46163</v>
      </c>
      <c r="M1976" s="1" t="s">
        <v>5469</v>
      </c>
      <c r="N1976" s="1" t="s">
        <v>7556</v>
      </c>
    </row>
    <row r="1977" spans="1:14" s="1" customFormat="1" x14ac:dyDescent="0.35">
      <c r="A1977" s="1" t="s">
        <v>5171</v>
      </c>
      <c r="B1977" s="1" t="s">
        <v>3619</v>
      </c>
      <c r="C1977" s="1" t="s">
        <v>3625</v>
      </c>
      <c r="D1977" s="1" t="s">
        <v>7555</v>
      </c>
      <c r="E1977" s="1" t="str">
        <f>"5965"</f>
        <v>5965</v>
      </c>
      <c r="F1977" s="1" t="str">
        <f>"016190258"</f>
        <v>016190258</v>
      </c>
      <c r="G1977" s="1" t="s">
        <v>1561</v>
      </c>
      <c r="H1977" s="1" t="s">
        <v>16</v>
      </c>
      <c r="I1977" s="4" t="str">
        <f>"6"</f>
        <v>6</v>
      </c>
      <c r="J1977" s="2" t="str">
        <f>"3049"</f>
        <v>3049</v>
      </c>
      <c r="K1977" s="3">
        <v>46161</v>
      </c>
      <c r="L1977" s="3">
        <v>46163</v>
      </c>
      <c r="N1977" s="1" t="s">
        <v>7554</v>
      </c>
    </row>
    <row r="1978" spans="1:14" s="1" customFormat="1" x14ac:dyDescent="0.35">
      <c r="A1978" s="1" t="s">
        <v>5171</v>
      </c>
      <c r="B1978" s="1" t="s">
        <v>3619</v>
      </c>
      <c r="C1978" s="1" t="s">
        <v>7512</v>
      </c>
      <c r="D1978" s="1" t="s">
        <v>7553</v>
      </c>
      <c r="E1978" s="1" t="str">
        <f>"2320"</f>
        <v>2320</v>
      </c>
      <c r="F1978" s="1" t="str">
        <f>"010919076"</f>
        <v>010919076</v>
      </c>
      <c r="G1978" s="1" t="s">
        <v>2303</v>
      </c>
      <c r="H1978" s="1" t="s">
        <v>16</v>
      </c>
      <c r="I1978" s="4" t="str">
        <f>"1"</f>
        <v>1</v>
      </c>
      <c r="J1978" s="2" t="str">
        <f>"18044"</f>
        <v>18044</v>
      </c>
      <c r="K1978" s="3">
        <v>46160</v>
      </c>
      <c r="L1978" s="3">
        <v>46164</v>
      </c>
      <c r="M1978" s="1" t="s">
        <v>7552</v>
      </c>
      <c r="N1978" s="1" t="s">
        <v>7551</v>
      </c>
    </row>
    <row r="1979" spans="1:14" s="1" customFormat="1" x14ac:dyDescent="0.35">
      <c r="A1979" s="1" t="s">
        <v>5171</v>
      </c>
      <c r="B1979" s="1" t="s">
        <v>3619</v>
      </c>
      <c r="C1979" s="1" t="s">
        <v>3625</v>
      </c>
      <c r="D1979" s="1" t="s">
        <v>7550</v>
      </c>
      <c r="E1979" s="1" t="str">
        <f>"2330"</f>
        <v>2330</v>
      </c>
      <c r="F1979" s="1" t="s">
        <v>70</v>
      </c>
      <c r="G1979" s="1" t="s">
        <v>71</v>
      </c>
      <c r="H1979" s="1" t="s">
        <v>16</v>
      </c>
      <c r="I1979" s="4" t="str">
        <f>"1"</f>
        <v>1</v>
      </c>
      <c r="J1979" s="2" t="str">
        <f>"14000"</f>
        <v>14000</v>
      </c>
      <c r="K1979" s="3">
        <v>46153</v>
      </c>
      <c r="L1979" s="3">
        <v>46165</v>
      </c>
      <c r="M1979" s="1" t="s">
        <v>7549</v>
      </c>
      <c r="N1979" s="1" t="s">
        <v>7544</v>
      </c>
    </row>
    <row r="1980" spans="1:14" s="1" customFormat="1" x14ac:dyDescent="0.35">
      <c r="A1980" s="1" t="s">
        <v>5171</v>
      </c>
      <c r="B1980" s="1" t="s">
        <v>3619</v>
      </c>
      <c r="C1980" s="1" t="s">
        <v>3625</v>
      </c>
      <c r="D1980" s="1" t="s">
        <v>7548</v>
      </c>
      <c r="E1980" s="1" t="str">
        <f>"2330"</f>
        <v>2330</v>
      </c>
      <c r="F1980" s="1" t="s">
        <v>70</v>
      </c>
      <c r="G1980" s="1" t="s">
        <v>71</v>
      </c>
      <c r="H1980" s="1" t="s">
        <v>16</v>
      </c>
      <c r="I1980" s="4" t="str">
        <f>"1"</f>
        <v>1</v>
      </c>
      <c r="J1980" s="2" t="str">
        <f>"14000"</f>
        <v>14000</v>
      </c>
      <c r="K1980" s="3">
        <v>46153</v>
      </c>
      <c r="L1980" s="3">
        <v>46165</v>
      </c>
      <c r="M1980" s="1" t="s">
        <v>7547</v>
      </c>
      <c r="N1980" s="1" t="s">
        <v>7544</v>
      </c>
    </row>
    <row r="1981" spans="1:14" s="1" customFormat="1" x14ac:dyDescent="0.35">
      <c r="A1981" s="1" t="s">
        <v>5171</v>
      </c>
      <c r="B1981" s="1" t="s">
        <v>3619</v>
      </c>
      <c r="C1981" s="1" t="s">
        <v>3625</v>
      </c>
      <c r="D1981" s="1" t="s">
        <v>7546</v>
      </c>
      <c r="E1981" s="1" t="str">
        <f>"2330"</f>
        <v>2330</v>
      </c>
      <c r="F1981" s="1" t="s">
        <v>70</v>
      </c>
      <c r="G1981" s="1" t="s">
        <v>71</v>
      </c>
      <c r="H1981" s="1" t="s">
        <v>16</v>
      </c>
      <c r="I1981" s="4" t="str">
        <f>"1"</f>
        <v>1</v>
      </c>
      <c r="J1981" s="2" t="str">
        <f>"14000"</f>
        <v>14000</v>
      </c>
      <c r="K1981" s="3">
        <v>46153</v>
      </c>
      <c r="L1981" s="3">
        <v>46165</v>
      </c>
      <c r="M1981" s="1" t="s">
        <v>7545</v>
      </c>
      <c r="N1981" s="1" t="s">
        <v>7544</v>
      </c>
    </row>
    <row r="1982" spans="1:14" s="1" customFormat="1" x14ac:dyDescent="0.35">
      <c r="A1982" s="1" t="s">
        <v>5171</v>
      </c>
      <c r="B1982" s="1" t="s">
        <v>3619</v>
      </c>
      <c r="C1982" s="1" t="s">
        <v>3814</v>
      </c>
      <c r="D1982" s="1" t="s">
        <v>7543</v>
      </c>
      <c r="E1982" s="1" t="str">
        <f>"5855"</f>
        <v>5855</v>
      </c>
      <c r="F1982" s="1" t="str">
        <f>"015485687"</f>
        <v>015485687</v>
      </c>
      <c r="G1982" s="1" t="s">
        <v>1921</v>
      </c>
      <c r="H1982" s="1" t="s">
        <v>16</v>
      </c>
      <c r="I1982" s="4" t="str">
        <f>"1"</f>
        <v>1</v>
      </c>
      <c r="J1982" s="2" t="str">
        <f>"10402"</f>
        <v>10402</v>
      </c>
      <c r="K1982" s="3">
        <v>46157</v>
      </c>
      <c r="L1982" s="3">
        <v>46165</v>
      </c>
      <c r="M1982" s="1" t="s">
        <v>7542</v>
      </c>
      <c r="N1982" s="1" t="s">
        <v>7493</v>
      </c>
    </row>
    <row r="1983" spans="1:14" s="1" customFormat="1" x14ac:dyDescent="0.35">
      <c r="A1983" s="1" t="s">
        <v>5171</v>
      </c>
      <c r="B1983" s="1" t="s">
        <v>3619</v>
      </c>
      <c r="C1983" s="1" t="s">
        <v>3814</v>
      </c>
      <c r="D1983" s="1" t="s">
        <v>7541</v>
      </c>
      <c r="E1983" s="1" t="str">
        <f>"5855"</f>
        <v>5855</v>
      </c>
      <c r="F1983" s="1" t="str">
        <f>"015485687"</f>
        <v>015485687</v>
      </c>
      <c r="G1983" s="1" t="s">
        <v>1921</v>
      </c>
      <c r="H1983" s="1" t="s">
        <v>16</v>
      </c>
      <c r="I1983" s="4" t="str">
        <f>"1"</f>
        <v>1</v>
      </c>
      <c r="J1983" s="2" t="str">
        <f>"10402"</f>
        <v>10402</v>
      </c>
      <c r="K1983" s="3">
        <v>46157</v>
      </c>
      <c r="L1983" s="3">
        <v>46165</v>
      </c>
      <c r="M1983" s="1" t="s">
        <v>7540</v>
      </c>
      <c r="N1983" s="1" t="s">
        <v>7493</v>
      </c>
    </row>
    <row r="1984" spans="1:14" s="1" customFormat="1" x14ac:dyDescent="0.35">
      <c r="A1984" s="1" t="s">
        <v>5171</v>
      </c>
      <c r="B1984" s="1" t="s">
        <v>3619</v>
      </c>
      <c r="C1984" s="1" t="s">
        <v>3814</v>
      </c>
      <c r="D1984" s="1" t="s">
        <v>7539</v>
      </c>
      <c r="E1984" s="1" t="str">
        <f>"5855"</f>
        <v>5855</v>
      </c>
      <c r="F1984" s="1" t="str">
        <f>"015485687"</f>
        <v>015485687</v>
      </c>
      <c r="G1984" s="1" t="s">
        <v>1921</v>
      </c>
      <c r="H1984" s="1" t="s">
        <v>16</v>
      </c>
      <c r="I1984" s="4" t="str">
        <f>"1"</f>
        <v>1</v>
      </c>
      <c r="J1984" s="2" t="str">
        <f>"10402"</f>
        <v>10402</v>
      </c>
      <c r="K1984" s="3">
        <v>46157</v>
      </c>
      <c r="L1984" s="3">
        <v>46165</v>
      </c>
      <c r="M1984" s="1" t="s">
        <v>7538</v>
      </c>
      <c r="N1984" s="1" t="s">
        <v>7493</v>
      </c>
    </row>
    <row r="1985" spans="1:14" s="1" customFormat="1" x14ac:dyDescent="0.35">
      <c r="A1985" s="1" t="s">
        <v>5171</v>
      </c>
      <c r="B1985" s="1" t="s">
        <v>3619</v>
      </c>
      <c r="C1985" s="1" t="s">
        <v>7537</v>
      </c>
      <c r="D1985" s="1" t="s">
        <v>7536</v>
      </c>
      <c r="E1985" s="1" t="str">
        <f>"2340"</f>
        <v>2340</v>
      </c>
      <c r="F1985" s="1" t="s">
        <v>84</v>
      </c>
      <c r="G1985" s="1" t="s">
        <v>85</v>
      </c>
      <c r="H1985" s="1" t="s">
        <v>16</v>
      </c>
      <c r="I1985" s="4" t="str">
        <f>"1"</f>
        <v>1</v>
      </c>
      <c r="J1985" s="2" t="str">
        <f>"10000"</f>
        <v>10000</v>
      </c>
      <c r="K1985" s="3">
        <v>46153</v>
      </c>
      <c r="L1985" s="3">
        <v>46165</v>
      </c>
      <c r="M1985" s="1" t="s">
        <v>7535</v>
      </c>
      <c r="N1985" s="1" t="s">
        <v>7534</v>
      </c>
    </row>
    <row r="1986" spans="1:14" s="1" customFormat="1" x14ac:dyDescent="0.35">
      <c r="A1986" s="1" t="s">
        <v>5171</v>
      </c>
      <c r="B1986" s="1" t="s">
        <v>3619</v>
      </c>
      <c r="C1986" s="1" t="s">
        <v>3814</v>
      </c>
      <c r="D1986" s="1" t="s">
        <v>7533</v>
      </c>
      <c r="E1986" s="1" t="str">
        <f>"5855"</f>
        <v>5855</v>
      </c>
      <c r="F1986" s="1" t="str">
        <f>"014502333"</f>
        <v>014502333</v>
      </c>
      <c r="G1986" s="1" t="s">
        <v>7066</v>
      </c>
      <c r="H1986" s="1" t="s">
        <v>16</v>
      </c>
      <c r="I1986" s="4" t="str">
        <f>"1"</f>
        <v>1</v>
      </c>
      <c r="J1986" s="2">
        <v>10295.540000000001</v>
      </c>
      <c r="K1986" s="3">
        <v>46167</v>
      </c>
      <c r="L1986" s="3">
        <v>46169</v>
      </c>
      <c r="M1986" s="1" t="s">
        <v>7532</v>
      </c>
      <c r="N1986" s="1" t="s">
        <v>7503</v>
      </c>
    </row>
    <row r="1987" spans="1:14" s="1" customFormat="1" x14ac:dyDescent="0.35">
      <c r="A1987" s="1" t="s">
        <v>5171</v>
      </c>
      <c r="B1987" s="1" t="s">
        <v>3619</v>
      </c>
      <c r="C1987" s="1" t="s">
        <v>3625</v>
      </c>
      <c r="D1987" s="1" t="s">
        <v>7531</v>
      </c>
      <c r="E1987" s="1" t="str">
        <f>"3990"</f>
        <v>3990</v>
      </c>
      <c r="F1987" s="1" t="str">
        <f>"016884520"</f>
        <v>016884520</v>
      </c>
      <c r="G1987" s="1" t="s">
        <v>7466</v>
      </c>
      <c r="H1987" s="1" t="s">
        <v>16</v>
      </c>
      <c r="I1987" s="4" t="str">
        <f>"5"</f>
        <v>5</v>
      </c>
      <c r="J1987" s="2">
        <v>22.24</v>
      </c>
      <c r="K1987" s="3">
        <v>46165</v>
      </c>
      <c r="L1987" s="3">
        <v>46171</v>
      </c>
      <c r="M1987" s="1" t="s">
        <v>7530</v>
      </c>
      <c r="N1987" s="1" t="s">
        <v>7529</v>
      </c>
    </row>
    <row r="1988" spans="1:14" s="1" customFormat="1" x14ac:dyDescent="0.35">
      <c r="A1988" s="1" t="s">
        <v>5171</v>
      </c>
      <c r="B1988" s="1" t="s">
        <v>3619</v>
      </c>
      <c r="C1988" s="1" t="s">
        <v>3625</v>
      </c>
      <c r="D1988" s="1" t="s">
        <v>7528</v>
      </c>
      <c r="E1988" s="1" t="str">
        <f>"7045"</f>
        <v>7045</v>
      </c>
      <c r="F1988" s="1" t="str">
        <f>"015702661"</f>
        <v>015702661</v>
      </c>
      <c r="G1988" s="1" t="s">
        <v>7527</v>
      </c>
      <c r="H1988" s="1" t="s">
        <v>16</v>
      </c>
      <c r="I1988" s="4" t="str">
        <f>"3"</f>
        <v>3</v>
      </c>
      <c r="J1988" s="2">
        <v>40.5</v>
      </c>
      <c r="K1988" s="3">
        <v>46165</v>
      </c>
      <c r="L1988" s="3">
        <v>46171</v>
      </c>
      <c r="M1988" s="1" t="s">
        <v>7526</v>
      </c>
      <c r="N1988" s="1" t="s">
        <v>7525</v>
      </c>
    </row>
    <row r="1989" spans="1:14" s="1" customFormat="1" x14ac:dyDescent="0.35">
      <c r="A1989" s="1" t="s">
        <v>5171</v>
      </c>
      <c r="B1989" s="1" t="s">
        <v>3619</v>
      </c>
      <c r="C1989" s="1" t="s">
        <v>3750</v>
      </c>
      <c r="D1989" s="1" t="s">
        <v>7524</v>
      </c>
      <c r="E1989" s="1" t="str">
        <f>"5440"</f>
        <v>5440</v>
      </c>
      <c r="F1989" s="1" t="s">
        <v>142</v>
      </c>
      <c r="G1989" s="1" t="s">
        <v>143</v>
      </c>
      <c r="H1989" s="1" t="s">
        <v>16</v>
      </c>
      <c r="I1989" s="4" t="str">
        <f>"3"</f>
        <v>3</v>
      </c>
      <c r="J1989" s="2">
        <v>711.26</v>
      </c>
      <c r="K1989" s="3">
        <v>46142</v>
      </c>
      <c r="L1989" s="3">
        <v>46174</v>
      </c>
      <c r="M1989" s="1" t="s">
        <v>7523</v>
      </c>
      <c r="N1989" s="1" t="s">
        <v>7522</v>
      </c>
    </row>
    <row r="1990" spans="1:14" s="1" customFormat="1" x14ac:dyDescent="0.35">
      <c r="A1990" s="1" t="s">
        <v>5171</v>
      </c>
      <c r="B1990" s="1" t="s">
        <v>3619</v>
      </c>
      <c r="C1990" s="1" t="s">
        <v>3750</v>
      </c>
      <c r="D1990" s="1" t="s">
        <v>7521</v>
      </c>
      <c r="E1990" s="1" t="str">
        <f>"8465"</f>
        <v>8465</v>
      </c>
      <c r="F1990" s="1" t="str">
        <f>"015851512"</f>
        <v>015851512</v>
      </c>
      <c r="G1990" s="1" t="s">
        <v>1750</v>
      </c>
      <c r="H1990" s="1" t="s">
        <v>458</v>
      </c>
      <c r="I1990" s="4" t="str">
        <f>"4"</f>
        <v>4</v>
      </c>
      <c r="J1990" s="2">
        <v>115.92</v>
      </c>
      <c r="K1990" s="3">
        <v>46142</v>
      </c>
      <c r="L1990" s="3">
        <v>46174</v>
      </c>
      <c r="M1990" s="1" t="s">
        <v>7520</v>
      </c>
      <c r="N1990" s="1" t="s">
        <v>7519</v>
      </c>
    </row>
    <row r="1991" spans="1:14" s="1" customFormat="1" x14ac:dyDescent="0.35">
      <c r="A1991" s="1" t="s">
        <v>5171</v>
      </c>
      <c r="B1991" s="1" t="s">
        <v>3619</v>
      </c>
      <c r="C1991" s="1" t="s">
        <v>3750</v>
      </c>
      <c r="D1991" s="1" t="s">
        <v>7518</v>
      </c>
      <c r="E1991" s="1" t="str">
        <f>"8430"</f>
        <v>8430</v>
      </c>
      <c r="F1991" s="1" t="s">
        <v>522</v>
      </c>
      <c r="G1991" s="1" t="s">
        <v>523</v>
      </c>
      <c r="H1991" s="1" t="s">
        <v>311</v>
      </c>
      <c r="I1991" s="4" t="str">
        <f>"3"</f>
        <v>3</v>
      </c>
      <c r="J1991" s="2" t="str">
        <f>"25"</f>
        <v>25</v>
      </c>
      <c r="K1991" s="3">
        <v>46142</v>
      </c>
      <c r="L1991" s="3">
        <v>46174</v>
      </c>
      <c r="M1991" s="1" t="s">
        <v>7517</v>
      </c>
      <c r="N1991" s="1" t="s">
        <v>7516</v>
      </c>
    </row>
    <row r="1992" spans="1:14" s="1" customFormat="1" x14ac:dyDescent="0.35">
      <c r="A1992" s="1" t="s">
        <v>5171</v>
      </c>
      <c r="B1992" s="1" t="s">
        <v>3619</v>
      </c>
      <c r="C1992" s="1" t="s">
        <v>3814</v>
      </c>
      <c r="D1992" s="1" t="s">
        <v>7515</v>
      </c>
      <c r="E1992" s="1" t="str">
        <f>"1240"</f>
        <v>1240</v>
      </c>
      <c r="F1992" s="1" t="str">
        <f>"015065920"</f>
        <v>015065920</v>
      </c>
      <c r="G1992" s="1" t="s">
        <v>175</v>
      </c>
      <c r="H1992" s="1" t="s">
        <v>16</v>
      </c>
      <c r="I1992" s="4" t="str">
        <f>"6"</f>
        <v>6</v>
      </c>
      <c r="J1992" s="2">
        <v>1185.0999999999999</v>
      </c>
      <c r="K1992" s="3">
        <v>46154</v>
      </c>
      <c r="L1992" s="3">
        <v>46174</v>
      </c>
      <c r="M1992" s="1" t="s">
        <v>7514</v>
      </c>
      <c r="N1992" s="1" t="s">
        <v>7513</v>
      </c>
    </row>
    <row r="1993" spans="1:14" s="1" customFormat="1" x14ac:dyDescent="0.35">
      <c r="A1993" s="1" t="s">
        <v>5171</v>
      </c>
      <c r="B1993" s="1" t="s">
        <v>3619</v>
      </c>
      <c r="C1993" s="1" t="s">
        <v>7512</v>
      </c>
      <c r="D1993" s="1" t="s">
        <v>7511</v>
      </c>
      <c r="E1993" s="1" t="str">
        <f>"5855"</f>
        <v>5855</v>
      </c>
      <c r="F1993" s="1" t="str">
        <f>"015485687"</f>
        <v>015485687</v>
      </c>
      <c r="G1993" s="1" t="s">
        <v>1921</v>
      </c>
      <c r="H1993" s="1" t="s">
        <v>16</v>
      </c>
      <c r="I1993" s="4" t="str">
        <f>"10"</f>
        <v>10</v>
      </c>
      <c r="J1993" s="2" t="str">
        <f>"10402"</f>
        <v>10402</v>
      </c>
      <c r="K1993" s="3">
        <v>46079</v>
      </c>
      <c r="L1993" s="3">
        <v>46176</v>
      </c>
      <c r="M1993" s="1" t="s">
        <v>7510</v>
      </c>
      <c r="N1993" s="1" t="s">
        <v>7509</v>
      </c>
    </row>
    <row r="1994" spans="1:14" s="1" customFormat="1" x14ac:dyDescent="0.35">
      <c r="A1994" s="1" t="s">
        <v>5171</v>
      </c>
      <c r="B1994" s="1" t="s">
        <v>3619</v>
      </c>
      <c r="C1994" s="1" t="s">
        <v>3625</v>
      </c>
      <c r="D1994" s="1" t="s">
        <v>7508</v>
      </c>
      <c r="E1994" s="1" t="str">
        <f>"3990"</f>
        <v>3990</v>
      </c>
      <c r="F1994" s="1" t="str">
        <f>"016884520"</f>
        <v>016884520</v>
      </c>
      <c r="G1994" s="1" t="s">
        <v>7466</v>
      </c>
      <c r="H1994" s="1" t="s">
        <v>16</v>
      </c>
      <c r="I1994" s="4" t="str">
        <f>"5"</f>
        <v>5</v>
      </c>
      <c r="J1994" s="2">
        <v>22.24</v>
      </c>
      <c r="K1994" s="3">
        <v>46174</v>
      </c>
      <c r="L1994" s="3">
        <v>46176</v>
      </c>
      <c r="M1994" s="1" t="s">
        <v>7507</v>
      </c>
      <c r="N1994" s="1" t="s">
        <v>7506</v>
      </c>
    </row>
    <row r="1995" spans="1:14" s="1" customFormat="1" x14ac:dyDescent="0.35">
      <c r="A1995" s="1" t="s">
        <v>5171</v>
      </c>
      <c r="B1995" s="1" t="s">
        <v>3619</v>
      </c>
      <c r="C1995" s="1" t="s">
        <v>3814</v>
      </c>
      <c r="D1995" s="1" t="s">
        <v>7505</v>
      </c>
      <c r="E1995" s="1" t="str">
        <f>"5855"</f>
        <v>5855</v>
      </c>
      <c r="F1995" s="1" t="str">
        <f>"014502333"</f>
        <v>014502333</v>
      </c>
      <c r="G1995" s="1" t="s">
        <v>7066</v>
      </c>
      <c r="H1995" s="1" t="s">
        <v>16</v>
      </c>
      <c r="I1995" s="4" t="str">
        <f>"1"</f>
        <v>1</v>
      </c>
      <c r="J1995" s="2">
        <v>10295.540000000001</v>
      </c>
      <c r="K1995" s="3">
        <v>46167</v>
      </c>
      <c r="L1995" s="3">
        <v>46179</v>
      </c>
      <c r="M1995" s="1" t="s">
        <v>7504</v>
      </c>
      <c r="N1995" s="1" t="s">
        <v>7503</v>
      </c>
    </row>
    <row r="1996" spans="1:14" s="1" customFormat="1" x14ac:dyDescent="0.35">
      <c r="A1996" s="1" t="s">
        <v>5171</v>
      </c>
      <c r="B1996" s="1" t="s">
        <v>3619</v>
      </c>
      <c r="C1996" s="1" t="s">
        <v>3814</v>
      </c>
      <c r="D1996" s="1" t="s">
        <v>7502</v>
      </c>
      <c r="E1996" s="1" t="str">
        <f>"1940"</f>
        <v>1940</v>
      </c>
      <c r="F1996" s="1" t="s">
        <v>1503</v>
      </c>
      <c r="G1996" s="1" t="s">
        <v>1504</v>
      </c>
      <c r="H1996" s="1" t="s">
        <v>16</v>
      </c>
      <c r="I1996" s="4" t="str">
        <f>"4"</f>
        <v>4</v>
      </c>
      <c r="J1996" s="2">
        <v>24770.79</v>
      </c>
      <c r="K1996" s="3">
        <v>46134</v>
      </c>
      <c r="L1996" s="3">
        <v>46181</v>
      </c>
      <c r="M1996" s="1" t="s">
        <v>7501</v>
      </c>
      <c r="N1996" s="1" t="s">
        <v>7500</v>
      </c>
    </row>
    <row r="1997" spans="1:14" s="1" customFormat="1" x14ac:dyDescent="0.35">
      <c r="A1997" s="1" t="s">
        <v>5171</v>
      </c>
      <c r="B1997" s="1" t="s">
        <v>3619</v>
      </c>
      <c r="C1997" s="1" t="s">
        <v>3814</v>
      </c>
      <c r="D1997" s="1" t="s">
        <v>7499</v>
      </c>
      <c r="E1997" s="1" t="str">
        <f>"5855"</f>
        <v>5855</v>
      </c>
      <c r="F1997" s="1" t="str">
        <f>"015485687"</f>
        <v>015485687</v>
      </c>
      <c r="G1997" s="1" t="s">
        <v>1921</v>
      </c>
      <c r="H1997" s="1" t="s">
        <v>16</v>
      </c>
      <c r="I1997" s="4" t="str">
        <f>"1"</f>
        <v>1</v>
      </c>
      <c r="J1997" s="2" t="str">
        <f>"10402"</f>
        <v>10402</v>
      </c>
      <c r="K1997" s="3">
        <v>46157</v>
      </c>
      <c r="L1997" s="3">
        <v>46185</v>
      </c>
      <c r="M1997" s="1" t="s">
        <v>7498</v>
      </c>
      <c r="N1997" s="1" t="s">
        <v>7493</v>
      </c>
    </row>
    <row r="1998" spans="1:14" s="1" customFormat="1" x14ac:dyDescent="0.35">
      <c r="A1998" s="1" t="s">
        <v>5171</v>
      </c>
      <c r="B1998" s="1" t="s">
        <v>3619</v>
      </c>
      <c r="C1998" s="1" t="s">
        <v>3814</v>
      </c>
      <c r="D1998" s="1" t="s">
        <v>7497</v>
      </c>
      <c r="E1998" s="1" t="str">
        <f>"5855"</f>
        <v>5855</v>
      </c>
      <c r="F1998" s="1" t="str">
        <f>"015485687"</f>
        <v>015485687</v>
      </c>
      <c r="G1998" s="1" t="s">
        <v>1921</v>
      </c>
      <c r="H1998" s="1" t="s">
        <v>16</v>
      </c>
      <c r="I1998" s="4" t="str">
        <f>"1"</f>
        <v>1</v>
      </c>
      <c r="J1998" s="2" t="str">
        <f>"10402"</f>
        <v>10402</v>
      </c>
      <c r="K1998" s="3">
        <v>46157</v>
      </c>
      <c r="L1998" s="3">
        <v>46185</v>
      </c>
      <c r="M1998" s="1" t="s">
        <v>7496</v>
      </c>
      <c r="N1998" s="1" t="s">
        <v>7493</v>
      </c>
    </row>
    <row r="1999" spans="1:14" s="1" customFormat="1" x14ac:dyDescent="0.35">
      <c r="A1999" s="1" t="s">
        <v>5171</v>
      </c>
      <c r="B1999" s="1" t="s">
        <v>3619</v>
      </c>
      <c r="C1999" s="1" t="s">
        <v>3814</v>
      </c>
      <c r="D1999" s="1" t="s">
        <v>7495</v>
      </c>
      <c r="E1999" s="1" t="str">
        <f>"5855"</f>
        <v>5855</v>
      </c>
      <c r="F1999" s="1" t="str">
        <f>"015485687"</f>
        <v>015485687</v>
      </c>
      <c r="G1999" s="1" t="s">
        <v>1921</v>
      </c>
      <c r="H1999" s="1" t="s">
        <v>16</v>
      </c>
      <c r="I1999" s="4" t="str">
        <f>"1"</f>
        <v>1</v>
      </c>
      <c r="J1999" s="2" t="str">
        <f>"10402"</f>
        <v>10402</v>
      </c>
      <c r="K1999" s="3">
        <v>46157</v>
      </c>
      <c r="L1999" s="3">
        <v>46185</v>
      </c>
      <c r="M1999" s="1" t="s">
        <v>7494</v>
      </c>
      <c r="N1999" s="1" t="s">
        <v>7493</v>
      </c>
    </row>
    <row r="2000" spans="1:14" s="1" customFormat="1" x14ac:dyDescent="0.35">
      <c r="A2000" s="1" t="s">
        <v>5216</v>
      </c>
      <c r="B2000" s="1" t="s">
        <v>3619</v>
      </c>
      <c r="C2000" s="1" t="s">
        <v>7474</v>
      </c>
      <c r="D2000" s="1" t="s">
        <v>7492</v>
      </c>
      <c r="E2000" s="1" t="str">
        <f>"8465"</f>
        <v>8465</v>
      </c>
      <c r="F2000" s="1" t="str">
        <f>"015245250"</f>
        <v>015245250</v>
      </c>
      <c r="G2000" s="1" t="s">
        <v>529</v>
      </c>
      <c r="H2000" s="1" t="s">
        <v>16</v>
      </c>
      <c r="I2000" s="4" t="str">
        <f>"20"</f>
        <v>20</v>
      </c>
      <c r="J2000" s="2">
        <v>75.150000000000006</v>
      </c>
      <c r="K2000" s="3">
        <v>46188</v>
      </c>
      <c r="L2000" s="3">
        <v>46190</v>
      </c>
      <c r="M2000" s="1" t="s">
        <v>7472</v>
      </c>
      <c r="N2000" s="1" t="s">
        <v>7491</v>
      </c>
    </row>
    <row r="2001" spans="1:14" s="1" customFormat="1" x14ac:dyDescent="0.35">
      <c r="A2001" s="1" t="s">
        <v>5216</v>
      </c>
      <c r="B2001" s="1" t="s">
        <v>3619</v>
      </c>
      <c r="C2001" s="1" t="s">
        <v>7474</v>
      </c>
      <c r="D2001" s="1" t="s">
        <v>7490</v>
      </c>
      <c r="E2001" s="1" t="str">
        <f>"6545"</f>
        <v>6545</v>
      </c>
      <c r="F2001" s="1" t="str">
        <f>"009196650"</f>
        <v>009196650</v>
      </c>
      <c r="G2001" s="1" t="s">
        <v>3659</v>
      </c>
      <c r="H2001" s="1" t="s">
        <v>458</v>
      </c>
      <c r="I2001" s="4" t="str">
        <f>"7"</f>
        <v>7</v>
      </c>
      <c r="J2001" s="2">
        <v>85.83</v>
      </c>
      <c r="K2001" s="3">
        <v>46188</v>
      </c>
      <c r="L2001" s="3">
        <v>46190</v>
      </c>
      <c r="M2001" s="1" t="s">
        <v>7472</v>
      </c>
      <c r="N2001" s="1" t="s">
        <v>7471</v>
      </c>
    </row>
    <row r="2002" spans="1:14" s="1" customFormat="1" x14ac:dyDescent="0.35">
      <c r="A2002" s="1" t="s">
        <v>5216</v>
      </c>
      <c r="B2002" s="1" t="s">
        <v>3619</v>
      </c>
      <c r="C2002" s="1" t="s">
        <v>7474</v>
      </c>
      <c r="D2002" s="1" t="s">
        <v>7489</v>
      </c>
      <c r="E2002" s="1" t="str">
        <f>"8465"</f>
        <v>8465</v>
      </c>
      <c r="F2002" s="1" t="str">
        <f>"015801560"</f>
        <v>015801560</v>
      </c>
      <c r="G2002" s="1" t="s">
        <v>4075</v>
      </c>
      <c r="H2002" s="1" t="s">
        <v>16</v>
      </c>
      <c r="I2002" s="4" t="str">
        <f>"7"</f>
        <v>7</v>
      </c>
      <c r="J2002" s="2">
        <v>77.33</v>
      </c>
      <c r="K2002" s="3">
        <v>46188</v>
      </c>
      <c r="L2002" s="3">
        <v>46190</v>
      </c>
      <c r="M2002" s="1" t="s">
        <v>7472</v>
      </c>
      <c r="N2002" s="1" t="s">
        <v>7488</v>
      </c>
    </row>
    <row r="2003" spans="1:14" s="1" customFormat="1" x14ac:dyDescent="0.35">
      <c r="A2003" s="1" t="s">
        <v>5216</v>
      </c>
      <c r="B2003" s="1" t="s">
        <v>3619</v>
      </c>
      <c r="C2003" s="1" t="s">
        <v>7474</v>
      </c>
      <c r="D2003" s="1" t="s">
        <v>7487</v>
      </c>
      <c r="E2003" s="1" t="str">
        <f>"8465"</f>
        <v>8465</v>
      </c>
      <c r="F2003" s="1" t="str">
        <f>"011178699"</f>
        <v>011178699</v>
      </c>
      <c r="G2003" s="1" t="s">
        <v>660</v>
      </c>
      <c r="H2003" s="1" t="s">
        <v>16</v>
      </c>
      <c r="I2003" s="4" t="str">
        <f>"20"</f>
        <v>20</v>
      </c>
      <c r="J2003" s="2">
        <v>26.49</v>
      </c>
      <c r="K2003" s="3">
        <v>46188</v>
      </c>
      <c r="L2003" s="3">
        <v>46190</v>
      </c>
      <c r="M2003" s="1" t="s">
        <v>7472</v>
      </c>
      <c r="N2003" s="1" t="s">
        <v>7486</v>
      </c>
    </row>
    <row r="2004" spans="1:14" s="1" customFormat="1" x14ac:dyDescent="0.35">
      <c r="A2004" s="1" t="s">
        <v>5216</v>
      </c>
      <c r="B2004" s="1" t="s">
        <v>3619</v>
      </c>
      <c r="C2004" s="1" t="s">
        <v>7474</v>
      </c>
      <c r="D2004" s="1" t="s">
        <v>7485</v>
      </c>
      <c r="E2004" s="1" t="str">
        <f>"8465"</f>
        <v>8465</v>
      </c>
      <c r="F2004" s="1" t="str">
        <f>"015801313"</f>
        <v>015801313</v>
      </c>
      <c r="G2004" s="1" t="s">
        <v>4040</v>
      </c>
      <c r="H2004" s="1" t="s">
        <v>16</v>
      </c>
      <c r="I2004" s="4" t="str">
        <f>"1"</f>
        <v>1</v>
      </c>
      <c r="J2004" s="2">
        <v>3.39</v>
      </c>
      <c r="K2004" s="3">
        <v>46188</v>
      </c>
      <c r="L2004" s="3">
        <v>46190</v>
      </c>
      <c r="M2004" s="1" t="s">
        <v>7472</v>
      </c>
      <c r="N2004" s="1" t="s">
        <v>7471</v>
      </c>
    </row>
    <row r="2005" spans="1:14" s="1" customFormat="1" x14ac:dyDescent="0.35">
      <c r="A2005" s="1" t="s">
        <v>5216</v>
      </c>
      <c r="B2005" s="1" t="s">
        <v>3619</v>
      </c>
      <c r="C2005" s="1" t="s">
        <v>7474</v>
      </c>
      <c r="D2005" s="1" t="s">
        <v>7484</v>
      </c>
      <c r="E2005" s="1" t="str">
        <f>"5855"</f>
        <v>5855</v>
      </c>
      <c r="F2005" s="1" t="str">
        <f>"014849948"</f>
        <v>014849948</v>
      </c>
      <c r="G2005" s="1" t="s">
        <v>7483</v>
      </c>
      <c r="H2005" s="1" t="s">
        <v>16</v>
      </c>
      <c r="I2005" s="4" t="str">
        <f>"1"</f>
        <v>1</v>
      </c>
      <c r="J2005" s="2">
        <v>4401.17</v>
      </c>
      <c r="K2005" s="3">
        <v>46188</v>
      </c>
      <c r="L2005" s="3">
        <v>46190</v>
      </c>
      <c r="M2005" s="1" t="s">
        <v>7472</v>
      </c>
      <c r="N2005" s="1" t="s">
        <v>7482</v>
      </c>
    </row>
    <row r="2006" spans="1:14" s="1" customFormat="1" x14ac:dyDescent="0.35">
      <c r="A2006" s="1" t="s">
        <v>5216</v>
      </c>
      <c r="B2006" s="1" t="s">
        <v>3619</v>
      </c>
      <c r="C2006" s="1" t="s">
        <v>7474</v>
      </c>
      <c r="D2006" s="1" t="s">
        <v>7481</v>
      </c>
      <c r="E2006" s="1" t="str">
        <f>"8415"</f>
        <v>8415</v>
      </c>
      <c r="F2006" s="1" t="str">
        <f>"016411801"</f>
        <v>016411801</v>
      </c>
      <c r="G2006" s="1" t="s">
        <v>672</v>
      </c>
      <c r="H2006" s="1" t="s">
        <v>311</v>
      </c>
      <c r="I2006" s="4" t="str">
        <f>"4"</f>
        <v>4</v>
      </c>
      <c r="J2006" s="2">
        <v>108.96</v>
      </c>
      <c r="K2006" s="3">
        <v>46188</v>
      </c>
      <c r="L2006" s="3">
        <v>46190</v>
      </c>
      <c r="M2006" s="1" t="s">
        <v>7472</v>
      </c>
      <c r="N2006" s="1" t="s">
        <v>7471</v>
      </c>
    </row>
    <row r="2007" spans="1:14" s="1" customFormat="1" x14ac:dyDescent="0.35">
      <c r="A2007" s="1" t="s">
        <v>5216</v>
      </c>
      <c r="B2007" s="1" t="s">
        <v>3619</v>
      </c>
      <c r="C2007" s="1" t="s">
        <v>7474</v>
      </c>
      <c r="D2007" s="1" t="s">
        <v>7480</v>
      </c>
      <c r="E2007" s="1" t="str">
        <f>"8415"</f>
        <v>8415</v>
      </c>
      <c r="F2007" s="1" t="str">
        <f>"016411794"</f>
        <v>016411794</v>
      </c>
      <c r="G2007" s="1" t="s">
        <v>672</v>
      </c>
      <c r="H2007" s="1" t="s">
        <v>311</v>
      </c>
      <c r="I2007" s="4" t="str">
        <f>"4"</f>
        <v>4</v>
      </c>
      <c r="J2007" s="2">
        <v>108.96</v>
      </c>
      <c r="K2007" s="3">
        <v>46188</v>
      </c>
      <c r="L2007" s="3">
        <v>46190</v>
      </c>
      <c r="M2007" s="1" t="s">
        <v>7472</v>
      </c>
      <c r="N2007" s="1" t="s">
        <v>7471</v>
      </c>
    </row>
    <row r="2008" spans="1:14" s="1" customFormat="1" x14ac:dyDescent="0.35">
      <c r="A2008" s="1" t="s">
        <v>5216</v>
      </c>
      <c r="B2008" s="1" t="s">
        <v>3619</v>
      </c>
      <c r="C2008" s="1" t="s">
        <v>7474</v>
      </c>
      <c r="D2008" s="1" t="s">
        <v>7479</v>
      </c>
      <c r="E2008" s="1" t="str">
        <f>"8415"</f>
        <v>8415</v>
      </c>
      <c r="F2008" s="1" t="str">
        <f>"016411799"</f>
        <v>016411799</v>
      </c>
      <c r="G2008" s="1" t="s">
        <v>672</v>
      </c>
      <c r="H2008" s="1" t="s">
        <v>311</v>
      </c>
      <c r="I2008" s="4" t="str">
        <f>"1"</f>
        <v>1</v>
      </c>
      <c r="J2008" s="2">
        <v>108.96</v>
      </c>
      <c r="K2008" s="3">
        <v>46188</v>
      </c>
      <c r="L2008" s="3">
        <v>46190</v>
      </c>
      <c r="M2008" s="1" t="s">
        <v>7472</v>
      </c>
      <c r="N2008" s="1" t="s">
        <v>7471</v>
      </c>
    </row>
    <row r="2009" spans="1:14" s="1" customFormat="1" x14ac:dyDescent="0.35">
      <c r="A2009" s="1" t="s">
        <v>5216</v>
      </c>
      <c r="B2009" s="1" t="s">
        <v>3619</v>
      </c>
      <c r="C2009" s="1" t="s">
        <v>7474</v>
      </c>
      <c r="D2009" s="1" t="s">
        <v>7478</v>
      </c>
      <c r="E2009" s="1" t="str">
        <f>"8415"</f>
        <v>8415</v>
      </c>
      <c r="F2009" s="1" t="str">
        <f>"016411803"</f>
        <v>016411803</v>
      </c>
      <c r="G2009" s="1" t="s">
        <v>672</v>
      </c>
      <c r="H2009" s="1" t="s">
        <v>311</v>
      </c>
      <c r="I2009" s="4" t="str">
        <f>"1"</f>
        <v>1</v>
      </c>
      <c r="J2009" s="2">
        <v>108.96</v>
      </c>
      <c r="K2009" s="3">
        <v>46188</v>
      </c>
      <c r="L2009" s="3">
        <v>46190</v>
      </c>
      <c r="M2009" s="1" t="s">
        <v>7472</v>
      </c>
      <c r="N2009" s="1" t="s">
        <v>7471</v>
      </c>
    </row>
    <row r="2010" spans="1:14" s="1" customFormat="1" x14ac:dyDescent="0.35">
      <c r="A2010" s="1" t="s">
        <v>5216</v>
      </c>
      <c r="B2010" s="1" t="s">
        <v>3619</v>
      </c>
      <c r="C2010" s="1" t="s">
        <v>7474</v>
      </c>
      <c r="D2010" s="1" t="s">
        <v>7477</v>
      </c>
      <c r="E2010" s="1" t="str">
        <f>"6545"</f>
        <v>6545</v>
      </c>
      <c r="F2010" s="1" t="str">
        <f>"016859951"</f>
        <v>016859951</v>
      </c>
      <c r="G2010" s="1" t="s">
        <v>305</v>
      </c>
      <c r="H2010" s="1" t="s">
        <v>215</v>
      </c>
      <c r="I2010" s="4" t="str">
        <f>"6"</f>
        <v>6</v>
      </c>
      <c r="J2010" s="2">
        <v>264.8</v>
      </c>
      <c r="K2010" s="3">
        <v>46188</v>
      </c>
      <c r="L2010" s="3">
        <v>46190</v>
      </c>
      <c r="M2010" s="1" t="s">
        <v>7472</v>
      </c>
      <c r="N2010" s="1" t="s">
        <v>7471</v>
      </c>
    </row>
    <row r="2011" spans="1:14" s="1" customFormat="1" x14ac:dyDescent="0.35">
      <c r="A2011" s="1" t="s">
        <v>5216</v>
      </c>
      <c r="B2011" s="1" t="s">
        <v>3619</v>
      </c>
      <c r="C2011" s="1" t="s">
        <v>7474</v>
      </c>
      <c r="D2011" s="1" t="s">
        <v>7476</v>
      </c>
      <c r="E2011" s="1" t="str">
        <f>"6545"</f>
        <v>6545</v>
      </c>
      <c r="F2011" s="1" t="str">
        <f>"015841582"</f>
        <v>015841582</v>
      </c>
      <c r="G2011" s="1" t="s">
        <v>305</v>
      </c>
      <c r="H2011" s="1" t="s">
        <v>215</v>
      </c>
      <c r="I2011" s="4" t="str">
        <f>"7"</f>
        <v>7</v>
      </c>
      <c r="J2011" s="2">
        <v>103.24</v>
      </c>
      <c r="K2011" s="3">
        <v>46188</v>
      </c>
      <c r="L2011" s="3">
        <v>46190</v>
      </c>
      <c r="M2011" s="1" t="s">
        <v>7472</v>
      </c>
      <c r="N2011" s="1" t="s">
        <v>7471</v>
      </c>
    </row>
    <row r="2012" spans="1:14" s="1" customFormat="1" x14ac:dyDescent="0.35">
      <c r="A2012" s="1" t="s">
        <v>5216</v>
      </c>
      <c r="B2012" s="1" t="s">
        <v>3619</v>
      </c>
      <c r="C2012" s="1" t="s">
        <v>7474</v>
      </c>
      <c r="D2012" s="1" t="s">
        <v>7475</v>
      </c>
      <c r="E2012" s="1" t="str">
        <f>"8465"</f>
        <v>8465</v>
      </c>
      <c r="F2012" s="1" t="str">
        <f>"015313647"</f>
        <v>015313647</v>
      </c>
      <c r="G2012" s="1" t="s">
        <v>2863</v>
      </c>
      <c r="H2012" s="1" t="s">
        <v>16</v>
      </c>
      <c r="I2012" s="4" t="str">
        <f>"20"</f>
        <v>20</v>
      </c>
      <c r="J2012" s="2">
        <v>13.09</v>
      </c>
      <c r="K2012" s="3">
        <v>46188</v>
      </c>
      <c r="L2012" s="3">
        <v>46190</v>
      </c>
      <c r="M2012" s="1" t="s">
        <v>7472</v>
      </c>
      <c r="N2012" s="1" t="s">
        <v>7471</v>
      </c>
    </row>
    <row r="2013" spans="1:14" s="1" customFormat="1" x14ac:dyDescent="0.35">
      <c r="A2013" s="1" t="s">
        <v>5216</v>
      </c>
      <c r="B2013" s="1" t="s">
        <v>3619</v>
      </c>
      <c r="C2013" s="1" t="s">
        <v>7474</v>
      </c>
      <c r="D2013" s="1" t="s">
        <v>7473</v>
      </c>
      <c r="E2013" s="1" t="str">
        <f>"8465"</f>
        <v>8465</v>
      </c>
      <c r="F2013" s="1" t="str">
        <f>"016416353"</f>
        <v>016416353</v>
      </c>
      <c r="G2013" s="1" t="s">
        <v>7413</v>
      </c>
      <c r="H2013" s="1" t="s">
        <v>458</v>
      </c>
      <c r="I2013" s="4" t="str">
        <f>"9"</f>
        <v>9</v>
      </c>
      <c r="J2013" s="2">
        <v>236.32</v>
      </c>
      <c r="K2013" s="3">
        <v>46188</v>
      </c>
      <c r="L2013" s="3">
        <v>46190</v>
      </c>
      <c r="M2013" s="1" t="s">
        <v>7472</v>
      </c>
      <c r="N2013" s="1" t="s">
        <v>7471</v>
      </c>
    </row>
    <row r="2014" spans="1:14" s="1" customFormat="1" x14ac:dyDescent="0.35">
      <c r="A2014" s="1" t="s">
        <v>5171</v>
      </c>
      <c r="B2014" s="1" t="s">
        <v>3619</v>
      </c>
      <c r="C2014" s="1" t="s">
        <v>3625</v>
      </c>
      <c r="D2014" s="1" t="s">
        <v>7470</v>
      </c>
      <c r="E2014" s="1" t="str">
        <f>"3990"</f>
        <v>3990</v>
      </c>
      <c r="F2014" s="1" t="str">
        <f>"016884520"</f>
        <v>016884520</v>
      </c>
      <c r="G2014" s="1" t="s">
        <v>7466</v>
      </c>
      <c r="H2014" s="1" t="s">
        <v>16</v>
      </c>
      <c r="I2014" s="4" t="str">
        <f>"10"</f>
        <v>10</v>
      </c>
      <c r="J2014" s="2">
        <v>22.24</v>
      </c>
      <c r="K2014" s="3">
        <v>46188</v>
      </c>
      <c r="L2014" s="3">
        <v>46192</v>
      </c>
      <c r="M2014" s="1" t="s">
        <v>7469</v>
      </c>
      <c r="N2014" s="1" t="s">
        <v>7468</v>
      </c>
    </row>
    <row r="2015" spans="1:14" s="1" customFormat="1" x14ac:dyDescent="0.35">
      <c r="A2015" s="1" t="s">
        <v>5171</v>
      </c>
      <c r="B2015" s="1" t="s">
        <v>3619</v>
      </c>
      <c r="C2015" s="1" t="s">
        <v>7463</v>
      </c>
      <c r="D2015" s="1" t="s">
        <v>7467</v>
      </c>
      <c r="E2015" s="1" t="str">
        <f>"3990"</f>
        <v>3990</v>
      </c>
      <c r="F2015" s="1" t="str">
        <f>"016884520"</f>
        <v>016884520</v>
      </c>
      <c r="G2015" s="1" t="s">
        <v>7466</v>
      </c>
      <c r="H2015" s="1" t="s">
        <v>16</v>
      </c>
      <c r="I2015" s="4" t="str">
        <f>"25"</f>
        <v>25</v>
      </c>
      <c r="J2015" s="2">
        <v>22.24</v>
      </c>
      <c r="K2015" s="3">
        <v>46188</v>
      </c>
      <c r="L2015" s="3">
        <v>46192</v>
      </c>
      <c r="M2015" s="1" t="s">
        <v>7465</v>
      </c>
      <c r="N2015" s="1" t="s">
        <v>7464</v>
      </c>
    </row>
    <row r="2016" spans="1:14" s="1" customFormat="1" x14ac:dyDescent="0.35">
      <c r="A2016" s="1" t="s">
        <v>5171</v>
      </c>
      <c r="B2016" s="1" t="s">
        <v>3619</v>
      </c>
      <c r="C2016" s="1" t="s">
        <v>7463</v>
      </c>
      <c r="D2016" s="1" t="s">
        <v>7462</v>
      </c>
      <c r="E2016" s="1" t="str">
        <f>"5180"</f>
        <v>5180</v>
      </c>
      <c r="F2016" s="1" t="str">
        <f>"016282371"</f>
        <v>016282371</v>
      </c>
      <c r="G2016" s="1" t="s">
        <v>2993</v>
      </c>
      <c r="H2016" s="1" t="s">
        <v>215</v>
      </c>
      <c r="I2016" s="4" t="str">
        <f>"2"</f>
        <v>2</v>
      </c>
      <c r="J2016" s="2" t="str">
        <f>"4963"</f>
        <v>4963</v>
      </c>
      <c r="K2016" s="3">
        <v>46195</v>
      </c>
      <c r="L2016" s="3">
        <v>46197</v>
      </c>
      <c r="M2016" s="1" t="s">
        <v>7461</v>
      </c>
      <c r="N2016" s="1" t="s">
        <v>7460</v>
      </c>
    </row>
    <row r="2017" spans="1:14" s="1" customFormat="1" x14ac:dyDescent="0.35">
      <c r="A2017" s="1" t="s">
        <v>5171</v>
      </c>
      <c r="B2017" s="1" t="s">
        <v>3619</v>
      </c>
      <c r="C2017" s="1" t="s">
        <v>3824</v>
      </c>
      <c r="D2017" s="1" t="s">
        <v>7459</v>
      </c>
      <c r="E2017" s="1" t="str">
        <f>"6230"</f>
        <v>6230</v>
      </c>
      <c r="F2017" s="1" t="s">
        <v>2631</v>
      </c>
      <c r="G2017" s="1" t="s">
        <v>2632</v>
      </c>
      <c r="H2017" s="1" t="s">
        <v>16</v>
      </c>
      <c r="I2017" s="4" t="str">
        <f>"50"</f>
        <v>50</v>
      </c>
      <c r="J2017" s="2" t="str">
        <f>"50"</f>
        <v>50</v>
      </c>
      <c r="K2017" s="3">
        <v>46179</v>
      </c>
      <c r="L2017" s="3">
        <v>46198</v>
      </c>
      <c r="M2017" s="1" t="s">
        <v>7458</v>
      </c>
      <c r="N2017" s="1" t="s">
        <v>7457</v>
      </c>
    </row>
    <row r="2018" spans="1:14" s="1" customFormat="1" x14ac:dyDescent="0.35">
      <c r="A2018" s="1" t="s">
        <v>5171</v>
      </c>
      <c r="B2018" s="1" t="s">
        <v>3619</v>
      </c>
      <c r="C2018" s="1" t="s">
        <v>3625</v>
      </c>
      <c r="D2018" s="1" t="s">
        <v>7456</v>
      </c>
      <c r="E2018" s="1" t="str">
        <f>"6545"</f>
        <v>6545</v>
      </c>
      <c r="F2018" s="1" t="str">
        <f>"016859951"</f>
        <v>016859951</v>
      </c>
      <c r="G2018" s="1" t="s">
        <v>305</v>
      </c>
      <c r="H2018" s="1" t="s">
        <v>215</v>
      </c>
      <c r="I2018" s="4" t="str">
        <f>"4"</f>
        <v>4</v>
      </c>
      <c r="J2018" s="2">
        <v>264.8</v>
      </c>
      <c r="K2018" s="3">
        <v>46188</v>
      </c>
      <c r="L2018" s="3">
        <v>46200</v>
      </c>
      <c r="M2018" s="1" t="s">
        <v>7455</v>
      </c>
      <c r="N2018" s="1" t="s">
        <v>7454</v>
      </c>
    </row>
    <row r="2019" spans="1:14" s="1" customFormat="1" x14ac:dyDescent="0.35">
      <c r="A2019" s="1" t="s">
        <v>5216</v>
      </c>
      <c r="B2019" s="1" t="s">
        <v>3619</v>
      </c>
      <c r="C2019" s="1" t="s">
        <v>3824</v>
      </c>
      <c r="D2019" s="1" t="s">
        <v>7453</v>
      </c>
      <c r="E2019" s="1" t="str">
        <f>"1240"</f>
        <v>1240</v>
      </c>
      <c r="F2019" s="1" t="str">
        <f>"016813209"</f>
        <v>016813209</v>
      </c>
      <c r="G2019" s="1" t="s">
        <v>2356</v>
      </c>
      <c r="H2019" s="1" t="s">
        <v>16</v>
      </c>
      <c r="I2019" s="4" t="str">
        <f>"1"</f>
        <v>1</v>
      </c>
      <c r="J2019" s="2" t="str">
        <f>"3269"</f>
        <v>3269</v>
      </c>
      <c r="K2019" s="3">
        <v>46201</v>
      </c>
      <c r="L2019" s="3">
        <v>46202</v>
      </c>
      <c r="M2019" s="1" t="s">
        <v>7452</v>
      </c>
      <c r="N2019" s="1" t="s">
        <v>7451</v>
      </c>
    </row>
    <row r="2020" spans="1:14" s="1" customFormat="1" x14ac:dyDescent="0.35">
      <c r="A2020" s="1" t="s">
        <v>5171</v>
      </c>
      <c r="B2020" s="1" t="s">
        <v>3619</v>
      </c>
      <c r="C2020" s="1" t="s">
        <v>3814</v>
      </c>
      <c r="D2020" s="1" t="s">
        <v>7450</v>
      </c>
      <c r="E2020" s="1" t="str">
        <f>"5855"</f>
        <v>5855</v>
      </c>
      <c r="F2020" s="1" t="str">
        <f>"015345931"</f>
        <v>015345931</v>
      </c>
      <c r="G2020" s="1" t="s">
        <v>1379</v>
      </c>
      <c r="H2020" s="1" t="s">
        <v>16</v>
      </c>
      <c r="I2020" s="4" t="str">
        <f>"12"</f>
        <v>12</v>
      </c>
      <c r="J2020" s="2" t="str">
        <f>"970"</f>
        <v>970</v>
      </c>
      <c r="K2020" s="3">
        <v>46154</v>
      </c>
      <c r="L2020" s="3">
        <v>46202</v>
      </c>
      <c r="M2020" s="1" t="s">
        <v>7449</v>
      </c>
      <c r="N2020" s="1" t="s">
        <v>7448</v>
      </c>
    </row>
    <row r="2021" spans="1:14" s="1" customFormat="1" x14ac:dyDescent="0.35">
      <c r="A2021" s="1" t="s">
        <v>5171</v>
      </c>
      <c r="B2021" s="1" t="s">
        <v>3844</v>
      </c>
      <c r="C2021" s="1" t="s">
        <v>3886</v>
      </c>
      <c r="D2021" s="1" t="s">
        <v>7447</v>
      </c>
      <c r="E2021" s="1" t="str">
        <f>"5965"</f>
        <v>5965</v>
      </c>
      <c r="F2021" s="1" t="str">
        <f>"016945619"</f>
        <v>016945619</v>
      </c>
      <c r="G2021" s="1" t="s">
        <v>7446</v>
      </c>
      <c r="H2021" s="1" t="s">
        <v>16</v>
      </c>
      <c r="I2021" s="4" t="str">
        <f>"17"</f>
        <v>17</v>
      </c>
      <c r="J2021" s="2">
        <v>988.12</v>
      </c>
      <c r="K2021" s="3">
        <v>46111</v>
      </c>
      <c r="L2021" s="3">
        <v>46113</v>
      </c>
      <c r="N2021" s="1" t="s">
        <v>7445</v>
      </c>
    </row>
    <row r="2022" spans="1:14" s="1" customFormat="1" x14ac:dyDescent="0.35">
      <c r="A2022" s="1" t="s">
        <v>0</v>
      </c>
      <c r="B2022" s="1" t="s">
        <v>3844</v>
      </c>
      <c r="C2022" s="1" t="s">
        <v>3886</v>
      </c>
      <c r="D2022" s="1" t="s">
        <v>7444</v>
      </c>
      <c r="E2022" s="1" t="str">
        <f>"1240"</f>
        <v>1240</v>
      </c>
      <c r="F2022" s="1" t="s">
        <v>1800</v>
      </c>
      <c r="G2022" s="1" t="s">
        <v>1801</v>
      </c>
      <c r="H2022" s="1" t="s">
        <v>16</v>
      </c>
      <c r="I2022" s="4" t="str">
        <f>"1"</f>
        <v>1</v>
      </c>
      <c r="J2022" s="2" t="str">
        <f>"1500"</f>
        <v>1500</v>
      </c>
      <c r="K2022" s="3">
        <v>46113</v>
      </c>
      <c r="L2022" s="3">
        <v>46114</v>
      </c>
      <c r="M2022" s="1" t="s">
        <v>7184</v>
      </c>
      <c r="N2022" s="1" t="s">
        <v>7443</v>
      </c>
    </row>
    <row r="2023" spans="1:14" s="1" customFormat="1" x14ac:dyDescent="0.35">
      <c r="A2023" s="1" t="s">
        <v>5171</v>
      </c>
      <c r="B2023" s="1" t="s">
        <v>3844</v>
      </c>
      <c r="C2023" s="1" t="s">
        <v>3886</v>
      </c>
      <c r="D2023" s="1" t="s">
        <v>7442</v>
      </c>
      <c r="E2023" s="1" t="str">
        <f>"7025"</f>
        <v>7025</v>
      </c>
      <c r="F2023" s="1" t="s">
        <v>3672</v>
      </c>
      <c r="G2023" s="1" t="s">
        <v>3673</v>
      </c>
      <c r="H2023" s="1" t="s">
        <v>16</v>
      </c>
      <c r="I2023" s="4" t="str">
        <f>"15"</f>
        <v>15</v>
      </c>
      <c r="J2023" s="2">
        <v>49.99</v>
      </c>
      <c r="K2023" s="3">
        <v>46106</v>
      </c>
      <c r="L2023" s="3">
        <v>46114</v>
      </c>
      <c r="M2023" s="1" t="s">
        <v>7441</v>
      </c>
      <c r="N2023" s="1" t="s">
        <v>7440</v>
      </c>
    </row>
    <row r="2024" spans="1:14" s="1" customFormat="1" x14ac:dyDescent="0.35">
      <c r="A2024" s="1" t="s">
        <v>5171</v>
      </c>
      <c r="B2024" s="1" t="s">
        <v>3844</v>
      </c>
      <c r="C2024" s="1" t="s">
        <v>3886</v>
      </c>
      <c r="D2024" s="1" t="s">
        <v>7439</v>
      </c>
      <c r="E2024" s="1" t="str">
        <f>"1240"</f>
        <v>1240</v>
      </c>
      <c r="F2024" s="1" t="str">
        <f>"015515758"</f>
        <v>015515758</v>
      </c>
      <c r="G2024" s="1" t="s">
        <v>1103</v>
      </c>
      <c r="H2024" s="1" t="s">
        <v>16</v>
      </c>
      <c r="I2024" s="4" t="str">
        <f>"1"</f>
        <v>1</v>
      </c>
      <c r="J2024" s="2" t="str">
        <f>"528"</f>
        <v>528</v>
      </c>
      <c r="K2024" s="3">
        <v>46105</v>
      </c>
      <c r="L2024" s="3">
        <v>46116</v>
      </c>
      <c r="M2024" s="1" t="s">
        <v>7438</v>
      </c>
      <c r="N2024" s="1" t="s">
        <v>7437</v>
      </c>
    </row>
    <row r="2025" spans="1:14" s="1" customFormat="1" x14ac:dyDescent="0.35">
      <c r="A2025" s="1" t="s">
        <v>5171</v>
      </c>
      <c r="B2025" s="1" t="s">
        <v>3844</v>
      </c>
      <c r="C2025" s="1" t="s">
        <v>3886</v>
      </c>
      <c r="D2025" s="1" t="s">
        <v>7436</v>
      </c>
      <c r="E2025" s="1" t="str">
        <f>"1385"</f>
        <v>1385</v>
      </c>
      <c r="F2025" s="1" t="str">
        <f>"015744707"</f>
        <v>015744707</v>
      </c>
      <c r="G2025" s="1" t="s">
        <v>2463</v>
      </c>
      <c r="H2025" s="1" t="s">
        <v>16</v>
      </c>
      <c r="I2025" s="4" t="str">
        <f>"1"</f>
        <v>1</v>
      </c>
      <c r="J2025" s="2" t="str">
        <f>"10000"</f>
        <v>10000</v>
      </c>
      <c r="K2025" s="3">
        <v>46114</v>
      </c>
      <c r="L2025" s="3">
        <v>46116</v>
      </c>
      <c r="M2025" s="1" t="s">
        <v>5469</v>
      </c>
      <c r="N2025" s="1" t="s">
        <v>7435</v>
      </c>
    </row>
    <row r="2026" spans="1:14" s="1" customFormat="1" x14ac:dyDescent="0.35">
      <c r="A2026" s="1" t="s">
        <v>0</v>
      </c>
      <c r="B2026" s="1" t="s">
        <v>3844</v>
      </c>
      <c r="C2026" s="1" t="s">
        <v>3886</v>
      </c>
      <c r="D2026" s="1" t="s">
        <v>7434</v>
      </c>
      <c r="E2026" s="1" t="str">
        <f>"6230"</f>
        <v>6230</v>
      </c>
      <c r="F2026" s="1" t="str">
        <f>"016134312"</f>
        <v>016134312</v>
      </c>
      <c r="G2026" s="1" t="s">
        <v>230</v>
      </c>
      <c r="H2026" s="1" t="s">
        <v>16</v>
      </c>
      <c r="I2026" s="4" t="str">
        <f>"8"</f>
        <v>8</v>
      </c>
      <c r="J2026" s="2">
        <v>92.96</v>
      </c>
      <c r="K2026" s="3">
        <v>46116</v>
      </c>
      <c r="L2026" s="3">
        <v>46118</v>
      </c>
      <c r="M2026" s="1" t="s">
        <v>7433</v>
      </c>
      <c r="N2026" s="1" t="s">
        <v>7432</v>
      </c>
    </row>
    <row r="2027" spans="1:14" s="1" customFormat="1" x14ac:dyDescent="0.35">
      <c r="A2027" s="1" t="s">
        <v>0</v>
      </c>
      <c r="B2027" s="1" t="s">
        <v>3844</v>
      </c>
      <c r="C2027" s="1" t="s">
        <v>4118</v>
      </c>
      <c r="D2027" s="1" t="s">
        <v>7431</v>
      </c>
      <c r="E2027" s="1" t="str">
        <f>"7021"</f>
        <v>7021</v>
      </c>
      <c r="F2027" s="1" t="s">
        <v>1644</v>
      </c>
      <c r="G2027" s="1" t="s">
        <v>1645</v>
      </c>
      <c r="H2027" s="1" t="s">
        <v>16</v>
      </c>
      <c r="I2027" s="4" t="str">
        <f>"3"</f>
        <v>3</v>
      </c>
      <c r="J2027" s="2">
        <v>1699.73</v>
      </c>
      <c r="K2027" s="3">
        <v>46118</v>
      </c>
      <c r="L2027" s="3">
        <v>46119</v>
      </c>
      <c r="M2027" s="1" t="s">
        <v>7430</v>
      </c>
      <c r="N2027" s="1" t="s">
        <v>7429</v>
      </c>
    </row>
    <row r="2028" spans="1:14" s="1" customFormat="1" x14ac:dyDescent="0.35">
      <c r="A2028" s="1" t="s">
        <v>5171</v>
      </c>
      <c r="B2028" s="1" t="s">
        <v>3844</v>
      </c>
      <c r="C2028" s="1" t="s">
        <v>3886</v>
      </c>
      <c r="D2028" s="1" t="s">
        <v>7428</v>
      </c>
      <c r="E2028" s="1" t="str">
        <f>"1095"</f>
        <v>1095</v>
      </c>
      <c r="F2028" s="1" t="str">
        <f>"003924102"</f>
        <v>003924102</v>
      </c>
      <c r="G2028" s="1" t="s">
        <v>7424</v>
      </c>
      <c r="H2028" s="1" t="s">
        <v>16</v>
      </c>
      <c r="I2028" s="4" t="str">
        <f>"21"</f>
        <v>21</v>
      </c>
      <c r="J2028" s="2">
        <v>54.29</v>
      </c>
      <c r="K2028" s="3">
        <v>46110</v>
      </c>
      <c r="L2028" s="3">
        <v>46121</v>
      </c>
      <c r="M2028" s="1" t="s">
        <v>7427</v>
      </c>
      <c r="N2028" s="1" t="s">
        <v>7426</v>
      </c>
    </row>
    <row r="2029" spans="1:14" s="1" customFormat="1" x14ac:dyDescent="0.35">
      <c r="A2029" s="1" t="s">
        <v>5171</v>
      </c>
      <c r="B2029" s="1" t="s">
        <v>3844</v>
      </c>
      <c r="C2029" s="1" t="s">
        <v>3886</v>
      </c>
      <c r="D2029" s="1" t="s">
        <v>7425</v>
      </c>
      <c r="E2029" s="1" t="str">
        <f>"1095"</f>
        <v>1095</v>
      </c>
      <c r="F2029" s="1" t="str">
        <f>"003924102"</f>
        <v>003924102</v>
      </c>
      <c r="G2029" s="1" t="s">
        <v>7424</v>
      </c>
      <c r="H2029" s="1" t="s">
        <v>16</v>
      </c>
      <c r="I2029" s="4" t="str">
        <f>"24"</f>
        <v>24</v>
      </c>
      <c r="J2029" s="2">
        <v>54.29</v>
      </c>
      <c r="K2029" s="3">
        <v>46113</v>
      </c>
      <c r="L2029" s="3">
        <v>46121</v>
      </c>
      <c r="M2029" s="1" t="s">
        <v>7423</v>
      </c>
      <c r="N2029" s="1" t="s">
        <v>7422</v>
      </c>
    </row>
    <row r="2030" spans="1:14" s="1" customFormat="1" x14ac:dyDescent="0.35">
      <c r="A2030" s="1" t="s">
        <v>5171</v>
      </c>
      <c r="B2030" s="1" t="s">
        <v>3844</v>
      </c>
      <c r="C2030" s="1" t="s">
        <v>3886</v>
      </c>
      <c r="D2030" s="1" t="s">
        <v>7421</v>
      </c>
      <c r="E2030" s="1" t="str">
        <f>"8465"</f>
        <v>8465</v>
      </c>
      <c r="F2030" s="1" t="str">
        <f>"015987693"</f>
        <v>015987693</v>
      </c>
      <c r="G2030" s="1" t="s">
        <v>653</v>
      </c>
      <c r="H2030" s="1" t="s">
        <v>16</v>
      </c>
      <c r="I2030" s="4" t="str">
        <f>"15"</f>
        <v>15</v>
      </c>
      <c r="J2030" s="2">
        <v>638.64</v>
      </c>
      <c r="K2030" s="3">
        <v>46116</v>
      </c>
      <c r="L2030" s="3">
        <v>46121</v>
      </c>
      <c r="M2030" s="1" t="s">
        <v>7420</v>
      </c>
      <c r="N2030" s="1" t="s">
        <v>7419</v>
      </c>
    </row>
    <row r="2031" spans="1:14" s="1" customFormat="1" x14ac:dyDescent="0.35">
      <c r="A2031" s="1" t="s">
        <v>5171</v>
      </c>
      <c r="B2031" s="1" t="s">
        <v>3844</v>
      </c>
      <c r="C2031" s="1" t="s">
        <v>4114</v>
      </c>
      <c r="D2031" s="1" t="s">
        <v>7418</v>
      </c>
      <c r="E2031" s="1" t="str">
        <f>"8460"</f>
        <v>8460</v>
      </c>
      <c r="F2031" s="1" t="s">
        <v>6225</v>
      </c>
      <c r="G2031" s="1" t="s">
        <v>6224</v>
      </c>
      <c r="H2031" s="1" t="s">
        <v>16</v>
      </c>
      <c r="I2031" s="4" t="str">
        <f>"20"</f>
        <v>20</v>
      </c>
      <c r="J2031" s="2" t="str">
        <f>"10"</f>
        <v>10</v>
      </c>
      <c r="K2031" s="3">
        <v>46121</v>
      </c>
      <c r="L2031" s="3">
        <v>46122</v>
      </c>
      <c r="M2031" s="1" t="s">
        <v>5167</v>
      </c>
      <c r="N2031" s="1" t="s">
        <v>7417</v>
      </c>
    </row>
    <row r="2032" spans="1:14" s="1" customFormat="1" x14ac:dyDescent="0.35">
      <c r="A2032" s="1" t="s">
        <v>5171</v>
      </c>
      <c r="B2032" s="1" t="s">
        <v>3844</v>
      </c>
      <c r="C2032" s="1" t="s">
        <v>3886</v>
      </c>
      <c r="D2032" s="1" t="s">
        <v>7416</v>
      </c>
      <c r="E2032" s="1" t="str">
        <f>"8465"</f>
        <v>8465</v>
      </c>
      <c r="F2032" s="1" t="str">
        <f>"015247309"</f>
        <v>015247309</v>
      </c>
      <c r="G2032" s="1" t="s">
        <v>3600</v>
      </c>
      <c r="H2032" s="1" t="s">
        <v>16</v>
      </c>
      <c r="I2032" s="4" t="str">
        <f>"25"</f>
        <v>25</v>
      </c>
      <c r="J2032" s="2">
        <v>11.19</v>
      </c>
      <c r="K2032" s="3">
        <v>46123</v>
      </c>
      <c r="L2032" s="3">
        <v>46123</v>
      </c>
      <c r="M2032" s="1" t="s">
        <v>5469</v>
      </c>
      <c r="N2032" s="1" t="s">
        <v>7415</v>
      </c>
    </row>
    <row r="2033" spans="1:14" s="1" customFormat="1" x14ac:dyDescent="0.35">
      <c r="A2033" s="1" t="s">
        <v>5171</v>
      </c>
      <c r="B2033" s="1" t="s">
        <v>3844</v>
      </c>
      <c r="C2033" s="1" t="s">
        <v>3886</v>
      </c>
      <c r="D2033" s="1" t="s">
        <v>7414</v>
      </c>
      <c r="E2033" s="1" t="str">
        <f>"8465"</f>
        <v>8465</v>
      </c>
      <c r="F2033" s="1" t="str">
        <f>"016416353"</f>
        <v>016416353</v>
      </c>
      <c r="G2033" s="1" t="s">
        <v>7413</v>
      </c>
      <c r="H2033" s="1" t="s">
        <v>458</v>
      </c>
      <c r="I2033" s="4" t="str">
        <f>"1"</f>
        <v>1</v>
      </c>
      <c r="J2033" s="2">
        <v>236.32</v>
      </c>
      <c r="K2033" s="3">
        <v>46123</v>
      </c>
      <c r="L2033" s="3">
        <v>46123</v>
      </c>
      <c r="M2033" s="1" t="s">
        <v>5469</v>
      </c>
      <c r="N2033" s="1" t="s">
        <v>7412</v>
      </c>
    </row>
    <row r="2034" spans="1:14" s="1" customFormat="1" x14ac:dyDescent="0.35">
      <c r="A2034" s="1" t="s">
        <v>5171</v>
      </c>
      <c r="B2034" s="1" t="s">
        <v>3844</v>
      </c>
      <c r="C2034" s="1" t="s">
        <v>3886</v>
      </c>
      <c r="D2034" s="1" t="s">
        <v>7411</v>
      </c>
      <c r="E2034" s="1" t="str">
        <f>"8465"</f>
        <v>8465</v>
      </c>
      <c r="F2034" s="1" t="str">
        <f>"015248407"</f>
        <v>015248407</v>
      </c>
      <c r="G2034" s="1" t="s">
        <v>7410</v>
      </c>
      <c r="H2034" s="1" t="s">
        <v>16</v>
      </c>
      <c r="I2034" s="4" t="str">
        <f>"10"</f>
        <v>10</v>
      </c>
      <c r="J2034" s="2">
        <v>19.27</v>
      </c>
      <c r="K2034" s="3">
        <v>46123</v>
      </c>
      <c r="L2034" s="3">
        <v>46123</v>
      </c>
      <c r="M2034" s="1" t="s">
        <v>5469</v>
      </c>
      <c r="N2034" s="1" t="s">
        <v>7409</v>
      </c>
    </row>
    <row r="2035" spans="1:14" s="1" customFormat="1" x14ac:dyDescent="0.35">
      <c r="A2035" s="1" t="s">
        <v>0</v>
      </c>
      <c r="B2035" s="1" t="s">
        <v>3844</v>
      </c>
      <c r="C2035" s="1" t="s">
        <v>7309</v>
      </c>
      <c r="D2035" s="1" t="s">
        <v>7408</v>
      </c>
      <c r="E2035" s="1" t="str">
        <f>"8470"</f>
        <v>8470</v>
      </c>
      <c r="F2035" s="1" t="str">
        <f>"016817809"</f>
        <v>016817809</v>
      </c>
      <c r="G2035" s="1" t="s">
        <v>3173</v>
      </c>
      <c r="H2035" s="1" t="s">
        <v>16</v>
      </c>
      <c r="I2035" s="4" t="str">
        <f>"6"</f>
        <v>6</v>
      </c>
      <c r="J2035" s="2">
        <v>4995.95</v>
      </c>
      <c r="K2035" s="3">
        <v>46120</v>
      </c>
      <c r="L2035" s="3">
        <v>46125</v>
      </c>
      <c r="M2035" s="1" t="s">
        <v>7184</v>
      </c>
      <c r="N2035" s="1" t="s">
        <v>7407</v>
      </c>
    </row>
    <row r="2036" spans="1:14" s="1" customFormat="1" x14ac:dyDescent="0.35">
      <c r="A2036" s="1" t="s">
        <v>0</v>
      </c>
      <c r="B2036" s="1" t="s">
        <v>3844</v>
      </c>
      <c r="C2036" s="1" t="s">
        <v>3886</v>
      </c>
      <c r="D2036" s="1" t="s">
        <v>7406</v>
      </c>
      <c r="E2036" s="1" t="str">
        <f>"5855"</f>
        <v>5855</v>
      </c>
      <c r="F2036" s="1" t="str">
        <f>"016277123"</f>
        <v>016277123</v>
      </c>
      <c r="G2036" s="1" t="s">
        <v>6515</v>
      </c>
      <c r="H2036" s="1" t="s">
        <v>16</v>
      </c>
      <c r="I2036" s="4" t="str">
        <f>"4"</f>
        <v>4</v>
      </c>
      <c r="J2036" s="2">
        <v>477.52</v>
      </c>
      <c r="K2036" s="3">
        <v>46123</v>
      </c>
      <c r="L2036" s="3">
        <v>46126</v>
      </c>
      <c r="M2036" s="1" t="s">
        <v>7184</v>
      </c>
      <c r="N2036" s="1" t="s">
        <v>7405</v>
      </c>
    </row>
    <row r="2037" spans="1:14" s="1" customFormat="1" x14ac:dyDescent="0.35">
      <c r="A2037" s="1" t="s">
        <v>5171</v>
      </c>
      <c r="B2037" s="1" t="s">
        <v>3844</v>
      </c>
      <c r="C2037" s="1" t="s">
        <v>3886</v>
      </c>
      <c r="D2037" s="1" t="s">
        <v>7404</v>
      </c>
      <c r="E2037" s="1" t="str">
        <f>"5120"</f>
        <v>5120</v>
      </c>
      <c r="F2037" s="1" t="str">
        <f>"010675016"</f>
        <v>010675016</v>
      </c>
      <c r="G2037" s="1" t="s">
        <v>7403</v>
      </c>
      <c r="H2037" s="1" t="s">
        <v>458</v>
      </c>
      <c r="I2037" s="4" t="str">
        <f>"1"</f>
        <v>1</v>
      </c>
      <c r="J2037" s="2">
        <v>359.73</v>
      </c>
      <c r="K2037" s="3">
        <v>46123</v>
      </c>
      <c r="L2037" s="3">
        <v>46126</v>
      </c>
      <c r="M2037" s="1" t="s">
        <v>7402</v>
      </c>
      <c r="N2037" s="1" t="s">
        <v>7401</v>
      </c>
    </row>
    <row r="2038" spans="1:14" s="1" customFormat="1" x14ac:dyDescent="0.35">
      <c r="A2038" s="1" t="s">
        <v>5171</v>
      </c>
      <c r="B2038" s="1" t="s">
        <v>3844</v>
      </c>
      <c r="C2038" s="1" t="s">
        <v>3886</v>
      </c>
      <c r="D2038" s="1" t="s">
        <v>7400</v>
      </c>
      <c r="E2038" s="1" t="str">
        <f>"6230"</f>
        <v>6230</v>
      </c>
      <c r="F2038" s="1" t="str">
        <f>"016134312"</f>
        <v>016134312</v>
      </c>
      <c r="G2038" s="1" t="s">
        <v>230</v>
      </c>
      <c r="H2038" s="1" t="s">
        <v>16</v>
      </c>
      <c r="I2038" s="4" t="str">
        <f>"8"</f>
        <v>8</v>
      </c>
      <c r="J2038" s="2">
        <v>92.96</v>
      </c>
      <c r="K2038" s="3">
        <v>46118</v>
      </c>
      <c r="L2038" s="3">
        <v>46127</v>
      </c>
      <c r="M2038" s="1" t="s">
        <v>7399</v>
      </c>
      <c r="N2038" s="1" t="s">
        <v>7398</v>
      </c>
    </row>
    <row r="2039" spans="1:14" s="1" customFormat="1" x14ac:dyDescent="0.35">
      <c r="A2039" s="1" t="s">
        <v>5171</v>
      </c>
      <c r="B2039" s="1" t="s">
        <v>3844</v>
      </c>
      <c r="C2039" s="1" t="s">
        <v>3886</v>
      </c>
      <c r="D2039" s="1" t="s">
        <v>7397</v>
      </c>
      <c r="E2039" s="1" t="str">
        <f>"1240"</f>
        <v>1240</v>
      </c>
      <c r="F2039" s="1" t="str">
        <f>"015904552"</f>
        <v>015904552</v>
      </c>
      <c r="G2039" s="1" t="s">
        <v>7385</v>
      </c>
      <c r="H2039" s="1" t="s">
        <v>16</v>
      </c>
      <c r="I2039" s="4" t="str">
        <f>"7"</f>
        <v>7</v>
      </c>
      <c r="J2039" s="2" t="str">
        <f>"42912"</f>
        <v>42912</v>
      </c>
      <c r="K2039" s="3">
        <v>46127</v>
      </c>
      <c r="L2039" s="3">
        <v>46127</v>
      </c>
      <c r="M2039" s="1" t="s">
        <v>5469</v>
      </c>
      <c r="N2039" s="1" t="s">
        <v>7396</v>
      </c>
    </row>
    <row r="2040" spans="1:14" s="1" customFormat="1" x14ac:dyDescent="0.35">
      <c r="A2040" s="1" t="s">
        <v>5171</v>
      </c>
      <c r="B2040" s="1" t="s">
        <v>3844</v>
      </c>
      <c r="C2040" s="1" t="s">
        <v>3886</v>
      </c>
      <c r="D2040" s="1" t="s">
        <v>7395</v>
      </c>
      <c r="E2040" s="1" t="str">
        <f>"5855"</f>
        <v>5855</v>
      </c>
      <c r="F2040" s="1" t="str">
        <f>"016277123"</f>
        <v>016277123</v>
      </c>
      <c r="G2040" s="1" t="s">
        <v>6515</v>
      </c>
      <c r="H2040" s="1" t="s">
        <v>16</v>
      </c>
      <c r="I2040" s="4" t="str">
        <f>"8"</f>
        <v>8</v>
      </c>
      <c r="J2040" s="2">
        <v>477.52</v>
      </c>
      <c r="K2040" s="3">
        <v>46127</v>
      </c>
      <c r="L2040" s="3">
        <v>46127</v>
      </c>
      <c r="M2040" s="1" t="s">
        <v>5469</v>
      </c>
      <c r="N2040" s="1" t="s">
        <v>7394</v>
      </c>
    </row>
    <row r="2041" spans="1:14" s="1" customFormat="1" x14ac:dyDescent="0.35">
      <c r="A2041" s="1" t="s">
        <v>0</v>
      </c>
      <c r="B2041" s="1" t="s">
        <v>3844</v>
      </c>
      <c r="C2041" s="1" t="s">
        <v>7309</v>
      </c>
      <c r="D2041" s="1" t="s">
        <v>7393</v>
      </c>
      <c r="E2041" s="1" t="str">
        <f>"8470"</f>
        <v>8470</v>
      </c>
      <c r="F2041" s="1" t="str">
        <f>"016817809"</f>
        <v>016817809</v>
      </c>
      <c r="G2041" s="1" t="s">
        <v>3173</v>
      </c>
      <c r="H2041" s="1" t="s">
        <v>16</v>
      </c>
      <c r="I2041" s="4" t="str">
        <f>"6"</f>
        <v>6</v>
      </c>
      <c r="J2041" s="2">
        <v>4995.95</v>
      </c>
      <c r="K2041" s="3">
        <v>46127</v>
      </c>
      <c r="L2041" s="3">
        <v>46128</v>
      </c>
      <c r="M2041" s="1" t="s">
        <v>7184</v>
      </c>
      <c r="N2041" s="1" t="s">
        <v>7392</v>
      </c>
    </row>
    <row r="2042" spans="1:14" s="1" customFormat="1" x14ac:dyDescent="0.35">
      <c r="A2042" s="1" t="s">
        <v>5171</v>
      </c>
      <c r="B2042" s="1" t="s">
        <v>3844</v>
      </c>
      <c r="C2042" s="1" t="s">
        <v>3886</v>
      </c>
      <c r="D2042" s="1" t="s">
        <v>7391</v>
      </c>
      <c r="E2042" s="1" t="str">
        <f>"5855"</f>
        <v>5855</v>
      </c>
      <c r="F2042" s="1" t="s">
        <v>5542</v>
      </c>
      <c r="G2042" s="1" t="s">
        <v>5541</v>
      </c>
      <c r="H2042" s="1" t="s">
        <v>16</v>
      </c>
      <c r="I2042" s="4" t="str">
        <f>"1"</f>
        <v>1</v>
      </c>
      <c r="J2042" s="2" t="str">
        <f>"13000"</f>
        <v>13000</v>
      </c>
      <c r="K2042" s="3">
        <v>46122</v>
      </c>
      <c r="L2042" s="3">
        <v>46128</v>
      </c>
      <c r="M2042" s="1" t="s">
        <v>5167</v>
      </c>
      <c r="N2042" s="1" t="s">
        <v>7390</v>
      </c>
    </row>
    <row r="2043" spans="1:14" s="1" customFormat="1" x14ac:dyDescent="0.35">
      <c r="A2043" s="1" t="s">
        <v>5171</v>
      </c>
      <c r="B2043" s="1" t="s">
        <v>3844</v>
      </c>
      <c r="C2043" s="1" t="s">
        <v>3886</v>
      </c>
      <c r="D2043" s="1" t="s">
        <v>7389</v>
      </c>
      <c r="E2043" s="1" t="str">
        <f>"1240"</f>
        <v>1240</v>
      </c>
      <c r="F2043" s="1" t="str">
        <f>"016449166"</f>
        <v>016449166</v>
      </c>
      <c r="G2043" s="1" t="s">
        <v>7388</v>
      </c>
      <c r="H2043" s="1" t="s">
        <v>16</v>
      </c>
      <c r="I2043" s="4" t="str">
        <f>"14"</f>
        <v>14</v>
      </c>
      <c r="J2043" s="2" t="str">
        <f>"150"</f>
        <v>150</v>
      </c>
      <c r="K2043" s="3">
        <v>46128</v>
      </c>
      <c r="L2043" s="3">
        <v>46129</v>
      </c>
      <c r="M2043" s="1" t="s">
        <v>5167</v>
      </c>
      <c r="N2043" s="1" t="s">
        <v>7387</v>
      </c>
    </row>
    <row r="2044" spans="1:14" s="1" customFormat="1" x14ac:dyDescent="0.35">
      <c r="A2044" s="1" t="s">
        <v>5171</v>
      </c>
      <c r="B2044" s="1" t="s">
        <v>3844</v>
      </c>
      <c r="C2044" s="1" t="s">
        <v>3886</v>
      </c>
      <c r="D2044" s="1" t="s">
        <v>7386</v>
      </c>
      <c r="E2044" s="1" t="str">
        <f>"1240"</f>
        <v>1240</v>
      </c>
      <c r="F2044" s="1" t="str">
        <f>"015904552"</f>
        <v>015904552</v>
      </c>
      <c r="G2044" s="1" t="s">
        <v>7385</v>
      </c>
      <c r="H2044" s="1" t="s">
        <v>16</v>
      </c>
      <c r="I2044" s="4" t="str">
        <f>"8"</f>
        <v>8</v>
      </c>
      <c r="J2044" s="2" t="str">
        <f>"42912"</f>
        <v>42912</v>
      </c>
      <c r="K2044" s="3">
        <v>46127</v>
      </c>
      <c r="L2044" s="3">
        <v>46129</v>
      </c>
      <c r="M2044" s="1" t="s">
        <v>7384</v>
      </c>
      <c r="N2044" s="1" t="s">
        <v>7383</v>
      </c>
    </row>
    <row r="2045" spans="1:14" s="1" customFormat="1" x14ac:dyDescent="0.35">
      <c r="A2045" s="1" t="s">
        <v>5171</v>
      </c>
      <c r="B2045" s="1" t="s">
        <v>3844</v>
      </c>
      <c r="C2045" s="1" t="s">
        <v>3886</v>
      </c>
      <c r="D2045" s="1" t="s">
        <v>7382</v>
      </c>
      <c r="E2045" s="1" t="str">
        <f>"5855"</f>
        <v>5855</v>
      </c>
      <c r="F2045" s="1" t="str">
        <f>"016277123"</f>
        <v>016277123</v>
      </c>
      <c r="G2045" s="1" t="s">
        <v>6515</v>
      </c>
      <c r="H2045" s="1" t="s">
        <v>16</v>
      </c>
      <c r="I2045" s="4" t="str">
        <f>"8"</f>
        <v>8</v>
      </c>
      <c r="J2045" s="2">
        <v>477.52</v>
      </c>
      <c r="K2045" s="3">
        <v>46127</v>
      </c>
      <c r="L2045" s="3">
        <v>46129</v>
      </c>
      <c r="M2045" s="1" t="s">
        <v>7381</v>
      </c>
      <c r="N2045" s="1" t="s">
        <v>7380</v>
      </c>
    </row>
    <row r="2046" spans="1:14" s="1" customFormat="1" x14ac:dyDescent="0.35">
      <c r="A2046" s="1" t="s">
        <v>5171</v>
      </c>
      <c r="B2046" s="1" t="s">
        <v>3844</v>
      </c>
      <c r="C2046" s="1" t="s">
        <v>4130</v>
      </c>
      <c r="D2046" s="1" t="s">
        <v>7379</v>
      </c>
      <c r="E2046" s="1" t="str">
        <f>"2330"</f>
        <v>2330</v>
      </c>
      <c r="F2046" s="1" t="s">
        <v>70</v>
      </c>
      <c r="G2046" s="1" t="s">
        <v>71</v>
      </c>
      <c r="H2046" s="1" t="s">
        <v>16</v>
      </c>
      <c r="I2046" s="4" t="str">
        <f>"1"</f>
        <v>1</v>
      </c>
      <c r="J2046" s="2" t="str">
        <f>"9000"</f>
        <v>9000</v>
      </c>
      <c r="K2046" s="3">
        <v>46118</v>
      </c>
      <c r="L2046" s="3">
        <v>46130</v>
      </c>
      <c r="M2046" s="1" t="s">
        <v>7378</v>
      </c>
      <c r="N2046" s="1" t="s">
        <v>7377</v>
      </c>
    </row>
    <row r="2047" spans="1:14" s="1" customFormat="1" x14ac:dyDescent="0.35">
      <c r="A2047" s="1" t="s">
        <v>5171</v>
      </c>
      <c r="B2047" s="1" t="s">
        <v>3844</v>
      </c>
      <c r="C2047" s="1" t="s">
        <v>3886</v>
      </c>
      <c r="D2047" s="1" t="s">
        <v>7376</v>
      </c>
      <c r="E2047" s="1" t="str">
        <f>"5855"</f>
        <v>5855</v>
      </c>
      <c r="F2047" s="1" t="s">
        <v>5542</v>
      </c>
      <c r="G2047" s="1" t="s">
        <v>5541</v>
      </c>
      <c r="H2047" s="1" t="s">
        <v>16</v>
      </c>
      <c r="I2047" s="4" t="str">
        <f>"1"</f>
        <v>1</v>
      </c>
      <c r="J2047" s="2" t="str">
        <f>"13000"</f>
        <v>13000</v>
      </c>
      <c r="K2047" s="3">
        <v>46129</v>
      </c>
      <c r="L2047" s="3">
        <v>46132</v>
      </c>
      <c r="M2047" s="1" t="s">
        <v>5167</v>
      </c>
      <c r="N2047" s="1" t="s">
        <v>7375</v>
      </c>
    </row>
    <row r="2048" spans="1:14" s="1" customFormat="1" x14ac:dyDescent="0.35">
      <c r="A2048" s="1" t="s">
        <v>5216</v>
      </c>
      <c r="B2048" s="1" t="s">
        <v>3844</v>
      </c>
      <c r="C2048" s="1" t="s">
        <v>3886</v>
      </c>
      <c r="D2048" s="1" t="s">
        <v>7374</v>
      </c>
      <c r="E2048" s="1" t="str">
        <f>"8465"</f>
        <v>8465</v>
      </c>
      <c r="F2048" s="1" t="str">
        <f>"015801313"</f>
        <v>015801313</v>
      </c>
      <c r="G2048" s="1" t="s">
        <v>4040</v>
      </c>
      <c r="H2048" s="1" t="s">
        <v>16</v>
      </c>
      <c r="I2048" s="4" t="str">
        <f>"15"</f>
        <v>15</v>
      </c>
      <c r="J2048" s="2">
        <v>3.39</v>
      </c>
      <c r="K2048" s="3">
        <v>46130</v>
      </c>
      <c r="L2048" s="3">
        <v>46133</v>
      </c>
      <c r="M2048" s="1" t="s">
        <v>7371</v>
      </c>
      <c r="N2048" s="1" t="s">
        <v>7373</v>
      </c>
    </row>
    <row r="2049" spans="1:14" s="1" customFormat="1" x14ac:dyDescent="0.35">
      <c r="A2049" s="1" t="s">
        <v>5216</v>
      </c>
      <c r="B2049" s="1" t="s">
        <v>3844</v>
      </c>
      <c r="C2049" s="1" t="s">
        <v>3886</v>
      </c>
      <c r="D2049" s="1" t="s">
        <v>7372</v>
      </c>
      <c r="E2049" s="1" t="str">
        <f>"8465"</f>
        <v>8465</v>
      </c>
      <c r="F2049" s="1" t="str">
        <f>"015195204"</f>
        <v>015195204</v>
      </c>
      <c r="G2049" s="1" t="s">
        <v>4043</v>
      </c>
      <c r="H2049" s="1" t="s">
        <v>16</v>
      </c>
      <c r="I2049" s="4" t="str">
        <f>"20"</f>
        <v>20</v>
      </c>
      <c r="J2049" s="2">
        <v>21.8</v>
      </c>
      <c r="K2049" s="3">
        <v>46130</v>
      </c>
      <c r="L2049" s="3">
        <v>46133</v>
      </c>
      <c r="M2049" s="1" t="s">
        <v>7371</v>
      </c>
      <c r="N2049" s="1" t="s">
        <v>7370</v>
      </c>
    </row>
    <row r="2050" spans="1:14" s="1" customFormat="1" x14ac:dyDescent="0.35">
      <c r="A2050" s="1" t="s">
        <v>0</v>
      </c>
      <c r="B2050" s="1" t="s">
        <v>3844</v>
      </c>
      <c r="C2050" s="1" t="s">
        <v>3886</v>
      </c>
      <c r="D2050" s="1" t="s">
        <v>7369</v>
      </c>
      <c r="E2050" s="1" t="str">
        <f>"4240"</f>
        <v>4240</v>
      </c>
      <c r="F2050" s="1" t="str">
        <f>"015311165"</f>
        <v>015311165</v>
      </c>
      <c r="G2050" s="1" t="s">
        <v>5630</v>
      </c>
      <c r="H2050" s="1" t="s">
        <v>215</v>
      </c>
      <c r="I2050" s="4" t="str">
        <f>"2"</f>
        <v>2</v>
      </c>
      <c r="J2050" s="2">
        <v>63059.38</v>
      </c>
      <c r="K2050" s="3">
        <v>46133</v>
      </c>
      <c r="L2050" s="3">
        <v>46133</v>
      </c>
      <c r="M2050" s="1" t="s">
        <v>7363</v>
      </c>
      <c r="N2050" s="1" t="s">
        <v>7368</v>
      </c>
    </row>
    <row r="2051" spans="1:14" s="1" customFormat="1" x14ac:dyDescent="0.35">
      <c r="A2051" s="1" t="s">
        <v>0</v>
      </c>
      <c r="B2051" s="1" t="s">
        <v>3844</v>
      </c>
      <c r="C2051" s="1" t="s">
        <v>7309</v>
      </c>
      <c r="D2051" s="1" t="s">
        <v>7367</v>
      </c>
      <c r="E2051" s="1" t="str">
        <f>"2320"</f>
        <v>2320</v>
      </c>
      <c r="F2051" s="1" t="str">
        <f>"015402017"</f>
        <v>015402017</v>
      </c>
      <c r="G2051" s="1" t="s">
        <v>414</v>
      </c>
      <c r="H2051" s="1" t="s">
        <v>16</v>
      </c>
      <c r="I2051" s="4" t="str">
        <f>"1"</f>
        <v>1</v>
      </c>
      <c r="J2051" s="2" t="str">
        <f>"204469"</f>
        <v>204469</v>
      </c>
      <c r="K2051" s="3">
        <v>46132</v>
      </c>
      <c r="L2051" s="3">
        <v>46133</v>
      </c>
      <c r="M2051" s="1" t="s">
        <v>7366</v>
      </c>
      <c r="N2051" s="1" t="s">
        <v>7365</v>
      </c>
    </row>
    <row r="2052" spans="1:14" s="1" customFormat="1" x14ac:dyDescent="0.35">
      <c r="A2052" s="1" t="s">
        <v>0</v>
      </c>
      <c r="B2052" s="1" t="s">
        <v>3844</v>
      </c>
      <c r="C2052" s="1" t="s">
        <v>7309</v>
      </c>
      <c r="D2052" s="1" t="s">
        <v>7364</v>
      </c>
      <c r="E2052" s="1" t="str">
        <f>"4240"</f>
        <v>4240</v>
      </c>
      <c r="F2052" s="1" t="str">
        <f>"015311165"</f>
        <v>015311165</v>
      </c>
      <c r="G2052" s="1" t="s">
        <v>5630</v>
      </c>
      <c r="H2052" s="1" t="s">
        <v>215</v>
      </c>
      <c r="I2052" s="4" t="str">
        <f>"2"</f>
        <v>2</v>
      </c>
      <c r="J2052" s="2">
        <v>63059.38</v>
      </c>
      <c r="K2052" s="3">
        <v>46132</v>
      </c>
      <c r="L2052" s="3">
        <v>46133</v>
      </c>
      <c r="M2052" s="1" t="s">
        <v>7363</v>
      </c>
      <c r="N2052" s="1" t="s">
        <v>7362</v>
      </c>
    </row>
    <row r="2053" spans="1:14" s="1" customFormat="1" x14ac:dyDescent="0.35">
      <c r="A2053" s="1" t="s">
        <v>5171</v>
      </c>
      <c r="B2053" s="1" t="s">
        <v>3844</v>
      </c>
      <c r="C2053" s="1" t="s">
        <v>3886</v>
      </c>
      <c r="D2053" s="1" t="s">
        <v>7361</v>
      </c>
      <c r="E2053" s="1" t="str">
        <f>"8465"</f>
        <v>8465</v>
      </c>
      <c r="F2053" s="1" t="str">
        <f>"016647321"</f>
        <v>016647321</v>
      </c>
      <c r="G2053" s="1" t="s">
        <v>1753</v>
      </c>
      <c r="H2053" s="1" t="s">
        <v>16</v>
      </c>
      <c r="I2053" s="4" t="str">
        <f>"2"</f>
        <v>2</v>
      </c>
      <c r="J2053" s="2">
        <v>299.10000000000002</v>
      </c>
      <c r="K2053" s="3">
        <v>46130</v>
      </c>
      <c r="L2053" s="3">
        <v>46133</v>
      </c>
      <c r="M2053" s="1" t="s">
        <v>5167</v>
      </c>
      <c r="N2053" s="1" t="s">
        <v>7360</v>
      </c>
    </row>
    <row r="2054" spans="1:14" s="1" customFormat="1" x14ac:dyDescent="0.35">
      <c r="A2054" s="1" t="s">
        <v>5171</v>
      </c>
      <c r="B2054" s="1" t="s">
        <v>3844</v>
      </c>
      <c r="C2054" s="1" t="s">
        <v>3886</v>
      </c>
      <c r="D2054" s="1" t="s">
        <v>7359</v>
      </c>
      <c r="E2054" s="1" t="str">
        <f>"1385"</f>
        <v>1385</v>
      </c>
      <c r="F2054" s="1" t="str">
        <f>"016274491"</f>
        <v>016274491</v>
      </c>
      <c r="G2054" s="1" t="s">
        <v>2146</v>
      </c>
      <c r="H2054" s="1" t="s">
        <v>16</v>
      </c>
      <c r="I2054" s="4" t="str">
        <f>"1"</f>
        <v>1</v>
      </c>
      <c r="J2054" s="2">
        <v>11556.33</v>
      </c>
      <c r="K2054" s="3">
        <v>46133</v>
      </c>
      <c r="L2054" s="3">
        <v>46137</v>
      </c>
      <c r="M2054" s="1" t="s">
        <v>5167</v>
      </c>
      <c r="N2054" s="1" t="s">
        <v>7358</v>
      </c>
    </row>
    <row r="2055" spans="1:14" s="1" customFormat="1" x14ac:dyDescent="0.35">
      <c r="A2055" s="1" t="s">
        <v>5171</v>
      </c>
      <c r="B2055" s="1" t="s">
        <v>3844</v>
      </c>
      <c r="C2055" s="1" t="s">
        <v>3886</v>
      </c>
      <c r="D2055" s="1" t="s">
        <v>7357</v>
      </c>
      <c r="E2055" s="1" t="str">
        <f>"5180"</f>
        <v>5180</v>
      </c>
      <c r="F2055" s="1" t="str">
        <f>"015636719"</f>
        <v>015636719</v>
      </c>
      <c r="G2055" s="1" t="s">
        <v>4502</v>
      </c>
      <c r="H2055" s="1" t="s">
        <v>215</v>
      </c>
      <c r="I2055" s="4" t="str">
        <f>"4"</f>
        <v>4</v>
      </c>
      <c r="J2055" s="2" t="str">
        <f>"60295"</f>
        <v>60295</v>
      </c>
      <c r="K2055" s="3">
        <v>46139</v>
      </c>
      <c r="L2055" s="3">
        <v>46140</v>
      </c>
      <c r="M2055" s="1" t="s">
        <v>5167</v>
      </c>
      <c r="N2055" s="1" t="s">
        <v>7356</v>
      </c>
    </row>
    <row r="2056" spans="1:14" s="1" customFormat="1" x14ac:dyDescent="0.35">
      <c r="A2056" s="1" t="s">
        <v>5171</v>
      </c>
      <c r="B2056" s="1" t="s">
        <v>3844</v>
      </c>
      <c r="C2056" s="1" t="s">
        <v>7309</v>
      </c>
      <c r="D2056" s="1" t="s">
        <v>7355</v>
      </c>
      <c r="E2056" s="1" t="str">
        <f>"5180"</f>
        <v>5180</v>
      </c>
      <c r="F2056" s="1" t="str">
        <f>"015636719"</f>
        <v>015636719</v>
      </c>
      <c r="G2056" s="1" t="s">
        <v>4502</v>
      </c>
      <c r="H2056" s="1" t="s">
        <v>215</v>
      </c>
      <c r="I2056" s="4" t="str">
        <f>"1"</f>
        <v>1</v>
      </c>
      <c r="J2056" s="2" t="str">
        <f>"60295"</f>
        <v>60295</v>
      </c>
      <c r="K2056" s="3">
        <v>46139</v>
      </c>
      <c r="L2056" s="3">
        <v>46140</v>
      </c>
      <c r="M2056" s="1" t="s">
        <v>5167</v>
      </c>
      <c r="N2056" s="1" t="s">
        <v>7354</v>
      </c>
    </row>
    <row r="2057" spans="1:14" s="1" customFormat="1" x14ac:dyDescent="0.35">
      <c r="A2057" s="1" t="s">
        <v>5171</v>
      </c>
      <c r="B2057" s="1" t="s">
        <v>3844</v>
      </c>
      <c r="C2057" s="1" t="s">
        <v>4137</v>
      </c>
      <c r="D2057" s="1" t="s">
        <v>7353</v>
      </c>
      <c r="E2057" s="1" t="str">
        <f>"2320"</f>
        <v>2320</v>
      </c>
      <c r="F2057" s="1" t="str">
        <f>"010907892"</f>
        <v>010907892</v>
      </c>
      <c r="G2057" s="1" t="s">
        <v>271</v>
      </c>
      <c r="H2057" s="1" t="s">
        <v>16</v>
      </c>
      <c r="I2057" s="4" t="str">
        <f>"1"</f>
        <v>1</v>
      </c>
      <c r="J2057" s="2" t="str">
        <f>"23000"</f>
        <v>23000</v>
      </c>
      <c r="K2057" s="3">
        <v>46137</v>
      </c>
      <c r="L2057" s="3">
        <v>46140</v>
      </c>
      <c r="M2057" s="1" t="s">
        <v>7352</v>
      </c>
      <c r="N2057" s="1" t="s">
        <v>7351</v>
      </c>
    </row>
    <row r="2058" spans="1:14" s="1" customFormat="1" x14ac:dyDescent="0.35">
      <c r="A2058" s="1" t="s">
        <v>5171</v>
      </c>
      <c r="B2058" s="1" t="s">
        <v>3844</v>
      </c>
      <c r="C2058" s="1" t="s">
        <v>4137</v>
      </c>
      <c r="D2058" s="1" t="s">
        <v>7350</v>
      </c>
      <c r="E2058" s="1" t="str">
        <f>"3805"</f>
        <v>3805</v>
      </c>
      <c r="F2058" s="1" t="str">
        <f>"012575636"</f>
        <v>012575636</v>
      </c>
      <c r="G2058" s="1" t="s">
        <v>132</v>
      </c>
      <c r="H2058" s="1" t="s">
        <v>16</v>
      </c>
      <c r="I2058" s="4" t="str">
        <f>"1"</f>
        <v>1</v>
      </c>
      <c r="J2058" s="2" t="str">
        <f>"37532"</f>
        <v>37532</v>
      </c>
      <c r="K2058" s="3">
        <v>46137</v>
      </c>
      <c r="L2058" s="3">
        <v>46140</v>
      </c>
      <c r="M2058" s="1" t="s">
        <v>5167</v>
      </c>
      <c r="N2058" s="1" t="s">
        <v>7349</v>
      </c>
    </row>
    <row r="2059" spans="1:14" s="1" customFormat="1" x14ac:dyDescent="0.35">
      <c r="A2059" s="1" t="s">
        <v>5171</v>
      </c>
      <c r="B2059" s="1" t="s">
        <v>3844</v>
      </c>
      <c r="C2059" s="1" t="s">
        <v>4111</v>
      </c>
      <c r="D2059" s="1" t="s">
        <v>7348</v>
      </c>
      <c r="E2059" s="1" t="str">
        <f>"2340"</f>
        <v>2340</v>
      </c>
      <c r="F2059" s="1" t="s">
        <v>84</v>
      </c>
      <c r="G2059" s="1" t="s">
        <v>85</v>
      </c>
      <c r="H2059" s="1" t="s">
        <v>16</v>
      </c>
      <c r="I2059" s="4" t="str">
        <f>"1"</f>
        <v>1</v>
      </c>
      <c r="J2059" s="2">
        <v>31905.14</v>
      </c>
      <c r="K2059" s="3">
        <v>46139</v>
      </c>
      <c r="L2059" s="3">
        <v>46143</v>
      </c>
      <c r="M2059" s="1" t="s">
        <v>5167</v>
      </c>
      <c r="N2059" s="1" t="s">
        <v>7342</v>
      </c>
    </row>
    <row r="2060" spans="1:14" s="1" customFormat="1" x14ac:dyDescent="0.35">
      <c r="A2060" s="1" t="s">
        <v>5171</v>
      </c>
      <c r="B2060" s="1" t="s">
        <v>3844</v>
      </c>
      <c r="C2060" s="1" t="s">
        <v>4111</v>
      </c>
      <c r="D2060" s="1" t="s">
        <v>7347</v>
      </c>
      <c r="E2060" s="1" t="str">
        <f>"2340"</f>
        <v>2340</v>
      </c>
      <c r="F2060" s="1" t="s">
        <v>84</v>
      </c>
      <c r="G2060" s="1" t="s">
        <v>85</v>
      </c>
      <c r="H2060" s="1" t="s">
        <v>16</v>
      </c>
      <c r="I2060" s="4" t="str">
        <f>"1"</f>
        <v>1</v>
      </c>
      <c r="J2060" s="2">
        <v>31905.14</v>
      </c>
      <c r="K2060" s="3">
        <v>46139</v>
      </c>
      <c r="L2060" s="3">
        <v>46143</v>
      </c>
      <c r="M2060" s="1" t="s">
        <v>5167</v>
      </c>
      <c r="N2060" s="1" t="s">
        <v>7342</v>
      </c>
    </row>
    <row r="2061" spans="1:14" s="1" customFormat="1" x14ac:dyDescent="0.35">
      <c r="A2061" s="1" t="s">
        <v>5171</v>
      </c>
      <c r="B2061" s="1" t="s">
        <v>3844</v>
      </c>
      <c r="C2061" s="1" t="s">
        <v>4111</v>
      </c>
      <c r="D2061" s="1" t="s">
        <v>7346</v>
      </c>
      <c r="E2061" s="1" t="str">
        <f>"2340"</f>
        <v>2340</v>
      </c>
      <c r="F2061" s="1" t="s">
        <v>84</v>
      </c>
      <c r="G2061" s="1" t="s">
        <v>85</v>
      </c>
      <c r="H2061" s="1" t="s">
        <v>16</v>
      </c>
      <c r="I2061" s="4" t="str">
        <f>"1"</f>
        <v>1</v>
      </c>
      <c r="J2061" s="2">
        <v>31905.14</v>
      </c>
      <c r="K2061" s="3">
        <v>46139</v>
      </c>
      <c r="L2061" s="3">
        <v>46143</v>
      </c>
      <c r="M2061" s="1" t="s">
        <v>7345</v>
      </c>
      <c r="N2061" s="1" t="s">
        <v>7342</v>
      </c>
    </row>
    <row r="2062" spans="1:14" s="1" customFormat="1" x14ac:dyDescent="0.35">
      <c r="A2062" s="1" t="s">
        <v>5171</v>
      </c>
      <c r="B2062" s="1" t="s">
        <v>3844</v>
      </c>
      <c r="C2062" s="1" t="s">
        <v>4111</v>
      </c>
      <c r="D2062" s="1" t="s">
        <v>7344</v>
      </c>
      <c r="E2062" s="1" t="str">
        <f>"2340"</f>
        <v>2340</v>
      </c>
      <c r="F2062" s="1" t="s">
        <v>84</v>
      </c>
      <c r="G2062" s="1" t="s">
        <v>85</v>
      </c>
      <c r="H2062" s="1" t="s">
        <v>16</v>
      </c>
      <c r="I2062" s="4" t="str">
        <f>"1"</f>
        <v>1</v>
      </c>
      <c r="J2062" s="2">
        <v>31905.14</v>
      </c>
      <c r="K2062" s="3">
        <v>46139</v>
      </c>
      <c r="L2062" s="3">
        <v>46143</v>
      </c>
      <c r="M2062" s="1" t="s">
        <v>7343</v>
      </c>
      <c r="N2062" s="1" t="s">
        <v>7342</v>
      </c>
    </row>
    <row r="2063" spans="1:14" s="1" customFormat="1" x14ac:dyDescent="0.35">
      <c r="A2063" s="1" t="s">
        <v>5171</v>
      </c>
      <c r="B2063" s="1" t="s">
        <v>3844</v>
      </c>
      <c r="C2063" s="1" t="s">
        <v>3886</v>
      </c>
      <c r="D2063" s="1" t="s">
        <v>7341</v>
      </c>
      <c r="E2063" s="1" t="str">
        <f>"6230"</f>
        <v>6230</v>
      </c>
      <c r="F2063" s="1" t="str">
        <f>"016134312"</f>
        <v>016134312</v>
      </c>
      <c r="G2063" s="1" t="s">
        <v>230</v>
      </c>
      <c r="H2063" s="1" t="s">
        <v>16</v>
      </c>
      <c r="I2063" s="4" t="str">
        <f>"20"</f>
        <v>20</v>
      </c>
      <c r="J2063" s="2">
        <v>92.96</v>
      </c>
      <c r="K2063" s="3">
        <v>46130</v>
      </c>
      <c r="L2063" s="3">
        <v>46144</v>
      </c>
      <c r="M2063" s="1" t="s">
        <v>7340</v>
      </c>
      <c r="N2063" s="1" t="s">
        <v>7339</v>
      </c>
    </row>
    <row r="2064" spans="1:14" s="1" customFormat="1" x14ac:dyDescent="0.35">
      <c r="A2064" s="1" t="s">
        <v>5171</v>
      </c>
      <c r="B2064" s="1" t="s">
        <v>3844</v>
      </c>
      <c r="C2064" s="1" t="s">
        <v>3886</v>
      </c>
      <c r="D2064" s="1" t="s">
        <v>7338</v>
      </c>
      <c r="E2064" s="1" t="str">
        <f>"8465"</f>
        <v>8465</v>
      </c>
      <c r="F2064" s="1" t="str">
        <f>"015736396"</f>
        <v>015736396</v>
      </c>
      <c r="G2064" s="1" t="s">
        <v>2790</v>
      </c>
      <c r="H2064" s="1" t="s">
        <v>16</v>
      </c>
      <c r="I2064" s="4" t="str">
        <f>"5"</f>
        <v>5</v>
      </c>
      <c r="J2064" s="2">
        <v>90.83</v>
      </c>
      <c r="K2064" s="3">
        <v>46132</v>
      </c>
      <c r="L2064" s="3">
        <v>46144</v>
      </c>
      <c r="M2064" s="1" t="s">
        <v>7337</v>
      </c>
      <c r="N2064" s="1" t="s">
        <v>7336</v>
      </c>
    </row>
    <row r="2065" spans="1:14" s="1" customFormat="1" x14ac:dyDescent="0.35">
      <c r="A2065" s="1" t="s">
        <v>5171</v>
      </c>
      <c r="B2065" s="1" t="s">
        <v>3844</v>
      </c>
      <c r="C2065" s="1" t="s">
        <v>3886</v>
      </c>
      <c r="D2065" s="1" t="s">
        <v>7335</v>
      </c>
      <c r="E2065" s="1" t="str">
        <f>"4240"</f>
        <v>4240</v>
      </c>
      <c r="F2065" s="1" t="str">
        <f>"015253095"</f>
        <v>015253095</v>
      </c>
      <c r="G2065" s="1" t="s">
        <v>7334</v>
      </c>
      <c r="H2065" s="1" t="s">
        <v>16</v>
      </c>
      <c r="I2065" s="4" t="str">
        <f>"29"</f>
        <v>29</v>
      </c>
      <c r="J2065" s="2">
        <v>129.01</v>
      </c>
      <c r="K2065" s="3">
        <v>46133</v>
      </c>
      <c r="L2065" s="3">
        <v>46144</v>
      </c>
      <c r="M2065" s="1" t="s">
        <v>7333</v>
      </c>
      <c r="N2065" s="1" t="s">
        <v>7332</v>
      </c>
    </row>
    <row r="2066" spans="1:14" s="1" customFormat="1" x14ac:dyDescent="0.35">
      <c r="A2066" s="1" t="s">
        <v>0</v>
      </c>
      <c r="B2066" s="1" t="s">
        <v>3844</v>
      </c>
      <c r="C2066" s="1" t="s">
        <v>3886</v>
      </c>
      <c r="D2066" s="1" t="s">
        <v>7331</v>
      </c>
      <c r="E2066" s="1" t="str">
        <f>"6920"</f>
        <v>6920</v>
      </c>
      <c r="F2066" s="1" t="str">
        <f>"015320203"</f>
        <v>015320203</v>
      </c>
      <c r="G2066" s="1" t="s">
        <v>2470</v>
      </c>
      <c r="H2066" s="1" t="s">
        <v>16</v>
      </c>
      <c r="I2066" s="4" t="str">
        <f>"1"</f>
        <v>1</v>
      </c>
      <c r="J2066" s="2" t="str">
        <f>"26945"</f>
        <v>26945</v>
      </c>
      <c r="K2066" s="3">
        <v>46144</v>
      </c>
      <c r="L2066" s="3">
        <v>46146</v>
      </c>
      <c r="M2066" s="1" t="s">
        <v>7184</v>
      </c>
      <c r="N2066" s="1" t="s">
        <v>7330</v>
      </c>
    </row>
    <row r="2067" spans="1:14" s="1" customFormat="1" x14ac:dyDescent="0.35">
      <c r="A2067" s="1" t="s">
        <v>5171</v>
      </c>
      <c r="B2067" s="1" t="s">
        <v>3844</v>
      </c>
      <c r="C2067" s="1" t="s">
        <v>3886</v>
      </c>
      <c r="D2067" s="1" t="s">
        <v>7329</v>
      </c>
      <c r="E2067" s="1" t="str">
        <f>"8145"</f>
        <v>8145</v>
      </c>
      <c r="F2067" s="1" t="str">
        <f>"015010913"</f>
        <v>015010913</v>
      </c>
      <c r="G2067" s="1" t="s">
        <v>7328</v>
      </c>
      <c r="H2067" s="1" t="s">
        <v>16</v>
      </c>
      <c r="I2067" s="4" t="str">
        <f>"1"</f>
        <v>1</v>
      </c>
      <c r="J2067" s="2">
        <v>3250.63</v>
      </c>
      <c r="K2067" s="3">
        <v>46119</v>
      </c>
      <c r="L2067" s="3">
        <v>46146</v>
      </c>
      <c r="M2067" s="1" t="s">
        <v>7327</v>
      </c>
      <c r="N2067" s="1" t="s">
        <v>7326</v>
      </c>
    </row>
    <row r="2068" spans="1:14" s="1" customFormat="1" x14ac:dyDescent="0.35">
      <c r="A2068" s="1" t="s">
        <v>0</v>
      </c>
      <c r="B2068" s="1" t="s">
        <v>3844</v>
      </c>
      <c r="C2068" s="1" t="s">
        <v>4130</v>
      </c>
      <c r="D2068" s="1" t="s">
        <v>7325</v>
      </c>
      <c r="E2068" s="1" t="str">
        <f>"4240"</f>
        <v>4240</v>
      </c>
      <c r="F2068" s="1" t="s">
        <v>2930</v>
      </c>
      <c r="G2068" s="1" t="s">
        <v>2931</v>
      </c>
      <c r="H2068" s="1" t="s">
        <v>16</v>
      </c>
      <c r="I2068" s="4" t="str">
        <f>"1"</f>
        <v>1</v>
      </c>
      <c r="J2068" s="2" t="str">
        <f>"49800"</f>
        <v>49800</v>
      </c>
      <c r="K2068" s="3">
        <v>46144</v>
      </c>
      <c r="L2068" s="3">
        <v>46147</v>
      </c>
      <c r="M2068" s="1" t="s">
        <v>7324</v>
      </c>
      <c r="N2068" s="1" t="s">
        <v>7323</v>
      </c>
    </row>
    <row r="2069" spans="1:14" s="1" customFormat="1" x14ac:dyDescent="0.35">
      <c r="A2069" s="1" t="s">
        <v>5171</v>
      </c>
      <c r="B2069" s="1" t="s">
        <v>3844</v>
      </c>
      <c r="C2069" s="1" t="s">
        <v>3886</v>
      </c>
      <c r="D2069" s="1" t="s">
        <v>7322</v>
      </c>
      <c r="E2069" s="1" t="str">
        <f>"6230"</f>
        <v>6230</v>
      </c>
      <c r="F2069" s="1" t="str">
        <f>"015894822"</f>
        <v>015894822</v>
      </c>
      <c r="G2069" s="1" t="s">
        <v>2368</v>
      </c>
      <c r="H2069" s="1" t="s">
        <v>16</v>
      </c>
      <c r="I2069" s="4" t="str">
        <f>"36"</f>
        <v>36</v>
      </c>
      <c r="J2069" s="2">
        <v>647.44000000000005</v>
      </c>
      <c r="K2069" s="3">
        <v>46137</v>
      </c>
      <c r="L2069" s="3">
        <v>46151</v>
      </c>
      <c r="M2069" s="1" t="s">
        <v>7321</v>
      </c>
      <c r="N2069" s="1" t="s">
        <v>7320</v>
      </c>
    </row>
    <row r="2070" spans="1:14" s="1" customFormat="1" x14ac:dyDescent="0.35">
      <c r="A2070" s="1" t="s">
        <v>5171</v>
      </c>
      <c r="B2070" s="1" t="s">
        <v>3844</v>
      </c>
      <c r="C2070" s="1" t="s">
        <v>3886</v>
      </c>
      <c r="D2070" s="1" t="s">
        <v>7319</v>
      </c>
      <c r="E2070" s="1" t="str">
        <f>"8465"</f>
        <v>8465</v>
      </c>
      <c r="F2070" s="1" t="str">
        <f>"015291712"</f>
        <v>015291712</v>
      </c>
      <c r="G2070" s="1" t="s">
        <v>1792</v>
      </c>
      <c r="H2070" s="1" t="s">
        <v>16</v>
      </c>
      <c r="I2070" s="4" t="str">
        <f>"3"</f>
        <v>3</v>
      </c>
      <c r="J2070" s="2">
        <v>79.790000000000006</v>
      </c>
      <c r="K2070" s="3">
        <v>46147</v>
      </c>
      <c r="L2070" s="3">
        <v>46151</v>
      </c>
      <c r="M2070" s="1" t="s">
        <v>7318</v>
      </c>
      <c r="N2070" s="1" t="s">
        <v>7317</v>
      </c>
    </row>
    <row r="2071" spans="1:14" s="1" customFormat="1" x14ac:dyDescent="0.35">
      <c r="A2071" s="1" t="s">
        <v>5171</v>
      </c>
      <c r="B2071" s="1" t="s">
        <v>3844</v>
      </c>
      <c r="C2071" s="1" t="s">
        <v>7309</v>
      </c>
      <c r="D2071" s="1" t="s">
        <v>7316</v>
      </c>
      <c r="E2071" s="1" t="str">
        <f>"2320"</f>
        <v>2320</v>
      </c>
      <c r="F2071" s="1" t="s">
        <v>2218</v>
      </c>
      <c r="G2071" s="1" t="s">
        <v>2219</v>
      </c>
      <c r="H2071" s="1" t="s">
        <v>16</v>
      </c>
      <c r="I2071" s="4" t="str">
        <f>"1"</f>
        <v>1</v>
      </c>
      <c r="J2071" s="2" t="str">
        <f>"10000"</f>
        <v>10000</v>
      </c>
      <c r="K2071" s="3">
        <v>46139</v>
      </c>
      <c r="L2071" s="3">
        <v>46151</v>
      </c>
      <c r="M2071" s="1" t="s">
        <v>7315</v>
      </c>
      <c r="N2071" s="1" t="s">
        <v>7314</v>
      </c>
    </row>
    <row r="2072" spans="1:14" s="1" customFormat="1" x14ac:dyDescent="0.35">
      <c r="A2072" s="1" t="s">
        <v>5171</v>
      </c>
      <c r="B2072" s="1" t="s">
        <v>3844</v>
      </c>
      <c r="C2072" s="1" t="s">
        <v>4111</v>
      </c>
      <c r="D2072" s="1" t="s">
        <v>7313</v>
      </c>
      <c r="E2072" s="1" t="str">
        <f>"2330"</f>
        <v>2330</v>
      </c>
      <c r="F2072" s="1" t="str">
        <f>"016131206"</f>
        <v>016131206</v>
      </c>
      <c r="G2072" s="1" t="s">
        <v>979</v>
      </c>
      <c r="H2072" s="1" t="s">
        <v>16</v>
      </c>
      <c r="I2072" s="4" t="str">
        <f>"1"</f>
        <v>1</v>
      </c>
      <c r="J2072" s="2" t="str">
        <f>"35000"</f>
        <v>35000</v>
      </c>
      <c r="K2072" s="3">
        <v>46139</v>
      </c>
      <c r="L2072" s="3">
        <v>46151</v>
      </c>
      <c r="M2072" s="1" t="s">
        <v>5167</v>
      </c>
      <c r="N2072" s="1" t="s">
        <v>7312</v>
      </c>
    </row>
    <row r="2073" spans="1:14" s="1" customFormat="1" x14ac:dyDescent="0.35">
      <c r="A2073" s="1" t="s">
        <v>5171</v>
      </c>
      <c r="B2073" s="1" t="s">
        <v>3844</v>
      </c>
      <c r="C2073" s="1" t="s">
        <v>4118</v>
      </c>
      <c r="D2073" s="1" t="s">
        <v>7311</v>
      </c>
      <c r="E2073" s="1" t="str">
        <f>"2340"</f>
        <v>2340</v>
      </c>
      <c r="F2073" s="1" t="s">
        <v>61</v>
      </c>
      <c r="G2073" s="1" t="s">
        <v>62</v>
      </c>
      <c r="H2073" s="1" t="s">
        <v>16</v>
      </c>
      <c r="I2073" s="4" t="str">
        <f>"1"</f>
        <v>1</v>
      </c>
      <c r="J2073" s="2">
        <v>18348.04</v>
      </c>
      <c r="K2073" s="3">
        <v>46141</v>
      </c>
      <c r="L2073" s="3">
        <v>46151</v>
      </c>
      <c r="M2073" s="1" t="s">
        <v>7310</v>
      </c>
      <c r="N2073" s="1" t="s">
        <v>4120</v>
      </c>
    </row>
    <row r="2074" spans="1:14" s="1" customFormat="1" x14ac:dyDescent="0.35">
      <c r="A2074" s="1" t="s">
        <v>5171</v>
      </c>
      <c r="B2074" s="1" t="s">
        <v>3844</v>
      </c>
      <c r="C2074" s="1" t="s">
        <v>7309</v>
      </c>
      <c r="D2074" s="1" t="s">
        <v>7308</v>
      </c>
      <c r="E2074" s="1" t="str">
        <f>"5855"</f>
        <v>5855</v>
      </c>
      <c r="F2074" s="1" t="str">
        <f>"015502780"</f>
        <v>015502780</v>
      </c>
      <c r="G2074" s="1" t="s">
        <v>1379</v>
      </c>
      <c r="H2074" s="1" t="s">
        <v>16</v>
      </c>
      <c r="I2074" s="4" t="str">
        <f>"14"</f>
        <v>14</v>
      </c>
      <c r="J2074" s="2">
        <v>1475.12</v>
      </c>
      <c r="K2074" s="3">
        <v>46026</v>
      </c>
      <c r="L2074" s="3">
        <v>46153</v>
      </c>
      <c r="M2074" s="1" t="s">
        <v>7307</v>
      </c>
      <c r="N2074" s="1" t="s">
        <v>7306</v>
      </c>
    </row>
    <row r="2075" spans="1:14" s="1" customFormat="1" x14ac:dyDescent="0.35">
      <c r="A2075" s="1" t="s">
        <v>5171</v>
      </c>
      <c r="B2075" s="1" t="s">
        <v>3844</v>
      </c>
      <c r="C2075" s="1" t="s">
        <v>3886</v>
      </c>
      <c r="D2075" s="1" t="s">
        <v>7305</v>
      </c>
      <c r="E2075" s="1" t="str">
        <f>"1240"</f>
        <v>1240</v>
      </c>
      <c r="F2075" s="1" t="str">
        <f>"015171751"</f>
        <v>015171751</v>
      </c>
      <c r="G2075" s="1" t="s">
        <v>7304</v>
      </c>
      <c r="H2075" s="1" t="s">
        <v>16</v>
      </c>
      <c r="I2075" s="4" t="str">
        <f>"12"</f>
        <v>12</v>
      </c>
      <c r="J2075" s="2" t="str">
        <f>"280"</f>
        <v>280</v>
      </c>
      <c r="K2075" s="3">
        <v>46151</v>
      </c>
      <c r="L2075" s="3">
        <v>46154</v>
      </c>
      <c r="M2075" s="1" t="s">
        <v>5167</v>
      </c>
      <c r="N2075" s="1" t="s">
        <v>7303</v>
      </c>
    </row>
    <row r="2076" spans="1:14" s="1" customFormat="1" x14ac:dyDescent="0.35">
      <c r="A2076" s="1" t="s">
        <v>0</v>
      </c>
      <c r="B2076" s="1" t="s">
        <v>3844</v>
      </c>
      <c r="C2076" s="1" t="s">
        <v>7302</v>
      </c>
      <c r="D2076" s="1" t="s">
        <v>7301</v>
      </c>
      <c r="E2076" s="1" t="str">
        <f>"5855"</f>
        <v>5855</v>
      </c>
      <c r="F2076" s="1" t="str">
        <f>"015751268"</f>
        <v>015751268</v>
      </c>
      <c r="G2076" s="1" t="s">
        <v>6515</v>
      </c>
      <c r="H2076" s="1" t="s">
        <v>16</v>
      </c>
      <c r="I2076" s="4" t="str">
        <f>"1"</f>
        <v>1</v>
      </c>
      <c r="J2076" s="2" t="str">
        <f>"37281"</f>
        <v>37281</v>
      </c>
      <c r="K2076" s="3">
        <v>46154</v>
      </c>
      <c r="L2076" s="3">
        <v>46155</v>
      </c>
      <c r="M2076" s="1" t="s">
        <v>7300</v>
      </c>
      <c r="N2076" s="1" t="s">
        <v>7299</v>
      </c>
    </row>
    <row r="2077" spans="1:14" s="1" customFormat="1" x14ac:dyDescent="0.35">
      <c r="A2077" s="1" t="s">
        <v>5171</v>
      </c>
      <c r="B2077" s="1" t="s">
        <v>3844</v>
      </c>
      <c r="C2077" s="1" t="s">
        <v>3886</v>
      </c>
      <c r="D2077" s="1" t="s">
        <v>7298</v>
      </c>
      <c r="E2077" s="1" t="str">
        <f>"6910"</f>
        <v>6910</v>
      </c>
      <c r="F2077" s="1" t="s">
        <v>1124</v>
      </c>
      <c r="G2077" s="1" t="s">
        <v>1125</v>
      </c>
      <c r="H2077" s="1" t="s">
        <v>16</v>
      </c>
      <c r="I2077" s="4" t="str">
        <f>"2"</f>
        <v>2</v>
      </c>
      <c r="J2077" s="2" t="str">
        <f>"6080"</f>
        <v>6080</v>
      </c>
      <c r="K2077" s="3">
        <v>46147</v>
      </c>
      <c r="L2077" s="3">
        <v>46158</v>
      </c>
      <c r="M2077" s="1" t="s">
        <v>7297</v>
      </c>
      <c r="N2077" s="1" t="s">
        <v>7296</v>
      </c>
    </row>
    <row r="2078" spans="1:14" s="1" customFormat="1" x14ac:dyDescent="0.35">
      <c r="A2078" s="1" t="s">
        <v>5171</v>
      </c>
      <c r="B2078" s="1" t="s">
        <v>3844</v>
      </c>
      <c r="C2078" s="1" t="s">
        <v>4111</v>
      </c>
      <c r="D2078" s="1" t="s">
        <v>7295</v>
      </c>
      <c r="E2078" s="1" t="str">
        <f>"2330"</f>
        <v>2330</v>
      </c>
      <c r="F2078" s="1" t="s">
        <v>70</v>
      </c>
      <c r="G2078" s="1" t="s">
        <v>71</v>
      </c>
      <c r="H2078" s="1" t="s">
        <v>16</v>
      </c>
      <c r="I2078" s="4" t="str">
        <f>"2"</f>
        <v>2</v>
      </c>
      <c r="J2078" s="2" t="str">
        <f>"9295"</f>
        <v>9295</v>
      </c>
      <c r="K2078" s="3">
        <v>46146</v>
      </c>
      <c r="L2078" s="3">
        <v>46158</v>
      </c>
      <c r="M2078" s="1" t="s">
        <v>7294</v>
      </c>
      <c r="N2078" s="1" t="s">
        <v>7293</v>
      </c>
    </row>
    <row r="2079" spans="1:14" s="1" customFormat="1" x14ac:dyDescent="0.35">
      <c r="A2079" s="1" t="s">
        <v>5171</v>
      </c>
      <c r="B2079" s="1" t="s">
        <v>3844</v>
      </c>
      <c r="C2079" s="1" t="s">
        <v>4111</v>
      </c>
      <c r="D2079" s="1" t="s">
        <v>7292</v>
      </c>
      <c r="E2079" s="1" t="str">
        <f>"1940"</f>
        <v>1940</v>
      </c>
      <c r="F2079" s="1" t="str">
        <f>"001093313"</f>
        <v>001093313</v>
      </c>
      <c r="G2079" s="1" t="s">
        <v>4904</v>
      </c>
      <c r="H2079" s="1" t="s">
        <v>16</v>
      </c>
      <c r="I2079" s="4" t="str">
        <f>"1"</f>
        <v>1</v>
      </c>
      <c r="J2079" s="2" t="str">
        <f>"4663"</f>
        <v>4663</v>
      </c>
      <c r="K2079" s="3">
        <v>46147</v>
      </c>
      <c r="L2079" s="3">
        <v>46158</v>
      </c>
      <c r="M2079" s="1" t="s">
        <v>5167</v>
      </c>
      <c r="N2079" s="1" t="s">
        <v>7291</v>
      </c>
    </row>
    <row r="2080" spans="1:14" s="1" customFormat="1" x14ac:dyDescent="0.35">
      <c r="A2080" s="1" t="s">
        <v>5171</v>
      </c>
      <c r="B2080" s="1" t="s">
        <v>3844</v>
      </c>
      <c r="C2080" s="1" t="s">
        <v>4118</v>
      </c>
      <c r="D2080" s="1" t="s">
        <v>7290</v>
      </c>
      <c r="E2080" s="1" t="str">
        <f>"2330"</f>
        <v>2330</v>
      </c>
      <c r="F2080" s="1" t="s">
        <v>70</v>
      </c>
      <c r="G2080" s="1" t="s">
        <v>71</v>
      </c>
      <c r="H2080" s="1" t="s">
        <v>16</v>
      </c>
      <c r="I2080" s="4" t="str">
        <f>"2"</f>
        <v>2</v>
      </c>
      <c r="J2080" s="2" t="str">
        <f>"9295"</f>
        <v>9295</v>
      </c>
      <c r="K2080" s="3">
        <v>46146</v>
      </c>
      <c r="L2080" s="3">
        <v>46158</v>
      </c>
      <c r="M2080" s="1" t="s">
        <v>7289</v>
      </c>
      <c r="N2080" s="1" t="s">
        <v>7288</v>
      </c>
    </row>
    <row r="2081" spans="1:14" s="1" customFormat="1" x14ac:dyDescent="0.35">
      <c r="A2081" s="1" t="s">
        <v>5171</v>
      </c>
      <c r="B2081" s="1" t="s">
        <v>3844</v>
      </c>
      <c r="C2081" s="1" t="s">
        <v>4130</v>
      </c>
      <c r="D2081" s="1" t="s">
        <v>7287</v>
      </c>
      <c r="E2081" s="1" t="str">
        <f>"2330"</f>
        <v>2330</v>
      </c>
      <c r="F2081" s="1" t="s">
        <v>70</v>
      </c>
      <c r="G2081" s="1" t="s">
        <v>71</v>
      </c>
      <c r="H2081" s="1" t="s">
        <v>16</v>
      </c>
      <c r="I2081" s="4" t="str">
        <f>"2"</f>
        <v>2</v>
      </c>
      <c r="J2081" s="2" t="str">
        <f>"9295"</f>
        <v>9295</v>
      </c>
      <c r="K2081" s="3">
        <v>46144</v>
      </c>
      <c r="L2081" s="3">
        <v>46158</v>
      </c>
      <c r="M2081" s="1" t="s">
        <v>7286</v>
      </c>
      <c r="N2081" s="1" t="s">
        <v>4134</v>
      </c>
    </row>
    <row r="2082" spans="1:14" s="1" customFormat="1" x14ac:dyDescent="0.35">
      <c r="A2082" s="1" t="s">
        <v>5171</v>
      </c>
      <c r="B2082" s="1" t="s">
        <v>3844</v>
      </c>
      <c r="C2082" s="1" t="s">
        <v>3858</v>
      </c>
      <c r="D2082" s="1" t="s">
        <v>7285</v>
      </c>
      <c r="E2082" s="1" t="str">
        <f>"7035"</f>
        <v>7035</v>
      </c>
      <c r="F2082" s="1" t="s">
        <v>1318</v>
      </c>
      <c r="G2082" s="1" t="s">
        <v>1319</v>
      </c>
      <c r="H2082" s="1" t="s">
        <v>352</v>
      </c>
      <c r="I2082" s="4" t="str">
        <f>"10"</f>
        <v>10</v>
      </c>
      <c r="J2082" s="2">
        <v>259.99</v>
      </c>
      <c r="K2082" s="3">
        <v>46160</v>
      </c>
      <c r="L2082" s="3">
        <v>46161</v>
      </c>
      <c r="M2082" s="1" t="s">
        <v>7284</v>
      </c>
      <c r="N2082" s="1" t="s">
        <v>7283</v>
      </c>
    </row>
    <row r="2083" spans="1:14" s="1" customFormat="1" x14ac:dyDescent="0.35">
      <c r="A2083" s="1" t="s">
        <v>5230</v>
      </c>
      <c r="B2083" s="1" t="s">
        <v>3844</v>
      </c>
      <c r="C2083" s="1" t="s">
        <v>3886</v>
      </c>
      <c r="D2083" s="1" t="s">
        <v>7282</v>
      </c>
      <c r="E2083" s="1" t="str">
        <f>"5965"</f>
        <v>5965</v>
      </c>
      <c r="F2083" s="1" t="str">
        <f>"226308488"</f>
        <v>226308488</v>
      </c>
      <c r="G2083" s="1" t="s">
        <v>1561</v>
      </c>
      <c r="H2083" s="1" t="s">
        <v>16</v>
      </c>
      <c r="I2083" s="4" t="str">
        <f>"15"</f>
        <v>15</v>
      </c>
      <c r="J2083" s="2" t="str">
        <f>"400"</f>
        <v>400</v>
      </c>
      <c r="K2083" s="3">
        <v>46162</v>
      </c>
      <c r="L2083" s="3">
        <v>46162</v>
      </c>
      <c r="M2083" s="1" t="s">
        <v>5469</v>
      </c>
      <c r="N2083" s="1" t="s">
        <v>7281</v>
      </c>
    </row>
    <row r="2084" spans="1:14" s="1" customFormat="1" x14ac:dyDescent="0.35">
      <c r="A2084" s="1" t="s">
        <v>5171</v>
      </c>
      <c r="B2084" s="1" t="s">
        <v>3844</v>
      </c>
      <c r="C2084" s="1" t="s">
        <v>3886</v>
      </c>
      <c r="D2084" s="1" t="s">
        <v>7280</v>
      </c>
      <c r="E2084" s="1" t="str">
        <f>"4240"</f>
        <v>4240</v>
      </c>
      <c r="F2084" s="1" t="str">
        <f>"016308327"</f>
        <v>016308327</v>
      </c>
      <c r="G2084" s="1" t="s">
        <v>561</v>
      </c>
      <c r="H2084" s="1" t="s">
        <v>16</v>
      </c>
      <c r="I2084" s="4" t="str">
        <f>"40"</f>
        <v>40</v>
      </c>
      <c r="J2084" s="2">
        <v>48.01</v>
      </c>
      <c r="K2084" s="3">
        <v>46158</v>
      </c>
      <c r="L2084" s="3">
        <v>46162</v>
      </c>
      <c r="M2084" s="1" t="s">
        <v>7279</v>
      </c>
      <c r="N2084" s="1" t="s">
        <v>7278</v>
      </c>
    </row>
    <row r="2085" spans="1:14" s="1" customFormat="1" x14ac:dyDescent="0.35">
      <c r="A2085" s="1" t="s">
        <v>5171</v>
      </c>
      <c r="B2085" s="1" t="s">
        <v>3844</v>
      </c>
      <c r="C2085" s="1" t="s">
        <v>3886</v>
      </c>
      <c r="D2085" s="1" t="s">
        <v>7277</v>
      </c>
      <c r="E2085" s="1" t="str">
        <f>"8415"</f>
        <v>8415</v>
      </c>
      <c r="F2085" s="1" t="str">
        <f>"015549632"</f>
        <v>015549632</v>
      </c>
      <c r="G2085" s="1" t="s">
        <v>7276</v>
      </c>
      <c r="H2085" s="1" t="s">
        <v>16</v>
      </c>
      <c r="I2085" s="4" t="str">
        <f>"5"</f>
        <v>5</v>
      </c>
      <c r="J2085" s="2">
        <v>12.29</v>
      </c>
      <c r="K2085" s="3">
        <v>46159</v>
      </c>
      <c r="L2085" s="3">
        <v>46162</v>
      </c>
      <c r="M2085" s="1" t="s">
        <v>7275</v>
      </c>
      <c r="N2085" s="1" t="s">
        <v>4025</v>
      </c>
    </row>
    <row r="2086" spans="1:14" s="1" customFormat="1" x14ac:dyDescent="0.35">
      <c r="A2086" s="1" t="s">
        <v>5171</v>
      </c>
      <c r="B2086" s="1" t="s">
        <v>3844</v>
      </c>
      <c r="C2086" s="1" t="s">
        <v>3886</v>
      </c>
      <c r="D2086" s="1" t="s">
        <v>7274</v>
      </c>
      <c r="E2086" s="1" t="str">
        <f>"1240"</f>
        <v>1240</v>
      </c>
      <c r="F2086" s="1" t="str">
        <f>"015871372"</f>
        <v>015871372</v>
      </c>
      <c r="G2086" s="1" t="s">
        <v>7273</v>
      </c>
      <c r="H2086" s="1" t="s">
        <v>16</v>
      </c>
      <c r="I2086" s="4" t="str">
        <f>"6"</f>
        <v>6</v>
      </c>
      <c r="J2086" s="2">
        <v>602.34</v>
      </c>
      <c r="K2086" s="3">
        <v>46161</v>
      </c>
      <c r="L2086" s="3">
        <v>46163</v>
      </c>
      <c r="M2086" s="1" t="s">
        <v>7272</v>
      </c>
      <c r="N2086" s="1" t="s">
        <v>7271</v>
      </c>
    </row>
    <row r="2087" spans="1:14" s="1" customFormat="1" x14ac:dyDescent="0.35">
      <c r="A2087" s="1" t="s">
        <v>5171</v>
      </c>
      <c r="B2087" s="1" t="s">
        <v>3844</v>
      </c>
      <c r="C2087" s="1" t="s">
        <v>3886</v>
      </c>
      <c r="D2087" s="1" t="s">
        <v>7270</v>
      </c>
      <c r="E2087" s="1" t="str">
        <f>"3920"</f>
        <v>3920</v>
      </c>
      <c r="F2087" s="1" t="s">
        <v>4146</v>
      </c>
      <c r="G2087" s="1" t="s">
        <v>4147</v>
      </c>
      <c r="H2087" s="1" t="s">
        <v>16</v>
      </c>
      <c r="I2087" s="4" t="str">
        <f>"1"</f>
        <v>1</v>
      </c>
      <c r="J2087" s="2" t="str">
        <f>"6695"</f>
        <v>6695</v>
      </c>
      <c r="K2087" s="3">
        <v>46158</v>
      </c>
      <c r="L2087" s="3">
        <v>46163</v>
      </c>
      <c r="M2087" s="1" t="s">
        <v>7269</v>
      </c>
      <c r="N2087" s="1" t="s">
        <v>7268</v>
      </c>
    </row>
    <row r="2088" spans="1:14" s="1" customFormat="1" x14ac:dyDescent="0.35">
      <c r="A2088" s="1" t="s">
        <v>5171</v>
      </c>
      <c r="B2088" s="1" t="s">
        <v>3844</v>
      </c>
      <c r="C2088" s="1" t="s">
        <v>3886</v>
      </c>
      <c r="D2088" s="1" t="s">
        <v>7267</v>
      </c>
      <c r="E2088" s="1" t="str">
        <f>"4240"</f>
        <v>4240</v>
      </c>
      <c r="F2088" s="1" t="str">
        <f>"015835742"</f>
        <v>015835742</v>
      </c>
      <c r="G2088" s="1" t="s">
        <v>561</v>
      </c>
      <c r="H2088" s="1" t="s">
        <v>16</v>
      </c>
      <c r="I2088" s="4" t="str">
        <f>"3"</f>
        <v>3</v>
      </c>
      <c r="J2088" s="2">
        <v>63.41</v>
      </c>
      <c r="K2088" s="3">
        <v>46158</v>
      </c>
      <c r="L2088" s="3">
        <v>46163</v>
      </c>
      <c r="M2088" s="1" t="s">
        <v>7266</v>
      </c>
      <c r="N2088" s="1" t="s">
        <v>4025</v>
      </c>
    </row>
    <row r="2089" spans="1:14" s="1" customFormat="1" x14ac:dyDescent="0.35">
      <c r="A2089" s="1" t="s">
        <v>5171</v>
      </c>
      <c r="B2089" s="1" t="s">
        <v>3844</v>
      </c>
      <c r="C2089" s="1" t="s">
        <v>3886</v>
      </c>
      <c r="D2089" s="1" t="s">
        <v>7265</v>
      </c>
      <c r="E2089" s="1" t="str">
        <f>"6545"</f>
        <v>6545</v>
      </c>
      <c r="F2089" s="1" t="str">
        <f>"015377904"</f>
        <v>015377904</v>
      </c>
      <c r="G2089" s="1" t="s">
        <v>7264</v>
      </c>
      <c r="H2089" s="1" t="s">
        <v>215</v>
      </c>
      <c r="I2089" s="4" t="str">
        <f>"2"</f>
        <v>2</v>
      </c>
      <c r="J2089" s="2">
        <v>4092.43</v>
      </c>
      <c r="K2089" s="3">
        <v>46162</v>
      </c>
      <c r="L2089" s="3">
        <v>46163</v>
      </c>
      <c r="M2089" s="1" t="s">
        <v>7263</v>
      </c>
      <c r="N2089" s="1" t="s">
        <v>7262</v>
      </c>
    </row>
    <row r="2090" spans="1:14" s="1" customFormat="1" x14ac:dyDescent="0.35">
      <c r="A2090" s="1" t="s">
        <v>5171</v>
      </c>
      <c r="B2090" s="1" t="s">
        <v>3844</v>
      </c>
      <c r="C2090" s="1" t="s">
        <v>3886</v>
      </c>
      <c r="D2090" s="1" t="s">
        <v>7261</v>
      </c>
      <c r="E2090" s="1" t="str">
        <f>"5180"</f>
        <v>5180</v>
      </c>
      <c r="F2090" s="1" t="str">
        <f>"015487634"</f>
        <v>015487634</v>
      </c>
      <c r="G2090" s="1" t="s">
        <v>214</v>
      </c>
      <c r="H2090" s="1" t="s">
        <v>458</v>
      </c>
      <c r="I2090" s="4" t="str">
        <f>"1"</f>
        <v>1</v>
      </c>
      <c r="J2090" s="2" t="str">
        <f>"2048"</f>
        <v>2048</v>
      </c>
      <c r="K2090" s="3">
        <v>46158</v>
      </c>
      <c r="L2090" s="3">
        <v>46164</v>
      </c>
      <c r="M2090" s="1" t="s">
        <v>7260</v>
      </c>
      <c r="N2090" s="1" t="s">
        <v>7259</v>
      </c>
    </row>
    <row r="2091" spans="1:14" s="1" customFormat="1" x14ac:dyDescent="0.35">
      <c r="A2091" s="1" t="s">
        <v>5171</v>
      </c>
      <c r="B2091" s="1" t="s">
        <v>3844</v>
      </c>
      <c r="C2091" s="1" t="s">
        <v>3886</v>
      </c>
      <c r="D2091" s="1" t="s">
        <v>7258</v>
      </c>
      <c r="E2091" s="1" t="str">
        <f>"6545"</f>
        <v>6545</v>
      </c>
      <c r="F2091" s="1" t="str">
        <f>"016092699"</f>
        <v>016092699</v>
      </c>
      <c r="G2091" s="1" t="s">
        <v>4527</v>
      </c>
      <c r="H2091" s="1" t="s">
        <v>458</v>
      </c>
      <c r="I2091" s="4" t="str">
        <f>"2"</f>
        <v>2</v>
      </c>
      <c r="J2091" s="2">
        <v>8495.23</v>
      </c>
      <c r="K2091" s="3">
        <v>46162</v>
      </c>
      <c r="L2091" s="3">
        <v>46164</v>
      </c>
      <c r="M2091" s="1" t="s">
        <v>7257</v>
      </c>
      <c r="N2091" s="1" t="s">
        <v>7256</v>
      </c>
    </row>
    <row r="2092" spans="1:14" s="1" customFormat="1" x14ac:dyDescent="0.35">
      <c r="A2092" s="1" t="s">
        <v>5171</v>
      </c>
      <c r="B2092" s="1" t="s">
        <v>3844</v>
      </c>
      <c r="C2092" s="1" t="s">
        <v>3886</v>
      </c>
      <c r="D2092" s="1" t="s">
        <v>7255</v>
      </c>
      <c r="E2092" s="1" t="str">
        <f>"6310"</f>
        <v>6310</v>
      </c>
      <c r="F2092" s="1" t="s">
        <v>2371</v>
      </c>
      <c r="G2092" s="1" t="s">
        <v>2372</v>
      </c>
      <c r="H2092" s="1" t="s">
        <v>16</v>
      </c>
      <c r="I2092" s="4" t="str">
        <f>"2"</f>
        <v>2</v>
      </c>
      <c r="J2092" s="2" t="str">
        <f>"14300"</f>
        <v>14300</v>
      </c>
      <c r="K2092" s="3">
        <v>46152</v>
      </c>
      <c r="L2092" s="3">
        <v>46165</v>
      </c>
      <c r="M2092" s="1" t="s">
        <v>7254</v>
      </c>
      <c r="N2092" s="1" t="s">
        <v>7253</v>
      </c>
    </row>
    <row r="2093" spans="1:14" s="1" customFormat="1" x14ac:dyDescent="0.35">
      <c r="A2093" s="1" t="s">
        <v>5171</v>
      </c>
      <c r="B2093" s="1" t="s">
        <v>3844</v>
      </c>
      <c r="C2093" s="1" t="s">
        <v>3886</v>
      </c>
      <c r="D2093" s="1" t="s">
        <v>7252</v>
      </c>
      <c r="E2093" s="1" t="str">
        <f>"2330"</f>
        <v>2330</v>
      </c>
      <c r="F2093" s="1" t="s">
        <v>70</v>
      </c>
      <c r="G2093" s="1" t="s">
        <v>71</v>
      </c>
      <c r="H2093" s="1" t="s">
        <v>16</v>
      </c>
      <c r="I2093" s="4" t="str">
        <f>"1"</f>
        <v>1</v>
      </c>
      <c r="J2093" s="2" t="str">
        <f>"1000"</f>
        <v>1000</v>
      </c>
      <c r="K2093" s="3">
        <v>46155</v>
      </c>
      <c r="L2093" s="3">
        <v>46165</v>
      </c>
      <c r="M2093" s="1" t="s">
        <v>7251</v>
      </c>
      <c r="N2093" s="1" t="s">
        <v>7250</v>
      </c>
    </row>
    <row r="2094" spans="1:14" s="1" customFormat="1" x14ac:dyDescent="0.35">
      <c r="A2094" s="1" t="s">
        <v>5171</v>
      </c>
      <c r="B2094" s="1" t="s">
        <v>3844</v>
      </c>
      <c r="C2094" s="1" t="s">
        <v>3858</v>
      </c>
      <c r="D2094" s="1" t="s">
        <v>7249</v>
      </c>
      <c r="E2094" s="1" t="str">
        <f>"7830"</f>
        <v>7830</v>
      </c>
      <c r="F2094" s="1" t="s">
        <v>1871</v>
      </c>
      <c r="G2094" s="1" t="s">
        <v>1872</v>
      </c>
      <c r="H2094" s="1" t="s">
        <v>16</v>
      </c>
      <c r="I2094" s="4" t="str">
        <f>"2"</f>
        <v>2</v>
      </c>
      <c r="J2094" s="2" t="str">
        <f>"230"</f>
        <v>230</v>
      </c>
      <c r="K2094" s="3">
        <v>46160</v>
      </c>
      <c r="L2094" s="3">
        <v>46169</v>
      </c>
      <c r="M2094" s="1" t="s">
        <v>7248</v>
      </c>
      <c r="N2094" s="1" t="s">
        <v>7247</v>
      </c>
    </row>
    <row r="2095" spans="1:14" s="1" customFormat="1" x14ac:dyDescent="0.35">
      <c r="A2095" s="1" t="s">
        <v>0</v>
      </c>
      <c r="B2095" s="1" t="s">
        <v>3844</v>
      </c>
      <c r="C2095" s="1" t="s">
        <v>4141</v>
      </c>
      <c r="D2095" s="1" t="s">
        <v>7246</v>
      </c>
      <c r="E2095" s="1" t="str">
        <f>"7010"</f>
        <v>7010</v>
      </c>
      <c r="F2095" s="1" t="s">
        <v>1640</v>
      </c>
      <c r="G2095" s="1" t="s">
        <v>1641</v>
      </c>
      <c r="H2095" s="1" t="s">
        <v>16</v>
      </c>
      <c r="I2095" s="4" t="str">
        <f>"2"</f>
        <v>2</v>
      </c>
      <c r="J2095" s="2" t="str">
        <f>"180"</f>
        <v>180</v>
      </c>
      <c r="K2095" s="3">
        <v>46169</v>
      </c>
      <c r="L2095" s="3">
        <v>46170</v>
      </c>
      <c r="M2095" s="1" t="s">
        <v>7245</v>
      </c>
      <c r="N2095" s="1" t="s">
        <v>7244</v>
      </c>
    </row>
    <row r="2096" spans="1:14" s="1" customFormat="1" x14ac:dyDescent="0.35">
      <c r="A2096" s="1" t="s">
        <v>5171</v>
      </c>
      <c r="B2096" s="1" t="s">
        <v>3844</v>
      </c>
      <c r="C2096" s="1" t="s">
        <v>4141</v>
      </c>
      <c r="D2096" s="1" t="s">
        <v>7243</v>
      </c>
      <c r="E2096" s="1" t="str">
        <f>"7910"</f>
        <v>7910</v>
      </c>
      <c r="F2096" s="1" t="str">
        <f>"016064502"</f>
        <v>016064502</v>
      </c>
      <c r="G2096" s="1" t="s">
        <v>7242</v>
      </c>
      <c r="H2096" s="1" t="s">
        <v>16</v>
      </c>
      <c r="I2096" s="4" t="str">
        <f>"1"</f>
        <v>1</v>
      </c>
      <c r="J2096" s="2">
        <v>171.85</v>
      </c>
      <c r="K2096" s="3">
        <v>46169</v>
      </c>
      <c r="L2096" s="3">
        <v>46170</v>
      </c>
      <c r="M2096" s="1" t="s">
        <v>5167</v>
      </c>
      <c r="N2096" s="1" t="s">
        <v>7241</v>
      </c>
    </row>
    <row r="2097" spans="1:14" s="1" customFormat="1" x14ac:dyDescent="0.35">
      <c r="A2097" s="1" t="s">
        <v>5171</v>
      </c>
      <c r="B2097" s="1" t="s">
        <v>3844</v>
      </c>
      <c r="C2097" s="1" t="s">
        <v>3886</v>
      </c>
      <c r="D2097" s="1" t="s">
        <v>7240</v>
      </c>
      <c r="E2097" s="1" t="str">
        <f>"8465"</f>
        <v>8465</v>
      </c>
      <c r="F2097" s="1" t="str">
        <f>"016105633"</f>
        <v>016105633</v>
      </c>
      <c r="G2097" s="1" t="s">
        <v>2198</v>
      </c>
      <c r="H2097" s="1" t="s">
        <v>16</v>
      </c>
      <c r="I2097" s="4" t="str">
        <f>"4"</f>
        <v>4</v>
      </c>
      <c r="J2097" s="2">
        <v>350.73</v>
      </c>
      <c r="K2097" s="3">
        <v>46158</v>
      </c>
      <c r="L2097" s="3">
        <v>46171</v>
      </c>
      <c r="M2097" s="1" t="s">
        <v>7239</v>
      </c>
      <c r="N2097" s="1" t="s">
        <v>7238</v>
      </c>
    </row>
    <row r="2098" spans="1:14" s="1" customFormat="1" x14ac:dyDescent="0.35">
      <c r="A2098" s="1" t="s">
        <v>5171</v>
      </c>
      <c r="B2098" s="1" t="s">
        <v>3844</v>
      </c>
      <c r="C2098" s="1" t="s">
        <v>4114</v>
      </c>
      <c r="D2098" s="1" t="s">
        <v>7237</v>
      </c>
      <c r="E2098" s="1" t="str">
        <f>"4020"</f>
        <v>4020</v>
      </c>
      <c r="F2098" s="1" t="str">
        <f>"015005779"</f>
        <v>015005779</v>
      </c>
      <c r="G2098" s="1" t="s">
        <v>7234</v>
      </c>
      <c r="H2098" s="1" t="s">
        <v>16</v>
      </c>
      <c r="I2098" s="4" t="str">
        <f>"1"</f>
        <v>1</v>
      </c>
      <c r="J2098" s="2">
        <v>2305.29</v>
      </c>
      <c r="K2098" s="3">
        <v>46142</v>
      </c>
      <c r="L2098" s="3">
        <v>46171</v>
      </c>
      <c r="M2098" s="1" t="s">
        <v>7236</v>
      </c>
      <c r="N2098" s="1" t="s">
        <v>7232</v>
      </c>
    </row>
    <row r="2099" spans="1:14" s="1" customFormat="1" x14ac:dyDescent="0.35">
      <c r="A2099" s="1" t="s">
        <v>5171</v>
      </c>
      <c r="B2099" s="1" t="s">
        <v>3844</v>
      </c>
      <c r="C2099" s="1" t="s">
        <v>4114</v>
      </c>
      <c r="D2099" s="1" t="s">
        <v>7235</v>
      </c>
      <c r="E2099" s="1" t="str">
        <f>"4020"</f>
        <v>4020</v>
      </c>
      <c r="F2099" s="1" t="str">
        <f>"015005765"</f>
        <v>015005765</v>
      </c>
      <c r="G2099" s="1" t="s">
        <v>7234</v>
      </c>
      <c r="H2099" s="1" t="s">
        <v>16</v>
      </c>
      <c r="I2099" s="4" t="str">
        <f>"2"</f>
        <v>2</v>
      </c>
      <c r="J2099" s="2">
        <v>1447.03</v>
      </c>
      <c r="K2099" s="3">
        <v>46142</v>
      </c>
      <c r="L2099" s="3">
        <v>46171</v>
      </c>
      <c r="M2099" s="1" t="s">
        <v>7233</v>
      </c>
      <c r="N2099" s="1" t="s">
        <v>7232</v>
      </c>
    </row>
    <row r="2100" spans="1:14" s="1" customFormat="1" x14ac:dyDescent="0.35">
      <c r="A2100" s="1" t="s">
        <v>5171</v>
      </c>
      <c r="B2100" s="1" t="s">
        <v>3844</v>
      </c>
      <c r="C2100" s="1" t="s">
        <v>3886</v>
      </c>
      <c r="D2100" s="1" t="s">
        <v>7231</v>
      </c>
      <c r="E2100" s="1" t="str">
        <f>"8465"</f>
        <v>8465</v>
      </c>
      <c r="F2100" s="1" t="str">
        <f>"016200920"</f>
        <v>016200920</v>
      </c>
      <c r="G2100" s="1" t="s">
        <v>2417</v>
      </c>
      <c r="H2100" s="1" t="s">
        <v>16</v>
      </c>
      <c r="I2100" s="4" t="str">
        <f>"3"</f>
        <v>3</v>
      </c>
      <c r="J2100" s="2">
        <v>383.23</v>
      </c>
      <c r="K2100" s="3">
        <v>46158</v>
      </c>
      <c r="L2100" s="3">
        <v>46172</v>
      </c>
      <c r="M2100" s="1" t="s">
        <v>7230</v>
      </c>
      <c r="N2100" s="1" t="s">
        <v>7229</v>
      </c>
    </row>
    <row r="2101" spans="1:14" s="1" customFormat="1" x14ac:dyDescent="0.35">
      <c r="A2101" s="1" t="s">
        <v>5171</v>
      </c>
      <c r="B2101" s="1" t="s">
        <v>3844</v>
      </c>
      <c r="C2101" s="1" t="s">
        <v>4111</v>
      </c>
      <c r="D2101" s="1" t="s">
        <v>7228</v>
      </c>
      <c r="E2101" s="1" t="str">
        <f>"1940"</f>
        <v>1940</v>
      </c>
      <c r="F2101" s="1" t="str">
        <f>"001093313"</f>
        <v>001093313</v>
      </c>
      <c r="G2101" s="1" t="s">
        <v>4904</v>
      </c>
      <c r="H2101" s="1" t="s">
        <v>16</v>
      </c>
      <c r="I2101" s="4" t="str">
        <f>"1"</f>
        <v>1</v>
      </c>
      <c r="J2101" s="2" t="str">
        <f>"4663"</f>
        <v>4663</v>
      </c>
      <c r="K2101" s="3">
        <v>46168</v>
      </c>
      <c r="L2101" s="3">
        <v>46172</v>
      </c>
      <c r="M2101" s="1" t="s">
        <v>5167</v>
      </c>
      <c r="N2101" s="1" t="s">
        <v>7227</v>
      </c>
    </row>
    <row r="2102" spans="1:14" s="1" customFormat="1" x14ac:dyDescent="0.35">
      <c r="A2102" s="1" t="s">
        <v>5171</v>
      </c>
      <c r="B2102" s="1" t="s">
        <v>3844</v>
      </c>
      <c r="C2102" s="1" t="s">
        <v>4141</v>
      </c>
      <c r="D2102" s="1" t="s">
        <v>7226</v>
      </c>
      <c r="E2102" s="1" t="str">
        <f>"1095"</f>
        <v>1095</v>
      </c>
      <c r="F2102" s="1" t="str">
        <f>"004070674"</f>
        <v>004070674</v>
      </c>
      <c r="G2102" s="1" t="s">
        <v>2010</v>
      </c>
      <c r="H2102" s="1" t="s">
        <v>16</v>
      </c>
      <c r="I2102" s="4" t="str">
        <f>"2"</f>
        <v>2</v>
      </c>
      <c r="J2102" s="2">
        <v>1098.96</v>
      </c>
      <c r="K2102" s="3">
        <v>46170</v>
      </c>
      <c r="L2102" s="3">
        <v>46172</v>
      </c>
      <c r="M2102" s="1" t="s">
        <v>5167</v>
      </c>
      <c r="N2102" s="1" t="s">
        <v>7225</v>
      </c>
    </row>
    <row r="2103" spans="1:14" s="1" customFormat="1" x14ac:dyDescent="0.35">
      <c r="A2103" s="1" t="s">
        <v>5171</v>
      </c>
      <c r="B2103" s="1" t="s">
        <v>3844</v>
      </c>
      <c r="C2103" s="1" t="s">
        <v>4141</v>
      </c>
      <c r="D2103" s="1" t="s">
        <v>7224</v>
      </c>
      <c r="E2103" s="1" t="str">
        <f>"5895"</f>
        <v>5895</v>
      </c>
      <c r="F2103" s="1" t="str">
        <f>"016129051"</f>
        <v>016129051</v>
      </c>
      <c r="G2103" s="1" t="s">
        <v>221</v>
      </c>
      <c r="H2103" s="1" t="s">
        <v>16</v>
      </c>
      <c r="I2103" s="4" t="str">
        <f>"2"</f>
        <v>2</v>
      </c>
      <c r="J2103" s="2">
        <v>5109.3100000000004</v>
      </c>
      <c r="K2103" s="3">
        <v>46170</v>
      </c>
      <c r="L2103" s="3">
        <v>46172</v>
      </c>
      <c r="M2103" s="1" t="s">
        <v>5167</v>
      </c>
      <c r="N2103" s="1" t="s">
        <v>7223</v>
      </c>
    </row>
    <row r="2104" spans="1:14" s="1" customFormat="1" x14ac:dyDescent="0.35">
      <c r="A2104" s="1" t="s">
        <v>5171</v>
      </c>
      <c r="B2104" s="1" t="s">
        <v>3844</v>
      </c>
      <c r="C2104" s="1" t="s">
        <v>4141</v>
      </c>
      <c r="D2104" s="1" t="s">
        <v>7222</v>
      </c>
      <c r="E2104" s="1" t="str">
        <f>"7125"</f>
        <v>7125</v>
      </c>
      <c r="F2104" s="1" t="s">
        <v>1495</v>
      </c>
      <c r="G2104" s="1" t="s">
        <v>1496</v>
      </c>
      <c r="H2104" s="1" t="s">
        <v>16</v>
      </c>
      <c r="I2104" s="4" t="str">
        <f>"1"</f>
        <v>1</v>
      </c>
      <c r="J2104" s="2" t="str">
        <f>"500"</f>
        <v>500</v>
      </c>
      <c r="K2104" s="3">
        <v>46173</v>
      </c>
      <c r="L2104" s="3">
        <v>46173</v>
      </c>
      <c r="M2104" s="1" t="s">
        <v>5469</v>
      </c>
      <c r="N2104" s="1" t="s">
        <v>4167</v>
      </c>
    </row>
    <row r="2105" spans="1:14" s="1" customFormat="1" x14ac:dyDescent="0.35">
      <c r="A2105" s="1" t="s">
        <v>5216</v>
      </c>
      <c r="B2105" s="1" t="s">
        <v>3844</v>
      </c>
      <c r="C2105" s="1" t="s">
        <v>4141</v>
      </c>
      <c r="D2105" s="1" t="s">
        <v>7221</v>
      </c>
      <c r="E2105" s="1" t="str">
        <f>"7110"</f>
        <v>7110</v>
      </c>
      <c r="F2105" s="1" t="s">
        <v>1053</v>
      </c>
      <c r="G2105" s="1" t="s">
        <v>1054</v>
      </c>
      <c r="H2105" s="1" t="s">
        <v>16</v>
      </c>
      <c r="I2105" s="4" t="str">
        <f>"2"</f>
        <v>2</v>
      </c>
      <c r="J2105" s="2" t="str">
        <f>"800"</f>
        <v>800</v>
      </c>
      <c r="K2105" s="3">
        <v>46170</v>
      </c>
      <c r="L2105" s="3">
        <v>46174</v>
      </c>
      <c r="M2105" s="1" t="s">
        <v>5224</v>
      </c>
      <c r="N2105" s="1" t="s">
        <v>7220</v>
      </c>
    </row>
    <row r="2106" spans="1:14" s="1" customFormat="1" x14ac:dyDescent="0.35">
      <c r="A2106" s="1" t="s">
        <v>5171</v>
      </c>
      <c r="B2106" s="1" t="s">
        <v>3844</v>
      </c>
      <c r="C2106" s="1" t="s">
        <v>4114</v>
      </c>
      <c r="D2106" s="1" t="s">
        <v>7219</v>
      </c>
      <c r="E2106" s="1" t="str">
        <f>"6545"</f>
        <v>6545</v>
      </c>
      <c r="F2106" s="1" t="str">
        <f>"015748111"</f>
        <v>015748111</v>
      </c>
      <c r="G2106" s="1" t="s">
        <v>2834</v>
      </c>
      <c r="H2106" s="1" t="s">
        <v>16</v>
      </c>
      <c r="I2106" s="4" t="str">
        <f>"50"</f>
        <v>50</v>
      </c>
      <c r="J2106" s="2">
        <v>148.55000000000001</v>
      </c>
      <c r="K2106" s="3">
        <v>46142</v>
      </c>
      <c r="L2106" s="3">
        <v>46174</v>
      </c>
      <c r="M2106" s="1" t="s">
        <v>7218</v>
      </c>
      <c r="N2106" s="1" t="s">
        <v>7217</v>
      </c>
    </row>
    <row r="2107" spans="1:14" s="1" customFormat="1" x14ac:dyDescent="0.35">
      <c r="A2107" s="1" t="s">
        <v>5171</v>
      </c>
      <c r="B2107" s="1" t="s">
        <v>3844</v>
      </c>
      <c r="C2107" s="1" t="s">
        <v>3886</v>
      </c>
      <c r="D2107" s="1" t="s">
        <v>7216</v>
      </c>
      <c r="E2107" s="1" t="str">
        <f>"5860"</f>
        <v>5860</v>
      </c>
      <c r="F2107" s="1" t="str">
        <f>"013508551"</f>
        <v>013508551</v>
      </c>
      <c r="G2107" s="1" t="s">
        <v>7215</v>
      </c>
      <c r="H2107" s="1" t="s">
        <v>16</v>
      </c>
      <c r="I2107" s="4" t="str">
        <f>"15"</f>
        <v>15</v>
      </c>
      <c r="J2107" s="2" t="str">
        <f>"22015"</f>
        <v>22015</v>
      </c>
      <c r="K2107" s="3">
        <v>46151</v>
      </c>
      <c r="L2107" s="3">
        <v>46175</v>
      </c>
      <c r="M2107" s="1" t="s">
        <v>7214</v>
      </c>
      <c r="N2107" s="1" t="s">
        <v>7213</v>
      </c>
    </row>
    <row r="2108" spans="1:14" s="1" customFormat="1" x14ac:dyDescent="0.35">
      <c r="A2108" s="1" t="s">
        <v>5171</v>
      </c>
      <c r="B2108" s="1" t="s">
        <v>3844</v>
      </c>
      <c r="C2108" s="1" t="s">
        <v>4141</v>
      </c>
      <c r="D2108" s="1" t="s">
        <v>7212</v>
      </c>
      <c r="E2108" s="1" t="str">
        <f>"5440"</f>
        <v>5440</v>
      </c>
      <c r="F2108" s="1" t="s">
        <v>142</v>
      </c>
      <c r="G2108" s="1" t="s">
        <v>143</v>
      </c>
      <c r="H2108" s="1" t="s">
        <v>16</v>
      </c>
      <c r="I2108" s="4" t="str">
        <f>"4"</f>
        <v>4</v>
      </c>
      <c r="J2108" s="2">
        <v>313.99</v>
      </c>
      <c r="K2108" s="3">
        <v>46174</v>
      </c>
      <c r="L2108" s="3">
        <v>46176</v>
      </c>
      <c r="M2108" s="1" t="s">
        <v>5167</v>
      </c>
      <c r="N2108" s="1" t="s">
        <v>7211</v>
      </c>
    </row>
    <row r="2109" spans="1:14" s="1" customFormat="1" x14ac:dyDescent="0.35">
      <c r="A2109" s="1" t="s">
        <v>5171</v>
      </c>
      <c r="B2109" s="1" t="s">
        <v>3844</v>
      </c>
      <c r="C2109" s="1" t="s">
        <v>4141</v>
      </c>
      <c r="D2109" s="1" t="s">
        <v>7210</v>
      </c>
      <c r="E2109" s="1" t="str">
        <f>"6710"</f>
        <v>6710</v>
      </c>
      <c r="F2109" s="1" t="s">
        <v>1636</v>
      </c>
      <c r="G2109" s="1" t="s">
        <v>1637</v>
      </c>
      <c r="H2109" s="1" t="s">
        <v>16</v>
      </c>
      <c r="I2109" s="4" t="str">
        <f>"2"</f>
        <v>2</v>
      </c>
      <c r="J2109" s="2" t="str">
        <f>"400"</f>
        <v>400</v>
      </c>
      <c r="K2109" s="3">
        <v>46172</v>
      </c>
      <c r="L2109" s="3">
        <v>46177</v>
      </c>
      <c r="M2109" s="1" t="s">
        <v>7209</v>
      </c>
      <c r="N2109" s="1" t="s">
        <v>7208</v>
      </c>
    </row>
    <row r="2110" spans="1:14" s="1" customFormat="1" x14ac:dyDescent="0.35">
      <c r="A2110" s="1" t="s">
        <v>5171</v>
      </c>
      <c r="B2110" s="1" t="s">
        <v>3844</v>
      </c>
      <c r="C2110" s="1" t="s">
        <v>3886</v>
      </c>
      <c r="D2110" s="1" t="s">
        <v>7207</v>
      </c>
      <c r="E2110" s="1" t="str">
        <f>"8440"</f>
        <v>8440</v>
      </c>
      <c r="F2110" s="1" t="str">
        <f>"013878509"</f>
        <v>013878509</v>
      </c>
      <c r="G2110" s="1" t="s">
        <v>642</v>
      </c>
      <c r="H2110" s="1" t="s">
        <v>16</v>
      </c>
      <c r="I2110" s="4" t="str">
        <f>"20"</f>
        <v>20</v>
      </c>
      <c r="J2110" s="2">
        <v>2.7</v>
      </c>
      <c r="K2110" s="3">
        <v>46172</v>
      </c>
      <c r="L2110" s="3">
        <v>46178</v>
      </c>
      <c r="M2110" s="1" t="s">
        <v>7206</v>
      </c>
      <c r="N2110" s="1" t="s">
        <v>4025</v>
      </c>
    </row>
    <row r="2111" spans="1:14" s="1" customFormat="1" x14ac:dyDescent="0.35">
      <c r="A2111" s="1" t="s">
        <v>5171</v>
      </c>
      <c r="B2111" s="1" t="s">
        <v>3844</v>
      </c>
      <c r="C2111" s="1" t="s">
        <v>3872</v>
      </c>
      <c r="D2111" s="1" t="s">
        <v>7205</v>
      </c>
      <c r="E2111" s="1" t="str">
        <f>"6760"</f>
        <v>6760</v>
      </c>
      <c r="F2111" s="1" t="str">
        <f>"015190701"</f>
        <v>015190701</v>
      </c>
      <c r="G2111" s="1" t="s">
        <v>4160</v>
      </c>
      <c r="H2111" s="1" t="s">
        <v>16</v>
      </c>
      <c r="I2111" s="4" t="str">
        <f>"1"</f>
        <v>1</v>
      </c>
      <c r="J2111" s="2">
        <v>380.48</v>
      </c>
      <c r="K2111" s="3">
        <v>46169</v>
      </c>
      <c r="L2111" s="3">
        <v>46179</v>
      </c>
      <c r="M2111" s="1" t="s">
        <v>7204</v>
      </c>
      <c r="N2111" s="1" t="s">
        <v>7203</v>
      </c>
    </row>
    <row r="2112" spans="1:14" s="1" customFormat="1" x14ac:dyDescent="0.35">
      <c r="A2112" s="1" t="s">
        <v>5171</v>
      </c>
      <c r="B2112" s="1" t="s">
        <v>3844</v>
      </c>
      <c r="C2112" s="1" t="s">
        <v>3872</v>
      </c>
      <c r="D2112" s="1" t="s">
        <v>7202</v>
      </c>
      <c r="E2112" s="1" t="str">
        <f>"5640"</f>
        <v>5640</v>
      </c>
      <c r="F2112" s="1" t="str">
        <f>"014620102"</f>
        <v>014620102</v>
      </c>
      <c r="G2112" s="1" t="s">
        <v>7201</v>
      </c>
      <c r="H2112" s="1" t="s">
        <v>815</v>
      </c>
      <c r="I2112" s="4" t="str">
        <f>"3"</f>
        <v>3</v>
      </c>
      <c r="J2112" s="2">
        <v>10.58</v>
      </c>
      <c r="K2112" s="3">
        <v>46175</v>
      </c>
      <c r="L2112" s="3">
        <v>46179</v>
      </c>
      <c r="M2112" s="1" t="s">
        <v>7200</v>
      </c>
      <c r="N2112" s="1" t="s">
        <v>7199</v>
      </c>
    </row>
    <row r="2113" spans="1:14" s="1" customFormat="1" x14ac:dyDescent="0.35">
      <c r="A2113" s="1" t="s">
        <v>5171</v>
      </c>
      <c r="B2113" s="1" t="s">
        <v>3844</v>
      </c>
      <c r="C2113" s="1" t="s">
        <v>4141</v>
      </c>
      <c r="D2113" s="1" t="s">
        <v>7198</v>
      </c>
      <c r="E2113" s="1" t="str">
        <f>"1680"</f>
        <v>1680</v>
      </c>
      <c r="F2113" s="1" t="str">
        <f>"016236470"</f>
        <v>016236470</v>
      </c>
      <c r="G2113" s="1" t="s">
        <v>7197</v>
      </c>
      <c r="H2113" s="1" t="s">
        <v>16</v>
      </c>
      <c r="I2113" s="4" t="str">
        <f>"1"</f>
        <v>1</v>
      </c>
      <c r="J2113" s="2">
        <v>184.1</v>
      </c>
      <c r="K2113" s="3">
        <v>46170</v>
      </c>
      <c r="L2113" s="3">
        <v>46179</v>
      </c>
      <c r="M2113" s="1" t="s">
        <v>7196</v>
      </c>
      <c r="N2113" s="1" t="s">
        <v>7195</v>
      </c>
    </row>
    <row r="2114" spans="1:14" s="1" customFormat="1" x14ac:dyDescent="0.35">
      <c r="A2114" s="1" t="s">
        <v>5171</v>
      </c>
      <c r="B2114" s="1" t="s">
        <v>3844</v>
      </c>
      <c r="C2114" s="1" t="s">
        <v>4141</v>
      </c>
      <c r="D2114" s="1" t="s">
        <v>7194</v>
      </c>
      <c r="E2114" s="1" t="str">
        <f>"2540"</f>
        <v>2540</v>
      </c>
      <c r="F2114" s="1" t="str">
        <f>"011656136"</f>
        <v>011656136</v>
      </c>
      <c r="G2114" s="1" t="s">
        <v>4143</v>
      </c>
      <c r="H2114" s="1" t="s">
        <v>16</v>
      </c>
      <c r="I2114" s="4" t="str">
        <f>"13"</f>
        <v>13</v>
      </c>
      <c r="J2114" s="2">
        <v>39.74</v>
      </c>
      <c r="K2114" s="3">
        <v>46178</v>
      </c>
      <c r="L2114" s="3">
        <v>46181</v>
      </c>
      <c r="M2114" s="1" t="s">
        <v>5469</v>
      </c>
      <c r="N2114" s="1" t="s">
        <v>7193</v>
      </c>
    </row>
    <row r="2115" spans="1:14" s="1" customFormat="1" x14ac:dyDescent="0.35">
      <c r="A2115" s="1" t="s">
        <v>0</v>
      </c>
      <c r="B2115" s="1" t="s">
        <v>3844</v>
      </c>
      <c r="C2115" s="1" t="s">
        <v>4137</v>
      </c>
      <c r="D2115" s="1" t="s">
        <v>7192</v>
      </c>
      <c r="E2115" s="1" t="str">
        <f>"5140"</f>
        <v>5140</v>
      </c>
      <c r="F2115" s="1" t="str">
        <f>"014797834"</f>
        <v>014797834</v>
      </c>
      <c r="G2115" s="1" t="s">
        <v>7191</v>
      </c>
      <c r="H2115" s="1" t="s">
        <v>16</v>
      </c>
      <c r="I2115" s="4" t="str">
        <f>"1"</f>
        <v>1</v>
      </c>
      <c r="J2115" s="2">
        <v>658.61</v>
      </c>
      <c r="K2115" s="3">
        <v>46176</v>
      </c>
      <c r="L2115" s="3">
        <v>46182</v>
      </c>
      <c r="M2115" s="1" t="s">
        <v>7184</v>
      </c>
      <c r="N2115" s="1" t="s">
        <v>7190</v>
      </c>
    </row>
    <row r="2116" spans="1:14" s="1" customFormat="1" x14ac:dyDescent="0.35">
      <c r="A2116" s="1" t="s">
        <v>0</v>
      </c>
      <c r="B2116" s="1" t="s">
        <v>3844</v>
      </c>
      <c r="C2116" s="1" t="s">
        <v>4137</v>
      </c>
      <c r="D2116" s="1" t="s">
        <v>7189</v>
      </c>
      <c r="E2116" s="1" t="str">
        <f>"5140"</f>
        <v>5140</v>
      </c>
      <c r="F2116" s="1" t="str">
        <f>"013809606"</f>
        <v>013809606</v>
      </c>
      <c r="G2116" s="1" t="s">
        <v>7188</v>
      </c>
      <c r="H2116" s="1" t="s">
        <v>16</v>
      </c>
      <c r="I2116" s="4" t="str">
        <f>"1"</f>
        <v>1</v>
      </c>
      <c r="J2116" s="2" t="str">
        <f>"850"</f>
        <v>850</v>
      </c>
      <c r="K2116" s="3">
        <v>46176</v>
      </c>
      <c r="L2116" s="3">
        <v>46182</v>
      </c>
      <c r="M2116" s="1" t="s">
        <v>7184</v>
      </c>
      <c r="N2116" s="1" t="s">
        <v>7187</v>
      </c>
    </row>
    <row r="2117" spans="1:14" s="1" customFormat="1" x14ac:dyDescent="0.35">
      <c r="A2117" s="1" t="s">
        <v>0</v>
      </c>
      <c r="B2117" s="1" t="s">
        <v>3844</v>
      </c>
      <c r="C2117" s="1" t="s">
        <v>4137</v>
      </c>
      <c r="D2117" s="1" t="s">
        <v>7186</v>
      </c>
      <c r="E2117" s="1" t="str">
        <f>"7830"</f>
        <v>7830</v>
      </c>
      <c r="F2117" s="1" t="str">
        <f>"012569914"</f>
        <v>012569914</v>
      </c>
      <c r="G2117" s="1" t="s">
        <v>7185</v>
      </c>
      <c r="H2117" s="1" t="s">
        <v>16</v>
      </c>
      <c r="I2117" s="4" t="str">
        <f>"1"</f>
        <v>1</v>
      </c>
      <c r="J2117" s="2">
        <v>2780.17</v>
      </c>
      <c r="K2117" s="3">
        <v>46176</v>
      </c>
      <c r="L2117" s="3">
        <v>46182</v>
      </c>
      <c r="M2117" s="1" t="s">
        <v>7184</v>
      </c>
      <c r="N2117" s="1" t="s">
        <v>7183</v>
      </c>
    </row>
    <row r="2118" spans="1:14" s="1" customFormat="1" x14ac:dyDescent="0.35">
      <c r="A2118" s="1" t="s">
        <v>5171</v>
      </c>
      <c r="B2118" s="1" t="s">
        <v>3844</v>
      </c>
      <c r="C2118" s="1" t="s">
        <v>4118</v>
      </c>
      <c r="D2118" s="1" t="s">
        <v>7182</v>
      </c>
      <c r="E2118" s="1" t="str">
        <f>"1240"</f>
        <v>1240</v>
      </c>
      <c r="F2118" s="1" t="s">
        <v>1800</v>
      </c>
      <c r="G2118" s="1" t="s">
        <v>1801</v>
      </c>
      <c r="H2118" s="1" t="s">
        <v>16</v>
      </c>
      <c r="I2118" s="4" t="str">
        <f>"10"</f>
        <v>10</v>
      </c>
      <c r="J2118" s="2" t="str">
        <f>"550"</f>
        <v>550</v>
      </c>
      <c r="K2118" s="3">
        <v>46181</v>
      </c>
      <c r="L2118" s="3">
        <v>46182</v>
      </c>
      <c r="M2118" s="1" t="s">
        <v>5167</v>
      </c>
      <c r="N2118" s="1" t="s">
        <v>7181</v>
      </c>
    </row>
    <row r="2119" spans="1:14" s="1" customFormat="1" x14ac:dyDescent="0.35">
      <c r="A2119" s="1" t="s">
        <v>5171</v>
      </c>
      <c r="B2119" s="1" t="s">
        <v>3844</v>
      </c>
      <c r="C2119" s="1" t="s">
        <v>4141</v>
      </c>
      <c r="D2119" s="1" t="s">
        <v>7180</v>
      </c>
      <c r="E2119" s="1" t="str">
        <f>"6720"</f>
        <v>6720</v>
      </c>
      <c r="F2119" s="1" t="s">
        <v>2250</v>
      </c>
      <c r="G2119" s="1" t="s">
        <v>2251</v>
      </c>
      <c r="H2119" s="1" t="s">
        <v>16</v>
      </c>
      <c r="I2119" s="4" t="str">
        <f>"1"</f>
        <v>1</v>
      </c>
      <c r="J2119" s="2" t="str">
        <f>"410"</f>
        <v>410</v>
      </c>
      <c r="K2119" s="3">
        <v>46169</v>
      </c>
      <c r="L2119" s="3">
        <v>46182</v>
      </c>
      <c r="M2119" s="1" t="s">
        <v>7179</v>
      </c>
      <c r="N2119" s="1" t="s">
        <v>4158</v>
      </c>
    </row>
    <row r="2120" spans="1:14" s="1" customFormat="1" x14ac:dyDescent="0.35">
      <c r="A2120" s="1" t="s">
        <v>5171</v>
      </c>
      <c r="B2120" s="1" t="s">
        <v>3844</v>
      </c>
      <c r="C2120" s="1" t="s">
        <v>4141</v>
      </c>
      <c r="D2120" s="1" t="s">
        <v>7178</v>
      </c>
      <c r="E2120" s="1" t="str">
        <f>"7025"</f>
        <v>7025</v>
      </c>
      <c r="F2120" s="1" t="str">
        <f>"016089038"</f>
        <v>016089038</v>
      </c>
      <c r="G2120" s="1" t="s">
        <v>7177</v>
      </c>
      <c r="H2120" s="1" t="s">
        <v>16</v>
      </c>
      <c r="I2120" s="4" t="str">
        <f>"1"</f>
        <v>1</v>
      </c>
      <c r="J2120" s="2" t="str">
        <f>"25000"</f>
        <v>25000</v>
      </c>
      <c r="K2120" s="3">
        <v>46169</v>
      </c>
      <c r="L2120" s="3">
        <v>46182</v>
      </c>
      <c r="M2120" s="1" t="s">
        <v>7176</v>
      </c>
      <c r="N2120" s="1" t="s">
        <v>7175</v>
      </c>
    </row>
    <row r="2121" spans="1:14" s="1" customFormat="1" x14ac:dyDescent="0.35">
      <c r="A2121" s="1" t="s">
        <v>5171</v>
      </c>
      <c r="B2121" s="1" t="s">
        <v>3844</v>
      </c>
      <c r="C2121" s="1" t="s">
        <v>4141</v>
      </c>
      <c r="D2121" s="1" t="s">
        <v>7174</v>
      </c>
      <c r="E2121" s="1" t="str">
        <f>"4140"</f>
        <v>4140</v>
      </c>
      <c r="F2121" s="1" t="s">
        <v>398</v>
      </c>
      <c r="G2121" s="1" t="s">
        <v>399</v>
      </c>
      <c r="H2121" s="1" t="s">
        <v>16</v>
      </c>
      <c r="I2121" s="4" t="str">
        <f>"2"</f>
        <v>2</v>
      </c>
      <c r="J2121" s="2" t="str">
        <f>"4000"</f>
        <v>4000</v>
      </c>
      <c r="K2121" s="3">
        <v>46169</v>
      </c>
      <c r="L2121" s="3">
        <v>46184</v>
      </c>
      <c r="M2121" s="1" t="s">
        <v>7173</v>
      </c>
      <c r="N2121" s="1" t="s">
        <v>7172</v>
      </c>
    </row>
    <row r="2122" spans="1:14" s="1" customFormat="1" x14ac:dyDescent="0.35">
      <c r="A2122" s="1" t="s">
        <v>5171</v>
      </c>
      <c r="B2122" s="1" t="s">
        <v>3844</v>
      </c>
      <c r="C2122" s="1" t="s">
        <v>4118</v>
      </c>
      <c r="D2122" s="1" t="s">
        <v>7171</v>
      </c>
      <c r="E2122" s="1" t="str">
        <f>"6720"</f>
        <v>6720</v>
      </c>
      <c r="F2122" s="1" t="s">
        <v>2250</v>
      </c>
      <c r="G2122" s="1" t="s">
        <v>2251</v>
      </c>
      <c r="H2122" s="1" t="s">
        <v>16</v>
      </c>
      <c r="I2122" s="4" t="str">
        <f>"1"</f>
        <v>1</v>
      </c>
      <c r="J2122" s="2">
        <v>320.43</v>
      </c>
      <c r="K2122" s="3">
        <v>46184</v>
      </c>
      <c r="L2122" s="3">
        <v>46185</v>
      </c>
      <c r="M2122" s="1" t="s">
        <v>5167</v>
      </c>
      <c r="N2122" s="1" t="s">
        <v>7170</v>
      </c>
    </row>
    <row r="2123" spans="1:14" s="1" customFormat="1" x14ac:dyDescent="0.35">
      <c r="A2123" s="1" t="s">
        <v>5171</v>
      </c>
      <c r="B2123" s="1" t="s">
        <v>3844</v>
      </c>
      <c r="C2123" s="1" t="s">
        <v>4118</v>
      </c>
      <c r="D2123" s="1" t="s">
        <v>7169</v>
      </c>
      <c r="E2123" s="1" t="str">
        <f>"7025"</f>
        <v>7025</v>
      </c>
      <c r="F2123" s="1" t="s">
        <v>2495</v>
      </c>
      <c r="G2123" s="1" t="s">
        <v>2496</v>
      </c>
      <c r="H2123" s="1" t="s">
        <v>16</v>
      </c>
      <c r="I2123" s="4" t="str">
        <f>"4"</f>
        <v>4</v>
      </c>
      <c r="J2123" s="2" t="str">
        <f>"3920"</f>
        <v>3920</v>
      </c>
      <c r="K2123" s="3">
        <v>46181</v>
      </c>
      <c r="L2123" s="3">
        <v>46186</v>
      </c>
      <c r="M2123" s="1" t="s">
        <v>7168</v>
      </c>
      <c r="N2123" s="1" t="s">
        <v>7167</v>
      </c>
    </row>
    <row r="2124" spans="1:14" s="1" customFormat="1" x14ac:dyDescent="0.35">
      <c r="A2124" s="1" t="s">
        <v>5171</v>
      </c>
      <c r="B2124" s="1" t="s">
        <v>3844</v>
      </c>
      <c r="C2124" s="1" t="s">
        <v>4141</v>
      </c>
      <c r="D2124" s="1" t="s">
        <v>7166</v>
      </c>
      <c r="E2124" s="1" t="str">
        <f>"7025"</f>
        <v>7025</v>
      </c>
      <c r="F2124" s="1" t="s">
        <v>2495</v>
      </c>
      <c r="G2124" s="1" t="s">
        <v>2496</v>
      </c>
      <c r="H2124" s="1" t="s">
        <v>16</v>
      </c>
      <c r="I2124" s="4" t="str">
        <f>"10"</f>
        <v>10</v>
      </c>
      <c r="J2124" s="2" t="str">
        <f>"3920"</f>
        <v>3920</v>
      </c>
      <c r="K2124" s="3">
        <v>46181</v>
      </c>
      <c r="L2124" s="3">
        <v>46186</v>
      </c>
      <c r="M2124" s="1" t="s">
        <v>7165</v>
      </c>
      <c r="N2124" s="1" t="s">
        <v>7164</v>
      </c>
    </row>
    <row r="2125" spans="1:14" s="1" customFormat="1" x14ac:dyDescent="0.35">
      <c r="A2125" s="1" t="s">
        <v>5216</v>
      </c>
      <c r="B2125" s="1" t="s">
        <v>3844</v>
      </c>
      <c r="C2125" s="1" t="s">
        <v>4141</v>
      </c>
      <c r="D2125" s="1" t="s">
        <v>7163</v>
      </c>
      <c r="E2125" s="1" t="str">
        <f>"3950"</f>
        <v>3950</v>
      </c>
      <c r="F2125" s="1" t="s">
        <v>3089</v>
      </c>
      <c r="G2125" s="1" t="s">
        <v>3090</v>
      </c>
      <c r="H2125" s="1" t="s">
        <v>16</v>
      </c>
      <c r="I2125" s="4" t="str">
        <f>"1"</f>
        <v>1</v>
      </c>
      <c r="J2125" s="2" t="str">
        <f>"500"</f>
        <v>500</v>
      </c>
      <c r="K2125" s="3">
        <v>46183</v>
      </c>
      <c r="L2125" s="3">
        <v>46188</v>
      </c>
      <c r="M2125" s="1" t="s">
        <v>7162</v>
      </c>
      <c r="N2125" s="1" t="s">
        <v>7161</v>
      </c>
    </row>
    <row r="2126" spans="1:14" s="1" customFormat="1" x14ac:dyDescent="0.35">
      <c r="A2126" s="1" t="s">
        <v>5171</v>
      </c>
      <c r="B2126" s="1" t="s">
        <v>3844</v>
      </c>
      <c r="C2126" s="1" t="s">
        <v>4141</v>
      </c>
      <c r="D2126" s="1" t="s">
        <v>7160</v>
      </c>
      <c r="E2126" s="1" t="str">
        <f>"7310"</f>
        <v>7310</v>
      </c>
      <c r="F2126" s="1" t="s">
        <v>7159</v>
      </c>
      <c r="G2126" s="1" t="s">
        <v>7158</v>
      </c>
      <c r="H2126" s="1" t="s">
        <v>16</v>
      </c>
      <c r="I2126" s="4" t="str">
        <f>"1"</f>
        <v>1</v>
      </c>
      <c r="J2126" s="2" t="str">
        <f>"12970"</f>
        <v>12970</v>
      </c>
      <c r="K2126" s="3">
        <v>46170</v>
      </c>
      <c r="L2126" s="3">
        <v>46188</v>
      </c>
      <c r="M2126" s="1" t="s">
        <v>7157</v>
      </c>
      <c r="N2126" s="1" t="s">
        <v>7156</v>
      </c>
    </row>
    <row r="2127" spans="1:14" s="1" customFormat="1" x14ac:dyDescent="0.35">
      <c r="A2127" s="1" t="s">
        <v>5171</v>
      </c>
      <c r="B2127" s="1" t="s">
        <v>3844</v>
      </c>
      <c r="C2127" s="1" t="s">
        <v>4141</v>
      </c>
      <c r="D2127" s="1" t="s">
        <v>7155</v>
      </c>
      <c r="E2127" s="1" t="str">
        <f>"4010"</f>
        <v>4010</v>
      </c>
      <c r="F2127" s="1" t="str">
        <f>"015584681"</f>
        <v>015584681</v>
      </c>
      <c r="G2127" s="1" t="s">
        <v>7154</v>
      </c>
      <c r="H2127" s="1" t="s">
        <v>16</v>
      </c>
      <c r="I2127" s="4" t="str">
        <f>"1"</f>
        <v>1</v>
      </c>
      <c r="J2127" s="2">
        <v>491.94</v>
      </c>
      <c r="K2127" s="3">
        <v>46187</v>
      </c>
      <c r="L2127" s="3">
        <v>46190</v>
      </c>
      <c r="M2127" s="1" t="s">
        <v>7153</v>
      </c>
      <c r="N2127" s="1" t="s">
        <v>7152</v>
      </c>
    </row>
    <row r="2128" spans="1:14" s="1" customFormat="1" x14ac:dyDescent="0.35">
      <c r="A2128" s="1" t="s">
        <v>5171</v>
      </c>
      <c r="B2128" s="1" t="s">
        <v>3844</v>
      </c>
      <c r="C2128" s="1" t="s">
        <v>3858</v>
      </c>
      <c r="D2128" s="1" t="s">
        <v>7151</v>
      </c>
      <c r="E2128" s="1" t="str">
        <f>"8145"</f>
        <v>8145</v>
      </c>
      <c r="F2128" s="1" t="s">
        <v>4173</v>
      </c>
      <c r="G2128" s="1" t="s">
        <v>4174</v>
      </c>
      <c r="H2128" s="1" t="s">
        <v>16</v>
      </c>
      <c r="I2128" s="4" t="str">
        <f>"5"</f>
        <v>5</v>
      </c>
      <c r="J2128" s="2" t="str">
        <f>"100"</f>
        <v>100</v>
      </c>
      <c r="K2128" s="3">
        <v>46188</v>
      </c>
      <c r="L2128" s="3">
        <v>46191</v>
      </c>
      <c r="M2128" s="1" t="s">
        <v>7150</v>
      </c>
      <c r="N2128" s="1" t="s">
        <v>3871</v>
      </c>
    </row>
    <row r="2129" spans="1:14" s="1" customFormat="1" x14ac:dyDescent="0.35">
      <c r="A2129" s="1" t="s">
        <v>5171</v>
      </c>
      <c r="B2129" s="1" t="s">
        <v>3844</v>
      </c>
      <c r="C2129" s="1" t="s">
        <v>4118</v>
      </c>
      <c r="D2129" s="1" t="s">
        <v>7149</v>
      </c>
      <c r="E2129" s="1" t="str">
        <f>"7025"</f>
        <v>7025</v>
      </c>
      <c r="F2129" s="1" t="s">
        <v>4953</v>
      </c>
      <c r="G2129" s="1" t="s">
        <v>4954</v>
      </c>
      <c r="H2129" s="1" t="s">
        <v>16</v>
      </c>
      <c r="I2129" s="4" t="str">
        <f>"6"</f>
        <v>6</v>
      </c>
      <c r="J2129" s="2" t="str">
        <f>"500"</f>
        <v>500</v>
      </c>
      <c r="K2129" s="3">
        <v>46181</v>
      </c>
      <c r="L2129" s="3">
        <v>46192</v>
      </c>
      <c r="M2129" s="1" t="s">
        <v>7148</v>
      </c>
      <c r="N2129" s="1" t="s">
        <v>7147</v>
      </c>
    </row>
    <row r="2130" spans="1:14" s="1" customFormat="1" x14ac:dyDescent="0.35">
      <c r="A2130" s="1" t="s">
        <v>5171</v>
      </c>
      <c r="B2130" s="1" t="s">
        <v>3844</v>
      </c>
      <c r="C2130" s="1" t="s">
        <v>4141</v>
      </c>
      <c r="D2130" s="1" t="s">
        <v>7146</v>
      </c>
      <c r="E2130" s="1" t="str">
        <f>"5410"</f>
        <v>5410</v>
      </c>
      <c r="F2130" s="1" t="str">
        <f>"015393454"</f>
        <v>015393454</v>
      </c>
      <c r="G2130" s="1" t="s">
        <v>7145</v>
      </c>
      <c r="H2130" s="1" t="s">
        <v>16</v>
      </c>
      <c r="I2130" s="4" t="str">
        <f>"1"</f>
        <v>1</v>
      </c>
      <c r="J2130" s="2">
        <v>1020.62</v>
      </c>
      <c r="K2130" s="3">
        <v>46187</v>
      </c>
      <c r="L2130" s="3">
        <v>46192</v>
      </c>
      <c r="M2130" s="1" t="s">
        <v>7144</v>
      </c>
      <c r="N2130" s="1" t="s">
        <v>7143</v>
      </c>
    </row>
    <row r="2131" spans="1:14" s="1" customFormat="1" x14ac:dyDescent="0.35">
      <c r="A2131" s="1" t="s">
        <v>5171</v>
      </c>
      <c r="B2131" s="1" t="s">
        <v>3844</v>
      </c>
      <c r="C2131" s="1" t="s">
        <v>3858</v>
      </c>
      <c r="D2131" s="1" t="s">
        <v>7142</v>
      </c>
      <c r="E2131" s="1" t="str">
        <f>"8115"</f>
        <v>8115</v>
      </c>
      <c r="F2131" s="1" t="s">
        <v>483</v>
      </c>
      <c r="G2131" s="1" t="s">
        <v>484</v>
      </c>
      <c r="H2131" s="1" t="s">
        <v>16</v>
      </c>
      <c r="I2131" s="4" t="str">
        <f>"6"</f>
        <v>6</v>
      </c>
      <c r="J2131" s="2" t="str">
        <f>"100"</f>
        <v>100</v>
      </c>
      <c r="K2131" s="3">
        <v>46188</v>
      </c>
      <c r="L2131" s="3">
        <v>46196</v>
      </c>
      <c r="M2131" s="1" t="s">
        <v>7141</v>
      </c>
      <c r="N2131" s="1" t="s">
        <v>3871</v>
      </c>
    </row>
    <row r="2132" spans="1:14" s="1" customFormat="1" x14ac:dyDescent="0.35">
      <c r="A2132" s="1" t="s">
        <v>5171</v>
      </c>
      <c r="B2132" s="1" t="s">
        <v>3844</v>
      </c>
      <c r="C2132" s="1" t="s">
        <v>4141</v>
      </c>
      <c r="D2132" s="1" t="s">
        <v>7140</v>
      </c>
      <c r="E2132" s="1" t="str">
        <f>"4460"</f>
        <v>4460</v>
      </c>
      <c r="F2132" s="1" t="s">
        <v>7136</v>
      </c>
      <c r="G2132" s="1" t="s">
        <v>7135</v>
      </c>
      <c r="H2132" s="1" t="s">
        <v>16</v>
      </c>
      <c r="I2132" s="4" t="str">
        <f>"1"</f>
        <v>1</v>
      </c>
      <c r="J2132" s="2">
        <v>907.22</v>
      </c>
      <c r="K2132" s="3">
        <v>46179</v>
      </c>
      <c r="L2132" s="3">
        <v>46196</v>
      </c>
      <c r="M2132" s="1" t="s">
        <v>7139</v>
      </c>
      <c r="N2132" s="1" t="s">
        <v>7138</v>
      </c>
    </row>
    <row r="2133" spans="1:14" s="1" customFormat="1" x14ac:dyDescent="0.35">
      <c r="A2133" s="1" t="s">
        <v>5171</v>
      </c>
      <c r="B2133" s="1" t="s">
        <v>3844</v>
      </c>
      <c r="C2133" s="1" t="s">
        <v>4141</v>
      </c>
      <c r="D2133" s="1" t="s">
        <v>7137</v>
      </c>
      <c r="E2133" s="1" t="str">
        <f>"4460"</f>
        <v>4460</v>
      </c>
      <c r="F2133" s="1" t="s">
        <v>7136</v>
      </c>
      <c r="G2133" s="1" t="s">
        <v>7135</v>
      </c>
      <c r="H2133" s="1" t="s">
        <v>16</v>
      </c>
      <c r="I2133" s="4" t="str">
        <f>"1"</f>
        <v>1</v>
      </c>
      <c r="J2133" s="2" t="str">
        <f>"907"</f>
        <v>907</v>
      </c>
      <c r="K2133" s="3">
        <v>46179</v>
      </c>
      <c r="L2133" s="3">
        <v>46196</v>
      </c>
      <c r="M2133" s="1" t="s">
        <v>7134</v>
      </c>
      <c r="N2133" s="1" t="s">
        <v>7133</v>
      </c>
    </row>
    <row r="2134" spans="1:14" s="1" customFormat="1" x14ac:dyDescent="0.35">
      <c r="A2134" s="1" t="s">
        <v>5171</v>
      </c>
      <c r="B2134" s="1" t="s">
        <v>3844</v>
      </c>
      <c r="C2134" s="1" t="s">
        <v>4141</v>
      </c>
      <c r="D2134" s="1" t="s">
        <v>7132</v>
      </c>
      <c r="E2134" s="1" t="str">
        <f>"8115"</f>
        <v>8115</v>
      </c>
      <c r="F2134" s="1" t="s">
        <v>483</v>
      </c>
      <c r="G2134" s="1" t="s">
        <v>484</v>
      </c>
      <c r="H2134" s="1" t="s">
        <v>16</v>
      </c>
      <c r="I2134" s="4" t="str">
        <f>"6"</f>
        <v>6</v>
      </c>
      <c r="J2134" s="2" t="str">
        <f>"100"</f>
        <v>100</v>
      </c>
      <c r="K2134" s="3">
        <v>46187</v>
      </c>
      <c r="L2134" s="3">
        <v>46196</v>
      </c>
      <c r="M2134" s="1" t="s">
        <v>7131</v>
      </c>
      <c r="N2134" s="1" t="s">
        <v>4175</v>
      </c>
    </row>
    <row r="2135" spans="1:14" s="1" customFormat="1" x14ac:dyDescent="0.35">
      <c r="A2135" s="1" t="s">
        <v>5171</v>
      </c>
      <c r="B2135" s="1" t="s">
        <v>3844</v>
      </c>
      <c r="C2135" s="1" t="s">
        <v>4141</v>
      </c>
      <c r="D2135" s="1" t="s">
        <v>7130</v>
      </c>
      <c r="E2135" s="1" t="str">
        <f>"8340"</f>
        <v>8340</v>
      </c>
      <c r="F2135" s="1" t="str">
        <f>"008172126"</f>
        <v>008172126</v>
      </c>
      <c r="G2135" s="1" t="s">
        <v>888</v>
      </c>
      <c r="H2135" s="1" t="s">
        <v>16</v>
      </c>
      <c r="I2135" s="4" t="str">
        <f>"4"</f>
        <v>4</v>
      </c>
      <c r="J2135" s="2">
        <v>297.19</v>
      </c>
      <c r="K2135" s="3">
        <v>46175</v>
      </c>
      <c r="L2135" s="3">
        <v>46199</v>
      </c>
      <c r="M2135" s="1" t="s">
        <v>7129</v>
      </c>
      <c r="N2135" s="1" t="s">
        <v>7128</v>
      </c>
    </row>
    <row r="2136" spans="1:14" s="1" customFormat="1" x14ac:dyDescent="0.35">
      <c r="A2136" s="1" t="s">
        <v>5230</v>
      </c>
      <c r="B2136" s="1" t="s">
        <v>3844</v>
      </c>
      <c r="C2136" s="1" t="s">
        <v>4141</v>
      </c>
      <c r="D2136" s="1" t="s">
        <v>7127</v>
      </c>
      <c r="E2136" s="1" t="str">
        <f>"4440"</f>
        <v>4440</v>
      </c>
      <c r="F2136" s="1" t="s">
        <v>7126</v>
      </c>
      <c r="G2136" s="1" t="s">
        <v>7125</v>
      </c>
      <c r="H2136" s="1" t="s">
        <v>16</v>
      </c>
      <c r="I2136" s="4" t="str">
        <f>"7"</f>
        <v>7</v>
      </c>
      <c r="J2136" s="2" t="str">
        <f>"120"</f>
        <v>120</v>
      </c>
      <c r="K2136" s="3">
        <v>46202</v>
      </c>
      <c r="L2136" s="3">
        <v>46203</v>
      </c>
      <c r="N2136" s="1" t="s">
        <v>7124</v>
      </c>
    </row>
    <row r="2137" spans="1:14" s="1" customFormat="1" x14ac:dyDescent="0.35">
      <c r="A2137" s="1" t="s">
        <v>5230</v>
      </c>
      <c r="B2137" s="1" t="s">
        <v>3844</v>
      </c>
      <c r="C2137" s="1" t="s">
        <v>4141</v>
      </c>
      <c r="D2137" s="1" t="s">
        <v>7123</v>
      </c>
      <c r="E2137" s="1" t="str">
        <f>"6115"</f>
        <v>6115</v>
      </c>
      <c r="F2137" s="1" t="s">
        <v>1106</v>
      </c>
      <c r="G2137" s="1" t="s">
        <v>1107</v>
      </c>
      <c r="H2137" s="1" t="s">
        <v>16</v>
      </c>
      <c r="I2137" s="4" t="str">
        <f>"2"</f>
        <v>2</v>
      </c>
      <c r="J2137" s="2" t="str">
        <f>"6125"</f>
        <v>6125</v>
      </c>
      <c r="K2137" s="3">
        <v>46203</v>
      </c>
      <c r="L2137" s="3">
        <v>46203</v>
      </c>
      <c r="M2137" s="1" t="s">
        <v>5469</v>
      </c>
      <c r="N2137" s="1" t="s">
        <v>7122</v>
      </c>
    </row>
    <row r="2138" spans="1:14" s="1" customFormat="1" x14ac:dyDescent="0.35">
      <c r="A2138" s="1" t="s">
        <v>5171</v>
      </c>
      <c r="B2138" s="1" t="s">
        <v>4176</v>
      </c>
      <c r="C2138" s="1" t="s">
        <v>4198</v>
      </c>
      <c r="D2138" s="1" t="s">
        <v>7121</v>
      </c>
      <c r="E2138" s="1" t="str">
        <f>"4240"</f>
        <v>4240</v>
      </c>
      <c r="F2138" s="1" t="str">
        <f>"016077512"</f>
        <v>016077512</v>
      </c>
      <c r="G2138" s="1" t="s">
        <v>3101</v>
      </c>
      <c r="H2138" s="1" t="s">
        <v>16</v>
      </c>
      <c r="I2138" s="4" t="str">
        <f>"50"</f>
        <v>50</v>
      </c>
      <c r="J2138" s="2">
        <v>53.51</v>
      </c>
      <c r="K2138" s="3">
        <v>46111</v>
      </c>
      <c r="L2138" s="3">
        <v>46115</v>
      </c>
      <c r="M2138" s="1" t="s">
        <v>7120</v>
      </c>
      <c r="N2138" s="1" t="s">
        <v>7119</v>
      </c>
    </row>
    <row r="2139" spans="1:14" s="1" customFormat="1" x14ac:dyDescent="0.35">
      <c r="A2139" s="1" t="s">
        <v>5171</v>
      </c>
      <c r="B2139" s="1" t="s">
        <v>4176</v>
      </c>
      <c r="C2139" s="1" t="s">
        <v>4177</v>
      </c>
      <c r="D2139" s="1" t="s">
        <v>7118</v>
      </c>
      <c r="E2139" s="1" t="str">
        <f>"5855"</f>
        <v>5855</v>
      </c>
      <c r="F2139" s="1" t="str">
        <f>"014778741"</f>
        <v>014778741</v>
      </c>
      <c r="G2139" s="1" t="s">
        <v>1770</v>
      </c>
      <c r="H2139" s="1" t="s">
        <v>16</v>
      </c>
      <c r="I2139" s="4" t="str">
        <f>"1"</f>
        <v>1</v>
      </c>
      <c r="J2139" s="2" t="str">
        <f>"10165"</f>
        <v>10165</v>
      </c>
      <c r="K2139" s="3">
        <v>46116</v>
      </c>
      <c r="L2139" s="3">
        <v>46119</v>
      </c>
      <c r="M2139" s="1" t="s">
        <v>7117</v>
      </c>
      <c r="N2139" s="1" t="s">
        <v>7114</v>
      </c>
    </row>
    <row r="2140" spans="1:14" s="1" customFormat="1" x14ac:dyDescent="0.35">
      <c r="A2140" s="1" t="s">
        <v>5171</v>
      </c>
      <c r="B2140" s="1" t="s">
        <v>4176</v>
      </c>
      <c r="C2140" s="1" t="s">
        <v>4177</v>
      </c>
      <c r="D2140" s="1" t="s">
        <v>7118</v>
      </c>
      <c r="E2140" s="1" t="str">
        <f>"5855"</f>
        <v>5855</v>
      </c>
      <c r="F2140" s="1" t="str">
        <f>"014778741"</f>
        <v>014778741</v>
      </c>
      <c r="G2140" s="1" t="s">
        <v>1770</v>
      </c>
      <c r="H2140" s="1" t="s">
        <v>16</v>
      </c>
      <c r="I2140" s="4" t="str">
        <f>"1"</f>
        <v>1</v>
      </c>
      <c r="J2140" s="2" t="str">
        <f>"10165"</f>
        <v>10165</v>
      </c>
      <c r="K2140" s="3">
        <v>46116</v>
      </c>
      <c r="L2140" s="3">
        <v>46119</v>
      </c>
      <c r="M2140" s="1" t="s">
        <v>7117</v>
      </c>
      <c r="N2140" s="1" t="s">
        <v>7114</v>
      </c>
    </row>
    <row r="2141" spans="1:14" s="1" customFormat="1" x14ac:dyDescent="0.35">
      <c r="A2141" s="1" t="s">
        <v>5171</v>
      </c>
      <c r="B2141" s="1" t="s">
        <v>4176</v>
      </c>
      <c r="C2141" s="1" t="s">
        <v>4177</v>
      </c>
      <c r="D2141" s="1" t="s">
        <v>7116</v>
      </c>
      <c r="E2141" s="1" t="str">
        <f>"5855"</f>
        <v>5855</v>
      </c>
      <c r="F2141" s="1" t="str">
        <f>"014778741"</f>
        <v>014778741</v>
      </c>
      <c r="G2141" s="1" t="s">
        <v>1770</v>
      </c>
      <c r="H2141" s="1" t="s">
        <v>16</v>
      </c>
      <c r="I2141" s="4" t="str">
        <f>"1"</f>
        <v>1</v>
      </c>
      <c r="J2141" s="2" t="str">
        <f>"10165"</f>
        <v>10165</v>
      </c>
      <c r="K2141" s="3">
        <v>46116</v>
      </c>
      <c r="L2141" s="3">
        <v>46119</v>
      </c>
      <c r="M2141" s="1" t="s">
        <v>7115</v>
      </c>
      <c r="N2141" s="1" t="s">
        <v>7114</v>
      </c>
    </row>
    <row r="2142" spans="1:14" s="1" customFormat="1" x14ac:dyDescent="0.35">
      <c r="A2142" s="1" t="s">
        <v>5171</v>
      </c>
      <c r="B2142" s="1" t="s">
        <v>4176</v>
      </c>
      <c r="C2142" s="1" t="s">
        <v>4177</v>
      </c>
      <c r="D2142" s="1" t="s">
        <v>7116</v>
      </c>
      <c r="E2142" s="1" t="str">
        <f>"5855"</f>
        <v>5855</v>
      </c>
      <c r="F2142" s="1" t="str">
        <f>"014778741"</f>
        <v>014778741</v>
      </c>
      <c r="G2142" s="1" t="s">
        <v>1770</v>
      </c>
      <c r="H2142" s="1" t="s">
        <v>16</v>
      </c>
      <c r="I2142" s="4" t="str">
        <f>"1"</f>
        <v>1</v>
      </c>
      <c r="J2142" s="2" t="str">
        <f>"10165"</f>
        <v>10165</v>
      </c>
      <c r="K2142" s="3">
        <v>46116</v>
      </c>
      <c r="L2142" s="3">
        <v>46119</v>
      </c>
      <c r="M2142" s="1" t="s">
        <v>7115</v>
      </c>
      <c r="N2142" s="1" t="s">
        <v>7114</v>
      </c>
    </row>
    <row r="2143" spans="1:14" s="1" customFormat="1" x14ac:dyDescent="0.35">
      <c r="A2143" s="1" t="s">
        <v>5171</v>
      </c>
      <c r="B2143" s="1" t="s">
        <v>4176</v>
      </c>
      <c r="C2143" s="1" t="s">
        <v>4177</v>
      </c>
      <c r="D2143" s="1" t="s">
        <v>7113</v>
      </c>
      <c r="E2143" s="1" t="str">
        <f>"5855"</f>
        <v>5855</v>
      </c>
      <c r="F2143" s="1" t="str">
        <f>"015345931"</f>
        <v>015345931</v>
      </c>
      <c r="G2143" s="1" t="s">
        <v>1379</v>
      </c>
      <c r="H2143" s="1" t="s">
        <v>16</v>
      </c>
      <c r="I2143" s="4" t="str">
        <f>"10"</f>
        <v>10</v>
      </c>
      <c r="J2143" s="2" t="str">
        <f>"970"</f>
        <v>970</v>
      </c>
      <c r="K2143" s="3">
        <v>46116</v>
      </c>
      <c r="L2143" s="3">
        <v>46121</v>
      </c>
      <c r="M2143" s="1" t="s">
        <v>7112</v>
      </c>
      <c r="N2143" s="1" t="s">
        <v>7111</v>
      </c>
    </row>
    <row r="2144" spans="1:14" s="1" customFormat="1" x14ac:dyDescent="0.35">
      <c r="A2144" s="1" t="s">
        <v>5171</v>
      </c>
      <c r="B2144" s="1" t="s">
        <v>4176</v>
      </c>
      <c r="C2144" s="1" t="s">
        <v>4177</v>
      </c>
      <c r="D2144" s="1" t="s">
        <v>7110</v>
      </c>
      <c r="E2144" s="1" t="str">
        <f>"5855"</f>
        <v>5855</v>
      </c>
      <c r="F2144" s="1" t="str">
        <f>"014684169"</f>
        <v>014684169</v>
      </c>
      <c r="G2144" s="1" t="s">
        <v>1366</v>
      </c>
      <c r="H2144" s="1" t="s">
        <v>16</v>
      </c>
      <c r="I2144" s="4" t="str">
        <f>"4"</f>
        <v>4</v>
      </c>
      <c r="J2144" s="2">
        <v>790.97</v>
      </c>
      <c r="K2144" s="3">
        <v>46114</v>
      </c>
      <c r="L2144" s="3">
        <v>46123</v>
      </c>
      <c r="M2144" s="1" t="s">
        <v>7109</v>
      </c>
      <c r="N2144" s="1" t="s">
        <v>7108</v>
      </c>
    </row>
    <row r="2145" spans="1:14" s="1" customFormat="1" x14ac:dyDescent="0.35">
      <c r="A2145" s="1" t="s">
        <v>5171</v>
      </c>
      <c r="B2145" s="1" t="s">
        <v>4176</v>
      </c>
      <c r="C2145" s="1" t="s">
        <v>4177</v>
      </c>
      <c r="D2145" s="1" t="s">
        <v>7107</v>
      </c>
      <c r="E2145" s="1" t="str">
        <f>"5855"</f>
        <v>5855</v>
      </c>
      <c r="F2145" s="1" t="str">
        <f>"015345931"</f>
        <v>015345931</v>
      </c>
      <c r="G2145" s="1" t="s">
        <v>1379</v>
      </c>
      <c r="H2145" s="1" t="s">
        <v>16</v>
      </c>
      <c r="I2145" s="4" t="str">
        <f>"10"</f>
        <v>10</v>
      </c>
      <c r="J2145" s="2" t="str">
        <f>"970"</f>
        <v>970</v>
      </c>
      <c r="K2145" s="3">
        <v>46121</v>
      </c>
      <c r="L2145" s="3">
        <v>46129</v>
      </c>
      <c r="M2145" s="1" t="s">
        <v>7106</v>
      </c>
      <c r="N2145" s="1" t="s">
        <v>7105</v>
      </c>
    </row>
    <row r="2146" spans="1:14" s="1" customFormat="1" x14ac:dyDescent="0.35">
      <c r="A2146" s="1" t="s">
        <v>5171</v>
      </c>
      <c r="B2146" s="1" t="s">
        <v>4176</v>
      </c>
      <c r="C2146" s="1" t="s">
        <v>4177</v>
      </c>
      <c r="D2146" s="1" t="s">
        <v>7104</v>
      </c>
      <c r="E2146" s="1" t="str">
        <f>"5855"</f>
        <v>5855</v>
      </c>
      <c r="F2146" s="1" t="str">
        <f>"015777174"</f>
        <v>015777174</v>
      </c>
      <c r="G2146" s="1" t="s">
        <v>1366</v>
      </c>
      <c r="H2146" s="1" t="s">
        <v>16</v>
      </c>
      <c r="I2146" s="4" t="str">
        <f>"10"</f>
        <v>10</v>
      </c>
      <c r="J2146" s="2" t="str">
        <f>"1791"</f>
        <v>1791</v>
      </c>
      <c r="K2146" s="3">
        <v>46130</v>
      </c>
      <c r="L2146" s="3">
        <v>46135</v>
      </c>
      <c r="M2146" s="1" t="s">
        <v>7103</v>
      </c>
      <c r="N2146" s="1" t="s">
        <v>7102</v>
      </c>
    </row>
    <row r="2147" spans="1:14" s="1" customFormat="1" x14ac:dyDescent="0.35">
      <c r="A2147" s="1" t="s">
        <v>5171</v>
      </c>
      <c r="B2147" s="1" t="s">
        <v>4176</v>
      </c>
      <c r="C2147" s="1" t="s">
        <v>4177</v>
      </c>
      <c r="D2147" s="1" t="s">
        <v>7101</v>
      </c>
      <c r="E2147" s="1" t="str">
        <f>"5855"</f>
        <v>5855</v>
      </c>
      <c r="F2147" s="1" t="s">
        <v>1808</v>
      </c>
      <c r="G2147" s="1" t="s">
        <v>1809</v>
      </c>
      <c r="H2147" s="1" t="s">
        <v>16</v>
      </c>
      <c r="I2147" s="4" t="str">
        <f>"10"</f>
        <v>10</v>
      </c>
      <c r="J2147" s="2" t="str">
        <f>"5000"</f>
        <v>5000</v>
      </c>
      <c r="K2147" s="3">
        <v>46137</v>
      </c>
      <c r="L2147" s="3">
        <v>46139</v>
      </c>
      <c r="M2147" s="1" t="s">
        <v>7100</v>
      </c>
      <c r="N2147" s="1" t="s">
        <v>7099</v>
      </c>
    </row>
    <row r="2148" spans="1:14" s="1" customFormat="1" x14ac:dyDescent="0.35">
      <c r="A2148" s="1" t="s">
        <v>5171</v>
      </c>
      <c r="B2148" s="1" t="s">
        <v>4176</v>
      </c>
      <c r="C2148" s="1" t="s">
        <v>4177</v>
      </c>
      <c r="D2148" s="1" t="s">
        <v>7101</v>
      </c>
      <c r="E2148" s="1" t="str">
        <f>"5855"</f>
        <v>5855</v>
      </c>
      <c r="F2148" s="1" t="s">
        <v>1808</v>
      </c>
      <c r="G2148" s="1" t="s">
        <v>1809</v>
      </c>
      <c r="H2148" s="1" t="s">
        <v>16</v>
      </c>
      <c r="I2148" s="4" t="str">
        <f>"10"</f>
        <v>10</v>
      </c>
      <c r="J2148" s="2" t="str">
        <f>"5000"</f>
        <v>5000</v>
      </c>
      <c r="K2148" s="3">
        <v>46137</v>
      </c>
      <c r="L2148" s="3">
        <v>46139</v>
      </c>
      <c r="M2148" s="1" t="s">
        <v>7100</v>
      </c>
      <c r="N2148" s="1" t="s">
        <v>7099</v>
      </c>
    </row>
    <row r="2149" spans="1:14" s="1" customFormat="1" x14ac:dyDescent="0.35">
      <c r="A2149" s="1" t="s">
        <v>5171</v>
      </c>
      <c r="B2149" s="1" t="s">
        <v>4176</v>
      </c>
      <c r="C2149" s="1" t="s">
        <v>4177</v>
      </c>
      <c r="D2149" s="1" t="s">
        <v>7098</v>
      </c>
      <c r="E2149" s="1" t="str">
        <f>"5855"</f>
        <v>5855</v>
      </c>
      <c r="F2149" s="1" t="str">
        <f>"016910312"</f>
        <v>016910312</v>
      </c>
      <c r="G2149" s="1" t="s">
        <v>1817</v>
      </c>
      <c r="H2149" s="1" t="s">
        <v>16</v>
      </c>
      <c r="I2149" s="4" t="str">
        <f>"1"</f>
        <v>1</v>
      </c>
      <c r="J2149" s="2">
        <v>2665.55</v>
      </c>
      <c r="K2149" s="3">
        <v>46137</v>
      </c>
      <c r="L2149" s="3">
        <v>46140</v>
      </c>
      <c r="M2149" s="1" t="s">
        <v>5167</v>
      </c>
      <c r="N2149" s="1" t="s">
        <v>7097</v>
      </c>
    </row>
    <row r="2150" spans="1:14" s="1" customFormat="1" x14ac:dyDescent="0.35">
      <c r="A2150" s="1" t="s">
        <v>5171</v>
      </c>
      <c r="B2150" s="1" t="s">
        <v>4176</v>
      </c>
      <c r="C2150" s="1" t="s">
        <v>4177</v>
      </c>
      <c r="D2150" s="1" t="s">
        <v>7096</v>
      </c>
      <c r="E2150" s="1" t="str">
        <f>"5855"</f>
        <v>5855</v>
      </c>
      <c r="F2150" s="1" t="str">
        <f>"014333157"</f>
        <v>014333157</v>
      </c>
      <c r="G2150" s="1" t="s">
        <v>1770</v>
      </c>
      <c r="H2150" s="1" t="s">
        <v>16</v>
      </c>
      <c r="I2150" s="4" t="str">
        <f>"5"</f>
        <v>5</v>
      </c>
      <c r="J2150" s="2" t="str">
        <f>"6392"</f>
        <v>6392</v>
      </c>
      <c r="K2150" s="3">
        <v>46144</v>
      </c>
      <c r="L2150" s="3">
        <v>46145</v>
      </c>
      <c r="M2150" s="1" t="s">
        <v>5167</v>
      </c>
      <c r="N2150" s="1" t="s">
        <v>7095</v>
      </c>
    </row>
    <row r="2151" spans="1:14" s="1" customFormat="1" x14ac:dyDescent="0.35">
      <c r="A2151" s="1" t="s">
        <v>5171</v>
      </c>
      <c r="B2151" s="1" t="s">
        <v>4176</v>
      </c>
      <c r="C2151" s="1" t="s">
        <v>4177</v>
      </c>
      <c r="D2151" s="1" t="s">
        <v>7094</v>
      </c>
      <c r="E2151" s="1" t="str">
        <f>"5855"</f>
        <v>5855</v>
      </c>
      <c r="F2151" s="1" t="str">
        <f>"015847217"</f>
        <v>015847217</v>
      </c>
      <c r="G2151" s="1" t="s">
        <v>1770</v>
      </c>
      <c r="H2151" s="1" t="s">
        <v>16</v>
      </c>
      <c r="I2151" s="4" t="str">
        <f>"2"</f>
        <v>2</v>
      </c>
      <c r="J2151" s="2" t="str">
        <f>"34084"</f>
        <v>34084</v>
      </c>
      <c r="K2151" s="3">
        <v>46144</v>
      </c>
      <c r="L2151" s="3">
        <v>46146</v>
      </c>
      <c r="M2151" s="1" t="s">
        <v>7093</v>
      </c>
      <c r="N2151" s="1" t="s">
        <v>7092</v>
      </c>
    </row>
    <row r="2152" spans="1:14" s="1" customFormat="1" x14ac:dyDescent="0.35">
      <c r="A2152" s="1" t="s">
        <v>5171</v>
      </c>
      <c r="B2152" s="1" t="s">
        <v>4176</v>
      </c>
      <c r="C2152" s="1" t="s">
        <v>4177</v>
      </c>
      <c r="D2152" s="1" t="s">
        <v>7094</v>
      </c>
      <c r="E2152" s="1" t="str">
        <f>"5855"</f>
        <v>5855</v>
      </c>
      <c r="F2152" s="1" t="str">
        <f>"015847217"</f>
        <v>015847217</v>
      </c>
      <c r="G2152" s="1" t="s">
        <v>1770</v>
      </c>
      <c r="H2152" s="1" t="s">
        <v>16</v>
      </c>
      <c r="I2152" s="4" t="str">
        <f>"2"</f>
        <v>2</v>
      </c>
      <c r="J2152" s="2" t="str">
        <f>"34084"</f>
        <v>34084</v>
      </c>
      <c r="K2152" s="3">
        <v>46144</v>
      </c>
      <c r="L2152" s="3">
        <v>46146</v>
      </c>
      <c r="M2152" s="1" t="s">
        <v>7093</v>
      </c>
      <c r="N2152" s="1" t="s">
        <v>7092</v>
      </c>
    </row>
    <row r="2153" spans="1:14" s="1" customFormat="1" x14ac:dyDescent="0.35">
      <c r="A2153" s="1" t="s">
        <v>5171</v>
      </c>
      <c r="B2153" s="1" t="s">
        <v>4176</v>
      </c>
      <c r="C2153" s="1" t="s">
        <v>4177</v>
      </c>
      <c r="D2153" s="1" t="s">
        <v>7091</v>
      </c>
      <c r="E2153" s="1" t="str">
        <f>"5855"</f>
        <v>5855</v>
      </c>
      <c r="F2153" s="1" t="str">
        <f>"014165085"</f>
        <v>014165085</v>
      </c>
      <c r="G2153" s="1" t="s">
        <v>1770</v>
      </c>
      <c r="H2153" s="1" t="s">
        <v>16</v>
      </c>
      <c r="I2153" s="4" t="str">
        <f>"1"</f>
        <v>1</v>
      </c>
      <c r="J2153" s="2">
        <v>6655.86</v>
      </c>
      <c r="K2153" s="3">
        <v>46140</v>
      </c>
      <c r="L2153" s="3">
        <v>46151</v>
      </c>
      <c r="M2153" s="1" t="s">
        <v>7090</v>
      </c>
      <c r="N2153" s="1" t="s">
        <v>7087</v>
      </c>
    </row>
    <row r="2154" spans="1:14" s="1" customFormat="1" x14ac:dyDescent="0.35">
      <c r="A2154" s="1" t="s">
        <v>5171</v>
      </c>
      <c r="B2154" s="1" t="s">
        <v>4176</v>
      </c>
      <c r="C2154" s="1" t="s">
        <v>4177</v>
      </c>
      <c r="D2154" s="1" t="s">
        <v>7089</v>
      </c>
      <c r="E2154" s="1" t="str">
        <f>"5855"</f>
        <v>5855</v>
      </c>
      <c r="F2154" s="1" t="str">
        <f>"014165085"</f>
        <v>014165085</v>
      </c>
      <c r="G2154" s="1" t="s">
        <v>1770</v>
      </c>
      <c r="H2154" s="1" t="s">
        <v>16</v>
      </c>
      <c r="I2154" s="4" t="str">
        <f>"1"</f>
        <v>1</v>
      </c>
      <c r="J2154" s="2">
        <v>6655.86</v>
      </c>
      <c r="K2154" s="3">
        <v>46140</v>
      </c>
      <c r="L2154" s="3">
        <v>46151</v>
      </c>
      <c r="M2154" s="1" t="s">
        <v>7088</v>
      </c>
      <c r="N2154" s="1" t="s">
        <v>7087</v>
      </c>
    </row>
    <row r="2155" spans="1:14" s="1" customFormat="1" x14ac:dyDescent="0.35">
      <c r="A2155" s="1" t="s">
        <v>5171</v>
      </c>
      <c r="B2155" s="1" t="s">
        <v>4176</v>
      </c>
      <c r="C2155" s="1" t="s">
        <v>4177</v>
      </c>
      <c r="D2155" s="1" t="s">
        <v>7086</v>
      </c>
      <c r="E2155" s="1" t="str">
        <f>"5855"</f>
        <v>5855</v>
      </c>
      <c r="F2155" s="1" t="str">
        <f>"015357127"</f>
        <v>015357127</v>
      </c>
      <c r="G2155" s="1" t="s">
        <v>6703</v>
      </c>
      <c r="H2155" s="1" t="s">
        <v>16</v>
      </c>
      <c r="I2155" s="4" t="str">
        <f>"1"</f>
        <v>1</v>
      </c>
      <c r="J2155" s="2" t="str">
        <f>"9990"</f>
        <v>9990</v>
      </c>
      <c r="K2155" s="3">
        <v>46151</v>
      </c>
      <c r="L2155" s="3">
        <v>46153</v>
      </c>
      <c r="M2155" s="1" t="s">
        <v>7085</v>
      </c>
      <c r="N2155" s="1" t="s">
        <v>7084</v>
      </c>
    </row>
    <row r="2156" spans="1:14" s="1" customFormat="1" x14ac:dyDescent="0.35">
      <c r="A2156" s="1" t="s">
        <v>5171</v>
      </c>
      <c r="B2156" s="1" t="s">
        <v>4176</v>
      </c>
      <c r="C2156" s="1" t="s">
        <v>4177</v>
      </c>
      <c r="D2156" s="1" t="s">
        <v>7086</v>
      </c>
      <c r="E2156" s="1" t="str">
        <f>"5855"</f>
        <v>5855</v>
      </c>
      <c r="F2156" s="1" t="str">
        <f>"015357127"</f>
        <v>015357127</v>
      </c>
      <c r="G2156" s="1" t="s">
        <v>6703</v>
      </c>
      <c r="H2156" s="1" t="s">
        <v>16</v>
      </c>
      <c r="I2156" s="4" t="str">
        <f>"1"</f>
        <v>1</v>
      </c>
      <c r="J2156" s="2" t="str">
        <f>"9990"</f>
        <v>9990</v>
      </c>
      <c r="K2156" s="3">
        <v>46151</v>
      </c>
      <c r="L2156" s="3">
        <v>46153</v>
      </c>
      <c r="M2156" s="1" t="s">
        <v>7085</v>
      </c>
      <c r="N2156" s="1" t="s">
        <v>7084</v>
      </c>
    </row>
    <row r="2157" spans="1:14" s="1" customFormat="1" x14ac:dyDescent="0.35">
      <c r="A2157" s="1" t="s">
        <v>5171</v>
      </c>
      <c r="B2157" s="1" t="s">
        <v>4176</v>
      </c>
      <c r="C2157" s="1" t="s">
        <v>4177</v>
      </c>
      <c r="D2157" s="1" t="s">
        <v>7083</v>
      </c>
      <c r="E2157" s="1" t="str">
        <f>"5855"</f>
        <v>5855</v>
      </c>
      <c r="F2157" s="1" t="str">
        <f>"015357127"</f>
        <v>015357127</v>
      </c>
      <c r="G2157" s="1" t="s">
        <v>6703</v>
      </c>
      <c r="H2157" s="1" t="s">
        <v>16</v>
      </c>
      <c r="I2157" s="4" t="str">
        <f>"1"</f>
        <v>1</v>
      </c>
      <c r="J2157" s="2" t="str">
        <f>"9990"</f>
        <v>9990</v>
      </c>
      <c r="K2157" s="3">
        <v>46151</v>
      </c>
      <c r="L2157" s="3">
        <v>46154</v>
      </c>
      <c r="M2157" s="1" t="s">
        <v>7082</v>
      </c>
      <c r="N2157" s="1" t="s">
        <v>7081</v>
      </c>
    </row>
    <row r="2158" spans="1:14" s="1" customFormat="1" x14ac:dyDescent="0.35">
      <c r="A2158" s="1" t="s">
        <v>5171</v>
      </c>
      <c r="B2158" s="1" t="s">
        <v>4176</v>
      </c>
      <c r="C2158" s="1" t="s">
        <v>4177</v>
      </c>
      <c r="D2158" s="1" t="s">
        <v>7080</v>
      </c>
      <c r="E2158" s="1" t="str">
        <f>"5855"</f>
        <v>5855</v>
      </c>
      <c r="F2158" s="1" t="str">
        <f>"014165085"</f>
        <v>014165085</v>
      </c>
      <c r="G2158" s="1" t="s">
        <v>1770</v>
      </c>
      <c r="H2158" s="1" t="s">
        <v>16</v>
      </c>
      <c r="I2158" s="4" t="str">
        <f>"1"</f>
        <v>1</v>
      </c>
      <c r="J2158" s="2">
        <v>6655.86</v>
      </c>
      <c r="K2158" s="3">
        <v>46151</v>
      </c>
      <c r="L2158" s="3">
        <v>46154</v>
      </c>
      <c r="M2158" s="1" t="s">
        <v>7079</v>
      </c>
      <c r="N2158" s="1" t="s">
        <v>7078</v>
      </c>
    </row>
    <row r="2159" spans="1:14" s="1" customFormat="1" x14ac:dyDescent="0.35">
      <c r="A2159" s="1" t="s">
        <v>5171</v>
      </c>
      <c r="B2159" s="1" t="s">
        <v>4176</v>
      </c>
      <c r="C2159" s="1" t="s">
        <v>4177</v>
      </c>
      <c r="D2159" s="1" t="s">
        <v>7080</v>
      </c>
      <c r="E2159" s="1" t="str">
        <f>"5855"</f>
        <v>5855</v>
      </c>
      <c r="F2159" s="1" t="str">
        <f>"014165085"</f>
        <v>014165085</v>
      </c>
      <c r="G2159" s="1" t="s">
        <v>1770</v>
      </c>
      <c r="H2159" s="1" t="s">
        <v>16</v>
      </c>
      <c r="I2159" s="4" t="str">
        <f>"1"</f>
        <v>1</v>
      </c>
      <c r="J2159" s="2">
        <v>6655.86</v>
      </c>
      <c r="K2159" s="3">
        <v>46151</v>
      </c>
      <c r="L2159" s="3">
        <v>46154</v>
      </c>
      <c r="M2159" s="1" t="s">
        <v>7079</v>
      </c>
      <c r="N2159" s="1" t="s">
        <v>7078</v>
      </c>
    </row>
    <row r="2160" spans="1:14" s="1" customFormat="1" x14ac:dyDescent="0.35">
      <c r="A2160" s="1" t="s">
        <v>5230</v>
      </c>
      <c r="B2160" s="1" t="s">
        <v>4176</v>
      </c>
      <c r="C2160" s="1" t="s">
        <v>4177</v>
      </c>
      <c r="D2160" s="1" t="s">
        <v>7077</v>
      </c>
      <c r="E2160" s="1" t="str">
        <f>"5855"</f>
        <v>5855</v>
      </c>
      <c r="F2160" s="1" t="str">
        <f>"015675510"</f>
        <v>015675510</v>
      </c>
      <c r="G2160" s="1" t="s">
        <v>1770</v>
      </c>
      <c r="H2160" s="1" t="s">
        <v>16</v>
      </c>
      <c r="I2160" s="4" t="str">
        <f>"10"</f>
        <v>10</v>
      </c>
      <c r="J2160" s="2" t="str">
        <f>"10756"</f>
        <v>10756</v>
      </c>
      <c r="K2160" s="3">
        <v>46164</v>
      </c>
      <c r="L2160" s="3">
        <v>46164</v>
      </c>
      <c r="M2160" s="1" t="s">
        <v>5469</v>
      </c>
      <c r="N2160" s="1" t="s">
        <v>7076</v>
      </c>
    </row>
    <row r="2161" spans="1:14" s="1" customFormat="1" x14ac:dyDescent="0.35">
      <c r="A2161" s="1" t="s">
        <v>5171</v>
      </c>
      <c r="B2161" s="1" t="s">
        <v>4176</v>
      </c>
      <c r="C2161" s="1" t="s">
        <v>4177</v>
      </c>
      <c r="D2161" s="1" t="s">
        <v>7075</v>
      </c>
      <c r="E2161" s="1" t="str">
        <f>"5855"</f>
        <v>5855</v>
      </c>
      <c r="F2161" s="1" t="str">
        <f>"014502333"</f>
        <v>014502333</v>
      </c>
      <c r="G2161" s="1" t="s">
        <v>7066</v>
      </c>
      <c r="H2161" s="1" t="s">
        <v>16</v>
      </c>
      <c r="I2161" s="4" t="str">
        <f>"1"</f>
        <v>1</v>
      </c>
      <c r="J2161" s="2">
        <v>10295.540000000001</v>
      </c>
      <c r="K2161" s="3">
        <v>46165</v>
      </c>
      <c r="L2161" s="3">
        <v>46169</v>
      </c>
      <c r="M2161" s="1" t="s">
        <v>7074</v>
      </c>
      <c r="N2161" s="1" t="s">
        <v>4181</v>
      </c>
    </row>
    <row r="2162" spans="1:14" s="1" customFormat="1" x14ac:dyDescent="0.35">
      <c r="A2162" s="1" t="s">
        <v>5171</v>
      </c>
      <c r="B2162" s="1" t="s">
        <v>4176</v>
      </c>
      <c r="C2162" s="1" t="s">
        <v>4177</v>
      </c>
      <c r="D2162" s="1" t="s">
        <v>7073</v>
      </c>
      <c r="E2162" s="1" t="str">
        <f>"2340"</f>
        <v>2340</v>
      </c>
      <c r="F2162" s="1" t="s">
        <v>84</v>
      </c>
      <c r="G2162" s="1" t="s">
        <v>85</v>
      </c>
      <c r="H2162" s="1" t="s">
        <v>16</v>
      </c>
      <c r="I2162" s="4" t="str">
        <f>"1"</f>
        <v>1</v>
      </c>
      <c r="J2162" s="2" t="str">
        <f>"6500"</f>
        <v>6500</v>
      </c>
      <c r="K2162" s="3">
        <v>46169</v>
      </c>
      <c r="L2162" s="3">
        <v>46170</v>
      </c>
      <c r="M2162" s="1" t="s">
        <v>5167</v>
      </c>
      <c r="N2162" s="1" t="s">
        <v>7072</v>
      </c>
    </row>
    <row r="2163" spans="1:14" s="1" customFormat="1" x14ac:dyDescent="0.35">
      <c r="A2163" s="1" t="s">
        <v>5171</v>
      </c>
      <c r="B2163" s="1" t="s">
        <v>4176</v>
      </c>
      <c r="C2163" s="1" t="s">
        <v>4177</v>
      </c>
      <c r="D2163" s="1" t="s">
        <v>7071</v>
      </c>
      <c r="E2163" s="1" t="str">
        <f>"5855"</f>
        <v>5855</v>
      </c>
      <c r="F2163" s="1" t="str">
        <f>"014165085"</f>
        <v>014165085</v>
      </c>
      <c r="G2163" s="1" t="s">
        <v>1770</v>
      </c>
      <c r="H2163" s="1" t="s">
        <v>16</v>
      </c>
      <c r="I2163" s="4" t="str">
        <f>"1"</f>
        <v>1</v>
      </c>
      <c r="J2163" s="2">
        <v>6655.86</v>
      </c>
      <c r="K2163" s="3">
        <v>46165</v>
      </c>
      <c r="L2163" s="3">
        <v>46174</v>
      </c>
      <c r="M2163" s="1" t="s">
        <v>7070</v>
      </c>
      <c r="N2163" s="1" t="s">
        <v>4181</v>
      </c>
    </row>
    <row r="2164" spans="1:14" s="1" customFormat="1" x14ac:dyDescent="0.35">
      <c r="A2164" s="1" t="s">
        <v>5171</v>
      </c>
      <c r="B2164" s="1" t="s">
        <v>4176</v>
      </c>
      <c r="C2164" s="1" t="s">
        <v>7060</v>
      </c>
      <c r="D2164" s="1" t="s">
        <v>7069</v>
      </c>
      <c r="E2164" s="1" t="str">
        <f>"7025"</f>
        <v>7025</v>
      </c>
      <c r="F2164" s="1" t="s">
        <v>4770</v>
      </c>
      <c r="G2164" s="1" t="s">
        <v>4771</v>
      </c>
      <c r="H2164" s="1" t="s">
        <v>16</v>
      </c>
      <c r="I2164" s="4" t="str">
        <f>"3"</f>
        <v>3</v>
      </c>
      <c r="J2164" s="2">
        <v>217.49</v>
      </c>
      <c r="K2164" s="3">
        <v>46174</v>
      </c>
      <c r="L2164" s="3">
        <v>46175</v>
      </c>
      <c r="M2164" s="1" t="s">
        <v>5167</v>
      </c>
      <c r="N2164" s="1" t="s">
        <v>7068</v>
      </c>
    </row>
    <row r="2165" spans="1:14" s="1" customFormat="1" x14ac:dyDescent="0.35">
      <c r="A2165" s="1" t="s">
        <v>5171</v>
      </c>
      <c r="B2165" s="1" t="s">
        <v>4176</v>
      </c>
      <c r="C2165" s="1" t="s">
        <v>4177</v>
      </c>
      <c r="D2165" s="1" t="s">
        <v>7067</v>
      </c>
      <c r="E2165" s="1" t="str">
        <f>"5855"</f>
        <v>5855</v>
      </c>
      <c r="F2165" s="1" t="str">
        <f>"014502333"</f>
        <v>014502333</v>
      </c>
      <c r="G2165" s="1" t="s">
        <v>7066</v>
      </c>
      <c r="H2165" s="1" t="s">
        <v>16</v>
      </c>
      <c r="I2165" s="4" t="str">
        <f>"1"</f>
        <v>1</v>
      </c>
      <c r="J2165" s="2">
        <v>10295.540000000001</v>
      </c>
      <c r="K2165" s="3">
        <v>46165</v>
      </c>
      <c r="L2165" s="3">
        <v>46179</v>
      </c>
      <c r="M2165" s="1" t="s">
        <v>7065</v>
      </c>
      <c r="N2165" s="1" t="s">
        <v>4181</v>
      </c>
    </row>
    <row r="2166" spans="1:14" s="1" customFormat="1" x14ac:dyDescent="0.35">
      <c r="A2166" s="1" t="s">
        <v>5171</v>
      </c>
      <c r="B2166" s="1" t="s">
        <v>4176</v>
      </c>
      <c r="C2166" s="1" t="s">
        <v>7060</v>
      </c>
      <c r="D2166" s="1" t="s">
        <v>7064</v>
      </c>
      <c r="E2166" s="1" t="str">
        <f>"5855"</f>
        <v>5855</v>
      </c>
      <c r="F2166" s="1" t="s">
        <v>7063</v>
      </c>
      <c r="G2166" s="1" t="s">
        <v>7062</v>
      </c>
      <c r="H2166" s="1" t="s">
        <v>16</v>
      </c>
      <c r="I2166" s="4" t="str">
        <f>"1"</f>
        <v>1</v>
      </c>
      <c r="J2166" s="2" t="str">
        <f>"2000"</f>
        <v>2000</v>
      </c>
      <c r="K2166" s="3">
        <v>46188</v>
      </c>
      <c r="L2166" s="3">
        <v>46192</v>
      </c>
      <c r="M2166" s="1" t="s">
        <v>5167</v>
      </c>
      <c r="N2166" s="1" t="s">
        <v>7061</v>
      </c>
    </row>
    <row r="2167" spans="1:14" s="1" customFormat="1" x14ac:dyDescent="0.35">
      <c r="A2167" s="1" t="s">
        <v>5171</v>
      </c>
      <c r="B2167" s="1" t="s">
        <v>4176</v>
      </c>
      <c r="C2167" s="1" t="s">
        <v>7060</v>
      </c>
      <c r="D2167" s="1" t="s">
        <v>7059</v>
      </c>
      <c r="E2167" s="1" t="str">
        <f>"7010"</f>
        <v>7010</v>
      </c>
      <c r="F2167" s="1" t="s">
        <v>1640</v>
      </c>
      <c r="G2167" s="1" t="s">
        <v>1641</v>
      </c>
      <c r="H2167" s="1" t="s">
        <v>16</v>
      </c>
      <c r="I2167" s="4" t="str">
        <f>"3"</f>
        <v>3</v>
      </c>
      <c r="J2167" s="2" t="str">
        <f>"1591"</f>
        <v>1591</v>
      </c>
      <c r="K2167" s="3">
        <v>46174</v>
      </c>
      <c r="L2167" s="3">
        <v>46203</v>
      </c>
      <c r="M2167" s="1" t="s">
        <v>5167</v>
      </c>
      <c r="N2167" s="1" t="s">
        <v>7058</v>
      </c>
    </row>
    <row r="2168" spans="1:14" s="1" customFormat="1" x14ac:dyDescent="0.35">
      <c r="A2168" s="1" t="s">
        <v>0</v>
      </c>
      <c r="B2168" s="1" t="s">
        <v>4201</v>
      </c>
      <c r="C2168" s="1" t="s">
        <v>4210</v>
      </c>
      <c r="D2168" s="1" t="s">
        <v>7057</v>
      </c>
      <c r="E2168" s="1" t="str">
        <f>"2340"</f>
        <v>2340</v>
      </c>
      <c r="F2168" s="1" t="str">
        <f>"016572586"</f>
        <v>016572586</v>
      </c>
      <c r="G2168" s="1" t="s">
        <v>1435</v>
      </c>
      <c r="H2168" s="1" t="s">
        <v>16</v>
      </c>
      <c r="I2168" s="4" t="str">
        <f>"1"</f>
        <v>1</v>
      </c>
      <c r="J2168" s="2" t="str">
        <f>"11500"</f>
        <v>11500</v>
      </c>
      <c r="K2168" s="3">
        <v>46113</v>
      </c>
      <c r="L2168" s="3">
        <v>46113</v>
      </c>
      <c r="M2168" s="1" t="s">
        <v>7056</v>
      </c>
      <c r="N2168" s="1" t="s">
        <v>7055</v>
      </c>
    </row>
    <row r="2169" spans="1:14" s="1" customFormat="1" x14ac:dyDescent="0.35">
      <c r="A2169" s="1" t="s">
        <v>0</v>
      </c>
      <c r="B2169" s="1" t="s">
        <v>4201</v>
      </c>
      <c r="C2169" s="1" t="s">
        <v>4297</v>
      </c>
      <c r="D2169" s="1" t="s">
        <v>7054</v>
      </c>
      <c r="E2169" s="1" t="str">
        <f>"2320"</f>
        <v>2320</v>
      </c>
      <c r="F2169" s="1" t="str">
        <f>"007529289"</f>
        <v>007529289</v>
      </c>
      <c r="G2169" s="1" t="s">
        <v>271</v>
      </c>
      <c r="H2169" s="1" t="s">
        <v>16</v>
      </c>
      <c r="I2169" s="4" t="str">
        <f>"1"</f>
        <v>1</v>
      </c>
      <c r="J2169" s="2" t="str">
        <f>"4202"</f>
        <v>4202</v>
      </c>
      <c r="K2169" s="3">
        <v>46113</v>
      </c>
      <c r="L2169" s="3">
        <v>46113</v>
      </c>
      <c r="M2169" s="1" t="s">
        <v>7053</v>
      </c>
      <c r="N2169" s="1" t="s">
        <v>7052</v>
      </c>
    </row>
    <row r="2170" spans="1:14" s="1" customFormat="1" x14ac:dyDescent="0.35">
      <c r="A2170" s="1" t="s">
        <v>5171</v>
      </c>
      <c r="B2170" s="1" t="s">
        <v>4201</v>
      </c>
      <c r="C2170" s="1" t="s">
        <v>4210</v>
      </c>
      <c r="D2170" s="1" t="s">
        <v>7051</v>
      </c>
      <c r="E2170" s="1" t="str">
        <f>"2340"</f>
        <v>2340</v>
      </c>
      <c r="F2170" s="1" t="s">
        <v>84</v>
      </c>
      <c r="G2170" s="1" t="s">
        <v>85</v>
      </c>
      <c r="H2170" s="1" t="s">
        <v>16</v>
      </c>
      <c r="I2170" s="4" t="str">
        <f>"1"</f>
        <v>1</v>
      </c>
      <c r="J2170" s="2">
        <v>16829.71</v>
      </c>
      <c r="K2170" s="3">
        <v>46111</v>
      </c>
      <c r="L2170" s="3">
        <v>46113</v>
      </c>
      <c r="M2170" s="1" t="s">
        <v>7050</v>
      </c>
      <c r="N2170" s="1" t="s">
        <v>7049</v>
      </c>
    </row>
    <row r="2171" spans="1:14" s="1" customFormat="1" x14ac:dyDescent="0.35">
      <c r="A2171" s="1" t="s">
        <v>5171</v>
      </c>
      <c r="B2171" s="1" t="s">
        <v>4201</v>
      </c>
      <c r="C2171" s="1" t="s">
        <v>4248</v>
      </c>
      <c r="D2171" s="1" t="s">
        <v>7048</v>
      </c>
      <c r="E2171" s="1" t="str">
        <f>"2320"</f>
        <v>2320</v>
      </c>
      <c r="F2171" s="1" t="s">
        <v>975</v>
      </c>
      <c r="G2171" s="1" t="s">
        <v>976</v>
      </c>
      <c r="H2171" s="1" t="s">
        <v>16</v>
      </c>
      <c r="I2171" s="4" t="str">
        <f>"1"</f>
        <v>1</v>
      </c>
      <c r="J2171" s="2" t="str">
        <f>"80000"</f>
        <v>80000</v>
      </c>
      <c r="K2171" s="3">
        <v>46103</v>
      </c>
      <c r="L2171" s="3">
        <v>46113</v>
      </c>
      <c r="M2171" s="1" t="s">
        <v>7047</v>
      </c>
      <c r="N2171" s="1" t="s">
        <v>7046</v>
      </c>
    </row>
    <row r="2172" spans="1:14" s="1" customFormat="1" x14ac:dyDescent="0.35">
      <c r="A2172" s="1" t="s">
        <v>5171</v>
      </c>
      <c r="B2172" s="1" t="s">
        <v>4201</v>
      </c>
      <c r="C2172" s="1" t="s">
        <v>4260</v>
      </c>
      <c r="D2172" s="1" t="s">
        <v>7045</v>
      </c>
      <c r="E2172" s="1" t="str">
        <f>"2340"</f>
        <v>2340</v>
      </c>
      <c r="F2172" s="1" t="s">
        <v>84</v>
      </c>
      <c r="G2172" s="1" t="s">
        <v>85</v>
      </c>
      <c r="H2172" s="1" t="s">
        <v>16</v>
      </c>
      <c r="I2172" s="4" t="str">
        <f>"1"</f>
        <v>1</v>
      </c>
      <c r="J2172" s="2">
        <v>16829.71</v>
      </c>
      <c r="K2172" s="3">
        <v>46111</v>
      </c>
      <c r="L2172" s="3">
        <v>46113</v>
      </c>
      <c r="M2172" s="1" t="s">
        <v>7044</v>
      </c>
      <c r="N2172" s="1" t="s">
        <v>7043</v>
      </c>
    </row>
    <row r="2173" spans="1:14" s="1" customFormat="1" x14ac:dyDescent="0.35">
      <c r="A2173" s="1" t="s">
        <v>5171</v>
      </c>
      <c r="B2173" s="1" t="s">
        <v>4201</v>
      </c>
      <c r="C2173" s="1" t="s">
        <v>4275</v>
      </c>
      <c r="D2173" s="1" t="s">
        <v>7042</v>
      </c>
      <c r="E2173" s="1" t="str">
        <f>"2310"</f>
        <v>2310</v>
      </c>
      <c r="F2173" s="1" t="str">
        <f>"016544105"</f>
        <v>016544105</v>
      </c>
      <c r="G2173" s="1" t="s">
        <v>4907</v>
      </c>
      <c r="H2173" s="1" t="s">
        <v>16</v>
      </c>
      <c r="I2173" s="4" t="str">
        <f>"2"</f>
        <v>2</v>
      </c>
      <c r="J2173" s="2">
        <v>31905.14</v>
      </c>
      <c r="K2173" s="3">
        <v>46111</v>
      </c>
      <c r="L2173" s="3">
        <v>46113</v>
      </c>
      <c r="M2173" s="1" t="s">
        <v>7041</v>
      </c>
      <c r="N2173" s="1" t="s">
        <v>7040</v>
      </c>
    </row>
    <row r="2174" spans="1:14" s="1" customFormat="1" x14ac:dyDescent="0.35">
      <c r="A2174" s="1" t="s">
        <v>5171</v>
      </c>
      <c r="B2174" s="1" t="s">
        <v>4201</v>
      </c>
      <c r="C2174" s="1" t="s">
        <v>6502</v>
      </c>
      <c r="D2174" s="1" t="s">
        <v>7039</v>
      </c>
      <c r="E2174" s="1" t="str">
        <f>"2320"</f>
        <v>2320</v>
      </c>
      <c r="F2174" s="1" t="str">
        <f>"015016635"</f>
        <v>015016635</v>
      </c>
      <c r="G2174" s="1" t="s">
        <v>2303</v>
      </c>
      <c r="H2174" s="1" t="s">
        <v>16</v>
      </c>
      <c r="I2174" s="4" t="str">
        <f>"1"</f>
        <v>1</v>
      </c>
      <c r="J2174" s="2" t="str">
        <f>"45602"</f>
        <v>45602</v>
      </c>
      <c r="K2174" s="3">
        <v>46111</v>
      </c>
      <c r="L2174" s="3">
        <v>46114</v>
      </c>
      <c r="M2174" s="1" t="s">
        <v>7038</v>
      </c>
      <c r="N2174" s="1" t="s">
        <v>7037</v>
      </c>
    </row>
    <row r="2175" spans="1:14" s="1" customFormat="1" x14ac:dyDescent="0.35">
      <c r="A2175" s="1" t="s">
        <v>5171</v>
      </c>
      <c r="B2175" s="1" t="s">
        <v>4201</v>
      </c>
      <c r="C2175" s="1" t="s">
        <v>4275</v>
      </c>
      <c r="D2175" s="1" t="s">
        <v>7036</v>
      </c>
      <c r="E2175" s="1" t="str">
        <f>"2320"</f>
        <v>2320</v>
      </c>
      <c r="F2175" s="1" t="str">
        <f>"015016635"</f>
        <v>015016635</v>
      </c>
      <c r="G2175" s="1" t="s">
        <v>2303</v>
      </c>
      <c r="H2175" s="1" t="s">
        <v>16</v>
      </c>
      <c r="I2175" s="4" t="str">
        <f>"1"</f>
        <v>1</v>
      </c>
      <c r="J2175" s="2" t="str">
        <f>"45602"</f>
        <v>45602</v>
      </c>
      <c r="K2175" s="3">
        <v>46111</v>
      </c>
      <c r="L2175" s="3">
        <v>46114</v>
      </c>
      <c r="M2175" s="1" t="s">
        <v>7035</v>
      </c>
      <c r="N2175" s="1" t="s">
        <v>7034</v>
      </c>
    </row>
    <row r="2176" spans="1:14" s="1" customFormat="1" x14ac:dyDescent="0.35">
      <c r="A2176" s="1" t="s">
        <v>5171</v>
      </c>
      <c r="B2176" s="1" t="s">
        <v>4201</v>
      </c>
      <c r="C2176" s="1" t="s">
        <v>4297</v>
      </c>
      <c r="D2176" s="1" t="s">
        <v>7033</v>
      </c>
      <c r="E2176" s="1" t="str">
        <f>"2330"</f>
        <v>2330</v>
      </c>
      <c r="F2176" s="1" t="str">
        <f>"012171477"</f>
        <v>012171477</v>
      </c>
      <c r="G2176" s="1" t="s">
        <v>122</v>
      </c>
      <c r="H2176" s="1" t="s">
        <v>16</v>
      </c>
      <c r="I2176" s="4" t="str">
        <f>"1"</f>
        <v>1</v>
      </c>
      <c r="J2176" s="2">
        <v>36988.65</v>
      </c>
      <c r="K2176" s="3">
        <v>46113</v>
      </c>
      <c r="L2176" s="3">
        <v>46114</v>
      </c>
      <c r="M2176" s="1" t="s">
        <v>7032</v>
      </c>
      <c r="N2176" s="1" t="s">
        <v>7031</v>
      </c>
    </row>
    <row r="2177" spans="1:14" s="1" customFormat="1" x14ac:dyDescent="0.35">
      <c r="A2177" s="1" t="s">
        <v>5171</v>
      </c>
      <c r="B2177" s="1" t="s">
        <v>4201</v>
      </c>
      <c r="C2177" s="1" t="s">
        <v>4308</v>
      </c>
      <c r="D2177" s="1" t="s">
        <v>7030</v>
      </c>
      <c r="E2177" s="1" t="str">
        <f>"3930"</f>
        <v>3930</v>
      </c>
      <c r="F2177" s="1" t="s">
        <v>7029</v>
      </c>
      <c r="G2177" s="1" t="s">
        <v>7028</v>
      </c>
      <c r="H2177" s="1" t="s">
        <v>16</v>
      </c>
      <c r="I2177" s="4" t="str">
        <f>"1"</f>
        <v>1</v>
      </c>
      <c r="J2177" s="2" t="str">
        <f>"282400"</f>
        <v>282400</v>
      </c>
      <c r="K2177" s="3">
        <v>46080</v>
      </c>
      <c r="L2177" s="3">
        <v>46114</v>
      </c>
      <c r="M2177" s="1" t="s">
        <v>7027</v>
      </c>
      <c r="N2177" s="1" t="s">
        <v>7026</v>
      </c>
    </row>
    <row r="2178" spans="1:14" s="1" customFormat="1" x14ac:dyDescent="0.35">
      <c r="A2178" s="1" t="s">
        <v>5171</v>
      </c>
      <c r="B2178" s="1" t="s">
        <v>4201</v>
      </c>
      <c r="C2178" s="1" t="s">
        <v>4275</v>
      </c>
      <c r="D2178" s="1" t="s">
        <v>7025</v>
      </c>
      <c r="E2178" s="1" t="str">
        <f>"5855"</f>
        <v>5855</v>
      </c>
      <c r="F2178" s="1" t="str">
        <f>"016085809"</f>
        <v>016085809</v>
      </c>
      <c r="G2178" s="1" t="s">
        <v>2467</v>
      </c>
      <c r="H2178" s="1" t="s">
        <v>215</v>
      </c>
      <c r="I2178" s="4" t="str">
        <f>"1"</f>
        <v>1</v>
      </c>
      <c r="J2178" s="2" t="str">
        <f>"8979"</f>
        <v>8979</v>
      </c>
      <c r="K2178" s="3">
        <v>46104</v>
      </c>
      <c r="L2178" s="3">
        <v>46116</v>
      </c>
      <c r="M2178" s="1" t="s">
        <v>7024</v>
      </c>
      <c r="N2178" s="1" t="s">
        <v>7023</v>
      </c>
    </row>
    <row r="2179" spans="1:14" s="1" customFormat="1" x14ac:dyDescent="0.35">
      <c r="A2179" s="1" t="s">
        <v>5171</v>
      </c>
      <c r="B2179" s="1" t="s">
        <v>4201</v>
      </c>
      <c r="C2179" s="1" t="s">
        <v>4308</v>
      </c>
      <c r="D2179" s="1" t="s">
        <v>7022</v>
      </c>
      <c r="E2179" s="1" t="str">
        <f>"2340"</f>
        <v>2340</v>
      </c>
      <c r="F2179" s="1" t="s">
        <v>61</v>
      </c>
      <c r="G2179" s="1" t="s">
        <v>62</v>
      </c>
      <c r="H2179" s="1" t="s">
        <v>16</v>
      </c>
      <c r="I2179" s="4" t="str">
        <f>"1"</f>
        <v>1</v>
      </c>
      <c r="J2179" s="2" t="str">
        <f>"14251"</f>
        <v>14251</v>
      </c>
      <c r="K2179" s="3">
        <v>46105</v>
      </c>
      <c r="L2179" s="3">
        <v>46116</v>
      </c>
      <c r="M2179" s="1" t="s">
        <v>7021</v>
      </c>
      <c r="N2179" s="1" t="s">
        <v>7020</v>
      </c>
    </row>
    <row r="2180" spans="1:14" s="1" customFormat="1" x14ac:dyDescent="0.35">
      <c r="A2180" s="1" t="s">
        <v>5171</v>
      </c>
      <c r="B2180" s="1" t="s">
        <v>4201</v>
      </c>
      <c r="C2180" s="1" t="s">
        <v>4328</v>
      </c>
      <c r="D2180" s="1" t="s">
        <v>7019</v>
      </c>
      <c r="E2180" s="1" t="str">
        <f>"2340"</f>
        <v>2340</v>
      </c>
      <c r="F2180" s="1" t="s">
        <v>61</v>
      </c>
      <c r="G2180" s="1" t="s">
        <v>62</v>
      </c>
      <c r="H2180" s="1" t="s">
        <v>16</v>
      </c>
      <c r="I2180" s="4" t="str">
        <f>"1"</f>
        <v>1</v>
      </c>
      <c r="J2180" s="2" t="str">
        <f>"14251"</f>
        <v>14251</v>
      </c>
      <c r="K2180" s="3">
        <v>46105</v>
      </c>
      <c r="L2180" s="3">
        <v>46116</v>
      </c>
      <c r="M2180" s="1" t="s">
        <v>7018</v>
      </c>
      <c r="N2180" s="1" t="s">
        <v>7017</v>
      </c>
    </row>
    <row r="2181" spans="1:14" s="1" customFormat="1" x14ac:dyDescent="0.35">
      <c r="A2181" s="1" t="s">
        <v>5171</v>
      </c>
      <c r="B2181" s="1" t="s">
        <v>4201</v>
      </c>
      <c r="C2181" s="1" t="s">
        <v>4328</v>
      </c>
      <c r="D2181" s="1" t="s">
        <v>7016</v>
      </c>
      <c r="E2181" s="1" t="str">
        <f>"2340"</f>
        <v>2340</v>
      </c>
      <c r="F2181" s="1" t="s">
        <v>61</v>
      </c>
      <c r="G2181" s="1" t="s">
        <v>62</v>
      </c>
      <c r="H2181" s="1" t="s">
        <v>16</v>
      </c>
      <c r="I2181" s="4" t="str">
        <f>"1"</f>
        <v>1</v>
      </c>
      <c r="J2181" s="2" t="str">
        <f>"14251"</f>
        <v>14251</v>
      </c>
      <c r="K2181" s="3">
        <v>46105</v>
      </c>
      <c r="L2181" s="3">
        <v>46116</v>
      </c>
      <c r="M2181" s="1" t="s">
        <v>7015</v>
      </c>
      <c r="N2181" s="1" t="s">
        <v>7014</v>
      </c>
    </row>
    <row r="2182" spans="1:14" s="1" customFormat="1" x14ac:dyDescent="0.35">
      <c r="A2182" s="1" t="s">
        <v>5171</v>
      </c>
      <c r="B2182" s="1" t="s">
        <v>4201</v>
      </c>
      <c r="C2182" s="1" t="s">
        <v>4414</v>
      </c>
      <c r="D2182" s="1" t="s">
        <v>7013</v>
      </c>
      <c r="E2182" s="1" t="str">
        <f>"2320"</f>
        <v>2320</v>
      </c>
      <c r="F2182" s="1" t="str">
        <f>"010983466"</f>
        <v>010983466</v>
      </c>
      <c r="G2182" s="1" t="s">
        <v>370</v>
      </c>
      <c r="H2182" s="1" t="s">
        <v>16</v>
      </c>
      <c r="I2182" s="4" t="str">
        <f>"1"</f>
        <v>1</v>
      </c>
      <c r="J2182" s="2" t="str">
        <f>"25447"</f>
        <v>25447</v>
      </c>
      <c r="K2182" s="3">
        <v>46115</v>
      </c>
      <c r="L2182" s="3">
        <v>46117</v>
      </c>
      <c r="M2182" s="1" t="s">
        <v>5167</v>
      </c>
      <c r="N2182" s="1" t="s">
        <v>7012</v>
      </c>
    </row>
    <row r="2183" spans="1:14" s="1" customFormat="1" x14ac:dyDescent="0.35">
      <c r="A2183" s="1" t="s">
        <v>5230</v>
      </c>
      <c r="B2183" s="1" t="s">
        <v>4201</v>
      </c>
      <c r="C2183" s="1" t="s">
        <v>4260</v>
      </c>
      <c r="D2183" s="1" t="s">
        <v>7011</v>
      </c>
      <c r="E2183" s="1" t="str">
        <f>"2340"</f>
        <v>2340</v>
      </c>
      <c r="F2183" s="1" t="s">
        <v>84</v>
      </c>
      <c r="G2183" s="1" t="s">
        <v>85</v>
      </c>
      <c r="H2183" s="1" t="s">
        <v>16</v>
      </c>
      <c r="I2183" s="4" t="str">
        <f>"1"</f>
        <v>1</v>
      </c>
      <c r="J2183" s="2" t="str">
        <f>"19891"</f>
        <v>19891</v>
      </c>
      <c r="K2183" s="3">
        <v>46116</v>
      </c>
      <c r="L2183" s="3">
        <v>46118</v>
      </c>
      <c r="N2183" s="1" t="s">
        <v>7010</v>
      </c>
    </row>
    <row r="2184" spans="1:14" s="1" customFormat="1" x14ac:dyDescent="0.35">
      <c r="A2184" s="1" t="s">
        <v>5171</v>
      </c>
      <c r="B2184" s="1" t="s">
        <v>4201</v>
      </c>
      <c r="C2184" s="1" t="s">
        <v>4272</v>
      </c>
      <c r="D2184" s="1" t="s">
        <v>7009</v>
      </c>
      <c r="E2184" s="1" t="str">
        <f>"4230"</f>
        <v>4230</v>
      </c>
      <c r="F2184" s="1" t="s">
        <v>2596</v>
      </c>
      <c r="G2184" s="1" t="s">
        <v>2597</v>
      </c>
      <c r="H2184" s="1" t="s">
        <v>16</v>
      </c>
      <c r="I2184" s="4" t="str">
        <f>"1"</f>
        <v>1</v>
      </c>
      <c r="J2184" s="2" t="str">
        <f>"80023"</f>
        <v>80023</v>
      </c>
      <c r="K2184" s="3">
        <v>46074</v>
      </c>
      <c r="L2184" s="3">
        <v>46118</v>
      </c>
      <c r="M2184" s="1" t="s">
        <v>7008</v>
      </c>
      <c r="N2184" s="1" t="s">
        <v>7007</v>
      </c>
    </row>
    <row r="2185" spans="1:14" s="1" customFormat="1" x14ac:dyDescent="0.35">
      <c r="A2185" s="1" t="s">
        <v>0</v>
      </c>
      <c r="B2185" s="1" t="s">
        <v>4201</v>
      </c>
      <c r="C2185" s="1" t="s">
        <v>4202</v>
      </c>
      <c r="D2185" s="1" t="s">
        <v>7006</v>
      </c>
      <c r="E2185" s="1" t="str">
        <f>"2320"</f>
        <v>2320</v>
      </c>
      <c r="F2185" s="1" t="str">
        <f>"014559593"</f>
        <v>014559593</v>
      </c>
      <c r="G2185" s="1" t="s">
        <v>414</v>
      </c>
      <c r="H2185" s="1" t="s">
        <v>16</v>
      </c>
      <c r="I2185" s="4" t="str">
        <f>"1"</f>
        <v>1</v>
      </c>
      <c r="J2185" s="2" t="str">
        <f>"60409"</f>
        <v>60409</v>
      </c>
      <c r="K2185" s="3">
        <v>46118</v>
      </c>
      <c r="L2185" s="3">
        <v>46119</v>
      </c>
      <c r="M2185" s="1" t="s">
        <v>7005</v>
      </c>
      <c r="N2185" s="1" t="s">
        <v>7004</v>
      </c>
    </row>
    <row r="2186" spans="1:14" s="1" customFormat="1" x14ac:dyDescent="0.35">
      <c r="A2186" s="1" t="s">
        <v>0</v>
      </c>
      <c r="B2186" s="1" t="s">
        <v>4201</v>
      </c>
      <c r="C2186" s="1" t="s">
        <v>4308</v>
      </c>
      <c r="D2186" s="1" t="s">
        <v>7003</v>
      </c>
      <c r="E2186" s="1" t="str">
        <f>"2410"</f>
        <v>2410</v>
      </c>
      <c r="F2186" s="1" t="str">
        <f>"013155153"</f>
        <v>013155153</v>
      </c>
      <c r="G2186" s="1" t="s">
        <v>989</v>
      </c>
      <c r="H2186" s="1" t="s">
        <v>16</v>
      </c>
      <c r="I2186" s="4" t="str">
        <f>"1"</f>
        <v>1</v>
      </c>
      <c r="J2186" s="2" t="str">
        <f>"88809"</f>
        <v>88809</v>
      </c>
      <c r="K2186" s="3">
        <v>46118</v>
      </c>
      <c r="L2186" s="3">
        <v>46119</v>
      </c>
      <c r="M2186" s="1" t="s">
        <v>7002</v>
      </c>
      <c r="N2186" s="1" t="s">
        <v>7001</v>
      </c>
    </row>
    <row r="2187" spans="1:14" s="1" customFormat="1" x14ac:dyDescent="0.35">
      <c r="A2187" s="1" t="s">
        <v>0</v>
      </c>
      <c r="B2187" s="1" t="s">
        <v>4201</v>
      </c>
      <c r="C2187" s="1" t="s">
        <v>4339</v>
      </c>
      <c r="D2187" s="1" t="s">
        <v>7000</v>
      </c>
      <c r="E2187" s="1" t="str">
        <f>"2340"</f>
        <v>2340</v>
      </c>
      <c r="F2187" s="1" t="s">
        <v>84</v>
      </c>
      <c r="G2187" s="1" t="s">
        <v>85</v>
      </c>
      <c r="H2187" s="1" t="s">
        <v>16</v>
      </c>
      <c r="I2187" s="4" t="str">
        <f>"1"</f>
        <v>1</v>
      </c>
      <c r="J2187" s="2">
        <v>16695.25</v>
      </c>
      <c r="K2187" s="3">
        <v>46118</v>
      </c>
      <c r="L2187" s="3">
        <v>46119</v>
      </c>
      <c r="M2187" s="1" t="s">
        <v>6999</v>
      </c>
      <c r="N2187" s="1" t="s">
        <v>6994</v>
      </c>
    </row>
    <row r="2188" spans="1:14" s="1" customFormat="1" x14ac:dyDescent="0.35">
      <c r="A2188" s="1" t="s">
        <v>5171</v>
      </c>
      <c r="B2188" s="1" t="s">
        <v>4201</v>
      </c>
      <c r="C2188" s="1" t="s">
        <v>4308</v>
      </c>
      <c r="D2188" s="1" t="s">
        <v>6998</v>
      </c>
      <c r="E2188" s="1" t="str">
        <f>"2330"</f>
        <v>2330</v>
      </c>
      <c r="F2188" s="1" t="s">
        <v>70</v>
      </c>
      <c r="G2188" s="1" t="s">
        <v>71</v>
      </c>
      <c r="H2188" s="1" t="s">
        <v>16</v>
      </c>
      <c r="I2188" s="4" t="str">
        <f>"1"</f>
        <v>1</v>
      </c>
      <c r="J2188" s="2" t="str">
        <f>"38844"</f>
        <v>38844</v>
      </c>
      <c r="K2188" s="3">
        <v>46116</v>
      </c>
      <c r="L2188" s="3">
        <v>46119</v>
      </c>
      <c r="M2188" s="1" t="s">
        <v>6997</v>
      </c>
      <c r="N2188" s="1" t="s">
        <v>6996</v>
      </c>
    </row>
    <row r="2189" spans="1:14" s="1" customFormat="1" x14ac:dyDescent="0.35">
      <c r="A2189" s="1" t="s">
        <v>5171</v>
      </c>
      <c r="B2189" s="1" t="s">
        <v>4201</v>
      </c>
      <c r="C2189" s="1" t="s">
        <v>4339</v>
      </c>
      <c r="D2189" s="1" t="s">
        <v>6995</v>
      </c>
      <c r="E2189" s="1" t="str">
        <f>"2340"</f>
        <v>2340</v>
      </c>
      <c r="F2189" s="1" t="str">
        <f>"015746673"</f>
        <v>015746673</v>
      </c>
      <c r="G2189" s="1" t="s">
        <v>1435</v>
      </c>
      <c r="H2189" s="1" t="s">
        <v>16</v>
      </c>
      <c r="I2189" s="4" t="str">
        <f>"1"</f>
        <v>1</v>
      </c>
      <c r="J2189" s="2" t="str">
        <f>"11365"</f>
        <v>11365</v>
      </c>
      <c r="K2189" s="3">
        <v>46118</v>
      </c>
      <c r="L2189" s="3">
        <v>46119</v>
      </c>
      <c r="M2189" s="1" t="s">
        <v>5167</v>
      </c>
      <c r="N2189" s="1" t="s">
        <v>6994</v>
      </c>
    </row>
    <row r="2190" spans="1:14" s="1" customFormat="1" x14ac:dyDescent="0.35">
      <c r="A2190" s="1" t="s">
        <v>5171</v>
      </c>
      <c r="B2190" s="1" t="s">
        <v>4201</v>
      </c>
      <c r="C2190" s="1" t="s">
        <v>4397</v>
      </c>
      <c r="D2190" s="1" t="s">
        <v>6993</v>
      </c>
      <c r="E2190" s="1" t="str">
        <f>"2320"</f>
        <v>2320</v>
      </c>
      <c r="F2190" s="1" t="s">
        <v>975</v>
      </c>
      <c r="G2190" s="1" t="s">
        <v>976</v>
      </c>
      <c r="H2190" s="1" t="s">
        <v>16</v>
      </c>
      <c r="I2190" s="4" t="str">
        <f>"1"</f>
        <v>1</v>
      </c>
      <c r="J2190" s="2" t="str">
        <f>"121000"</f>
        <v>121000</v>
      </c>
      <c r="K2190" s="3">
        <v>46104</v>
      </c>
      <c r="L2190" s="3">
        <v>46119</v>
      </c>
      <c r="M2190" s="1" t="s">
        <v>6992</v>
      </c>
      <c r="N2190" s="1" t="s">
        <v>6991</v>
      </c>
    </row>
    <row r="2191" spans="1:14" s="1" customFormat="1" x14ac:dyDescent="0.35">
      <c r="A2191" s="1" t="s">
        <v>0</v>
      </c>
      <c r="B2191" s="1" t="s">
        <v>4201</v>
      </c>
      <c r="C2191" s="1" t="s">
        <v>4339</v>
      </c>
      <c r="D2191" s="1" t="s">
        <v>6990</v>
      </c>
      <c r="E2191" s="1" t="str">
        <f>"2310"</f>
        <v>2310</v>
      </c>
      <c r="F2191" s="1" t="str">
        <f>"011350996"</f>
        <v>011350996</v>
      </c>
      <c r="G2191" s="1" t="s">
        <v>1489</v>
      </c>
      <c r="H2191" s="1" t="s">
        <v>16</v>
      </c>
      <c r="I2191" s="4" t="str">
        <f>"1"</f>
        <v>1</v>
      </c>
      <c r="J2191" s="2" t="str">
        <f>"80000"</f>
        <v>80000</v>
      </c>
      <c r="K2191" s="3">
        <v>46118</v>
      </c>
      <c r="L2191" s="3">
        <v>46120</v>
      </c>
      <c r="N2191" s="1" t="s">
        <v>6989</v>
      </c>
    </row>
    <row r="2192" spans="1:14" s="1" customFormat="1" x14ac:dyDescent="0.35">
      <c r="A2192" s="1" t="s">
        <v>5171</v>
      </c>
      <c r="B2192" s="1" t="s">
        <v>4201</v>
      </c>
      <c r="C2192" s="1" t="s">
        <v>4275</v>
      </c>
      <c r="D2192" s="1" t="s">
        <v>6988</v>
      </c>
      <c r="E2192" s="1" t="str">
        <f>"2310"</f>
        <v>2310</v>
      </c>
      <c r="F2192" s="1" t="str">
        <f>"011350996"</f>
        <v>011350996</v>
      </c>
      <c r="G2192" s="1" t="s">
        <v>1489</v>
      </c>
      <c r="H2192" s="1" t="s">
        <v>16</v>
      </c>
      <c r="I2192" s="4" t="str">
        <f>"1"</f>
        <v>1</v>
      </c>
      <c r="J2192" s="2" t="str">
        <f>"80000"</f>
        <v>80000</v>
      </c>
      <c r="K2192" s="3">
        <v>46116</v>
      </c>
      <c r="L2192" s="3">
        <v>46121</v>
      </c>
      <c r="M2192" s="1" t="s">
        <v>5167</v>
      </c>
      <c r="N2192" s="1" t="s">
        <v>6914</v>
      </c>
    </row>
    <row r="2193" spans="1:14" s="1" customFormat="1" x14ac:dyDescent="0.35">
      <c r="A2193" s="1" t="s">
        <v>5171</v>
      </c>
      <c r="B2193" s="1" t="s">
        <v>4201</v>
      </c>
      <c r="C2193" s="1" t="s">
        <v>4308</v>
      </c>
      <c r="D2193" s="1" t="s">
        <v>6987</v>
      </c>
      <c r="E2193" s="1" t="str">
        <f>"2310"</f>
        <v>2310</v>
      </c>
      <c r="F2193" s="1" t="str">
        <f>"011350996"</f>
        <v>011350996</v>
      </c>
      <c r="G2193" s="1" t="s">
        <v>1489</v>
      </c>
      <c r="H2193" s="1" t="s">
        <v>16</v>
      </c>
      <c r="I2193" s="4" t="str">
        <f>"1"</f>
        <v>1</v>
      </c>
      <c r="J2193" s="2" t="str">
        <f>"80000"</f>
        <v>80000</v>
      </c>
      <c r="K2193" s="3">
        <v>46116</v>
      </c>
      <c r="L2193" s="3">
        <v>46121</v>
      </c>
      <c r="M2193" s="1" t="s">
        <v>5167</v>
      </c>
      <c r="N2193" s="1" t="s">
        <v>6981</v>
      </c>
    </row>
    <row r="2194" spans="1:14" s="1" customFormat="1" x14ac:dyDescent="0.35">
      <c r="A2194" s="1" t="s">
        <v>5171</v>
      </c>
      <c r="B2194" s="1" t="s">
        <v>4201</v>
      </c>
      <c r="C2194" s="1" t="s">
        <v>4397</v>
      </c>
      <c r="D2194" s="1" t="s">
        <v>6986</v>
      </c>
      <c r="E2194" s="1" t="str">
        <f>"2320"</f>
        <v>2320</v>
      </c>
      <c r="F2194" s="1" t="str">
        <f>"012011799"</f>
        <v>012011799</v>
      </c>
      <c r="G2194" s="1" t="s">
        <v>2297</v>
      </c>
      <c r="H2194" s="1" t="s">
        <v>16</v>
      </c>
      <c r="I2194" s="4" t="str">
        <f>"1"</f>
        <v>1</v>
      </c>
      <c r="J2194" s="2" t="str">
        <f>"56291"</f>
        <v>56291</v>
      </c>
      <c r="K2194" s="3">
        <v>46112</v>
      </c>
      <c r="L2194" s="3">
        <v>46121</v>
      </c>
      <c r="M2194" s="1" t="s">
        <v>6985</v>
      </c>
      <c r="N2194" s="1" t="s">
        <v>6984</v>
      </c>
    </row>
    <row r="2195" spans="1:14" s="1" customFormat="1" x14ac:dyDescent="0.35">
      <c r="A2195" s="1" t="s">
        <v>0</v>
      </c>
      <c r="B2195" s="1" t="s">
        <v>4201</v>
      </c>
      <c r="C2195" s="1" t="s">
        <v>4308</v>
      </c>
      <c r="D2195" s="1" t="s">
        <v>6983</v>
      </c>
      <c r="E2195" s="1" t="str">
        <f>"2310"</f>
        <v>2310</v>
      </c>
      <c r="F2195" s="1" t="str">
        <f>"011350996"</f>
        <v>011350996</v>
      </c>
      <c r="G2195" s="1" t="s">
        <v>1489</v>
      </c>
      <c r="H2195" s="1" t="s">
        <v>16</v>
      </c>
      <c r="I2195" s="4" t="str">
        <f>"1"</f>
        <v>1</v>
      </c>
      <c r="J2195" s="2" t="str">
        <f>"80000"</f>
        <v>80000</v>
      </c>
      <c r="K2195" s="3">
        <v>46116</v>
      </c>
      <c r="L2195" s="3">
        <v>46122</v>
      </c>
      <c r="M2195" s="1" t="s">
        <v>6982</v>
      </c>
      <c r="N2195" s="1" t="s">
        <v>6981</v>
      </c>
    </row>
    <row r="2196" spans="1:14" s="1" customFormat="1" x14ac:dyDescent="0.35">
      <c r="A2196" s="1" t="s">
        <v>0</v>
      </c>
      <c r="B2196" s="1" t="s">
        <v>4201</v>
      </c>
      <c r="C2196" s="1" t="s">
        <v>4339</v>
      </c>
      <c r="D2196" s="1" t="s">
        <v>6980</v>
      </c>
      <c r="E2196" s="1" t="str">
        <f>"2310"</f>
        <v>2310</v>
      </c>
      <c r="F2196" s="1" t="str">
        <f>"011350996"</f>
        <v>011350996</v>
      </c>
      <c r="G2196" s="1" t="s">
        <v>1489</v>
      </c>
      <c r="H2196" s="1" t="s">
        <v>16</v>
      </c>
      <c r="I2196" s="4" t="str">
        <f>"1"</f>
        <v>1</v>
      </c>
      <c r="J2196" s="2" t="str">
        <f>"80000"</f>
        <v>80000</v>
      </c>
      <c r="K2196" s="3">
        <v>46118</v>
      </c>
      <c r="L2196" s="3">
        <v>46122</v>
      </c>
      <c r="M2196" s="1" t="s">
        <v>6979</v>
      </c>
      <c r="N2196" s="1" t="s">
        <v>6978</v>
      </c>
    </row>
    <row r="2197" spans="1:14" s="1" customFormat="1" x14ac:dyDescent="0.35">
      <c r="A2197" s="1" t="s">
        <v>5171</v>
      </c>
      <c r="B2197" s="1" t="s">
        <v>4201</v>
      </c>
      <c r="C2197" s="1" t="s">
        <v>4202</v>
      </c>
      <c r="D2197" s="1" t="s">
        <v>6977</v>
      </c>
      <c r="E2197" s="1" t="str">
        <f>"2310"</f>
        <v>2310</v>
      </c>
      <c r="F2197" s="1" t="s">
        <v>178</v>
      </c>
      <c r="G2197" s="1" t="s">
        <v>179</v>
      </c>
      <c r="H2197" s="1" t="s">
        <v>16</v>
      </c>
      <c r="I2197" s="4" t="str">
        <f>"1"</f>
        <v>1</v>
      </c>
      <c r="J2197" s="2" t="str">
        <f>"3000"</f>
        <v>3000</v>
      </c>
      <c r="K2197" s="3">
        <v>46112</v>
      </c>
      <c r="L2197" s="3">
        <v>46123</v>
      </c>
      <c r="M2197" s="1" t="s">
        <v>6976</v>
      </c>
      <c r="N2197" s="1" t="s">
        <v>6975</v>
      </c>
    </row>
    <row r="2198" spans="1:14" s="1" customFormat="1" x14ac:dyDescent="0.35">
      <c r="A2198" s="1" t="s">
        <v>5171</v>
      </c>
      <c r="B2198" s="1" t="s">
        <v>4201</v>
      </c>
      <c r="C2198" s="1" t="s">
        <v>4210</v>
      </c>
      <c r="D2198" s="1" t="s">
        <v>6974</v>
      </c>
      <c r="E2198" s="1" t="str">
        <f>"2330"</f>
        <v>2330</v>
      </c>
      <c r="F2198" s="1" t="s">
        <v>70</v>
      </c>
      <c r="G2198" s="1" t="s">
        <v>71</v>
      </c>
      <c r="H2198" s="1" t="s">
        <v>16</v>
      </c>
      <c r="I2198" s="4" t="str">
        <f>"1"</f>
        <v>1</v>
      </c>
      <c r="J2198" s="2" t="str">
        <f>"4906"</f>
        <v>4906</v>
      </c>
      <c r="K2198" s="3">
        <v>46111</v>
      </c>
      <c r="L2198" s="3">
        <v>46123</v>
      </c>
      <c r="M2198" s="1" t="s">
        <v>6973</v>
      </c>
      <c r="N2198" s="1" t="s">
        <v>6972</v>
      </c>
    </row>
    <row r="2199" spans="1:14" s="1" customFormat="1" x14ac:dyDescent="0.35">
      <c r="A2199" s="1" t="s">
        <v>5171</v>
      </c>
      <c r="B2199" s="1" t="s">
        <v>4201</v>
      </c>
      <c r="C2199" s="1" t="s">
        <v>6502</v>
      </c>
      <c r="D2199" s="1" t="s">
        <v>6971</v>
      </c>
      <c r="E2199" s="1" t="str">
        <f>"6230"</f>
        <v>6230</v>
      </c>
      <c r="F2199" s="1" t="str">
        <f>"013827265"</f>
        <v>013827265</v>
      </c>
      <c r="G2199" s="1" t="s">
        <v>3215</v>
      </c>
      <c r="H2199" s="1" t="s">
        <v>16</v>
      </c>
      <c r="I2199" s="4" t="str">
        <f>"2"</f>
        <v>2</v>
      </c>
      <c r="J2199" s="2" t="str">
        <f>"18400"</f>
        <v>18400</v>
      </c>
      <c r="K2199" s="3">
        <v>46111</v>
      </c>
      <c r="L2199" s="3">
        <v>46123</v>
      </c>
      <c r="M2199" s="1" t="s">
        <v>6970</v>
      </c>
      <c r="N2199" s="1" t="s">
        <v>6969</v>
      </c>
    </row>
    <row r="2200" spans="1:14" s="1" customFormat="1" x14ac:dyDescent="0.35">
      <c r="A2200" s="1" t="s">
        <v>5171</v>
      </c>
      <c r="B2200" s="1" t="s">
        <v>4201</v>
      </c>
      <c r="C2200" s="1" t="s">
        <v>4275</v>
      </c>
      <c r="D2200" s="1" t="s">
        <v>6968</v>
      </c>
      <c r="E2200" s="1" t="str">
        <f>"1240"</f>
        <v>1240</v>
      </c>
      <c r="F2200" s="1" t="str">
        <f>"016240271"</f>
        <v>016240271</v>
      </c>
      <c r="G2200" s="1" t="s">
        <v>4284</v>
      </c>
      <c r="H2200" s="1" t="s">
        <v>16</v>
      </c>
      <c r="I2200" s="4" t="str">
        <f>"2"</f>
        <v>2</v>
      </c>
      <c r="J2200" s="2" t="str">
        <f>"2450"</f>
        <v>2450</v>
      </c>
      <c r="K2200" s="3">
        <v>46109</v>
      </c>
      <c r="L2200" s="3">
        <v>46123</v>
      </c>
      <c r="M2200" s="1" t="s">
        <v>6967</v>
      </c>
      <c r="N2200" s="1" t="s">
        <v>6966</v>
      </c>
    </row>
    <row r="2201" spans="1:14" s="1" customFormat="1" x14ac:dyDescent="0.35">
      <c r="A2201" s="1" t="s">
        <v>5171</v>
      </c>
      <c r="B2201" s="1" t="s">
        <v>4201</v>
      </c>
      <c r="C2201" s="1" t="s">
        <v>4422</v>
      </c>
      <c r="D2201" s="1" t="s">
        <v>6965</v>
      </c>
      <c r="E2201" s="1" t="str">
        <f>"6230"</f>
        <v>6230</v>
      </c>
      <c r="F2201" s="1" t="str">
        <f>"013827265"</f>
        <v>013827265</v>
      </c>
      <c r="G2201" s="1" t="s">
        <v>3215</v>
      </c>
      <c r="H2201" s="1" t="s">
        <v>16</v>
      </c>
      <c r="I2201" s="4" t="str">
        <f>"2"</f>
        <v>2</v>
      </c>
      <c r="J2201" s="2" t="str">
        <f>"18400"</f>
        <v>18400</v>
      </c>
      <c r="K2201" s="3">
        <v>46111</v>
      </c>
      <c r="L2201" s="3">
        <v>46123</v>
      </c>
      <c r="M2201" s="1" t="s">
        <v>6964</v>
      </c>
      <c r="N2201" s="1" t="s">
        <v>6963</v>
      </c>
    </row>
    <row r="2202" spans="1:14" s="1" customFormat="1" x14ac:dyDescent="0.35">
      <c r="A2202" s="1" t="s">
        <v>0</v>
      </c>
      <c r="B2202" s="1" t="s">
        <v>4201</v>
      </c>
      <c r="C2202" s="1" t="s">
        <v>4272</v>
      </c>
      <c r="D2202" s="1" t="s">
        <v>6962</v>
      </c>
      <c r="E2202" s="1" t="str">
        <f>"2320"</f>
        <v>2320</v>
      </c>
      <c r="F2202" s="1" t="s">
        <v>975</v>
      </c>
      <c r="G2202" s="1" t="s">
        <v>976</v>
      </c>
      <c r="H2202" s="1" t="s">
        <v>16</v>
      </c>
      <c r="I2202" s="4" t="str">
        <f>"1"</f>
        <v>1</v>
      </c>
      <c r="J2202" s="2">
        <v>592904.18000000005</v>
      </c>
      <c r="K2202" s="3">
        <v>46123</v>
      </c>
      <c r="L2202" s="3">
        <v>46125</v>
      </c>
      <c r="M2202" s="1" t="s">
        <v>6961</v>
      </c>
      <c r="N2202" s="1" t="s">
        <v>6960</v>
      </c>
    </row>
    <row r="2203" spans="1:14" s="1" customFormat="1" x14ac:dyDescent="0.35">
      <c r="A2203" s="1" t="s">
        <v>5171</v>
      </c>
      <c r="B2203" s="1" t="s">
        <v>4201</v>
      </c>
      <c r="C2203" s="1" t="s">
        <v>4272</v>
      </c>
      <c r="D2203" s="1" t="s">
        <v>6959</v>
      </c>
      <c r="E2203" s="1" t="str">
        <f>"3770"</f>
        <v>3770</v>
      </c>
      <c r="F2203" s="1" t="str">
        <f>"016307307"</f>
        <v>016307307</v>
      </c>
      <c r="G2203" s="1" t="s">
        <v>6958</v>
      </c>
      <c r="H2203" s="1" t="s">
        <v>16</v>
      </c>
      <c r="I2203" s="4" t="str">
        <f>"2"</f>
        <v>2</v>
      </c>
      <c r="J2203" s="2" t="str">
        <f>"9445"</f>
        <v>9445</v>
      </c>
      <c r="K2203" s="3">
        <v>46095</v>
      </c>
      <c r="L2203" s="3">
        <v>46125</v>
      </c>
      <c r="M2203" s="1" t="s">
        <v>6957</v>
      </c>
      <c r="N2203" s="1" t="s">
        <v>6956</v>
      </c>
    </row>
    <row r="2204" spans="1:14" s="1" customFormat="1" x14ac:dyDescent="0.35">
      <c r="A2204" s="1" t="s">
        <v>5171</v>
      </c>
      <c r="B2204" s="1" t="s">
        <v>4201</v>
      </c>
      <c r="C2204" s="1" t="s">
        <v>4308</v>
      </c>
      <c r="D2204" s="1" t="s">
        <v>6955</v>
      </c>
      <c r="E2204" s="1" t="str">
        <f>"5180"</f>
        <v>5180</v>
      </c>
      <c r="F2204" s="1" t="s">
        <v>88</v>
      </c>
      <c r="G2204" s="1" t="s">
        <v>89</v>
      </c>
      <c r="H2204" s="1" t="s">
        <v>16</v>
      </c>
      <c r="I2204" s="4" t="str">
        <f>"2"</f>
        <v>2</v>
      </c>
      <c r="J2204" s="2">
        <v>636.85</v>
      </c>
      <c r="K2204" s="3">
        <v>46123</v>
      </c>
      <c r="L2204" s="3">
        <v>46125</v>
      </c>
      <c r="M2204" s="1" t="s">
        <v>5167</v>
      </c>
      <c r="N2204" s="1" t="s">
        <v>6954</v>
      </c>
    </row>
    <row r="2205" spans="1:14" s="1" customFormat="1" x14ac:dyDescent="0.35">
      <c r="A2205" s="1" t="s">
        <v>5171</v>
      </c>
      <c r="B2205" s="1" t="s">
        <v>4201</v>
      </c>
      <c r="C2205" s="1" t="s">
        <v>4248</v>
      </c>
      <c r="D2205" s="1" t="s">
        <v>6953</v>
      </c>
      <c r="E2205" s="1" t="str">
        <f>"2330"</f>
        <v>2330</v>
      </c>
      <c r="F2205" s="1" t="str">
        <f>"001331731"</f>
        <v>001331731</v>
      </c>
      <c r="G2205" s="1" t="s">
        <v>122</v>
      </c>
      <c r="H2205" s="1" t="s">
        <v>16</v>
      </c>
      <c r="I2205" s="4" t="str">
        <f>"1"</f>
        <v>1</v>
      </c>
      <c r="J2205" s="2" t="str">
        <f>"20007"</f>
        <v>20007</v>
      </c>
      <c r="K2205" s="3">
        <v>46097</v>
      </c>
      <c r="L2205" s="3">
        <v>46126</v>
      </c>
      <c r="M2205" s="1" t="s">
        <v>6952</v>
      </c>
      <c r="N2205" s="1" t="s">
        <v>6951</v>
      </c>
    </row>
    <row r="2206" spans="1:14" s="1" customFormat="1" x14ac:dyDescent="0.35">
      <c r="A2206" s="1" t="s">
        <v>5171</v>
      </c>
      <c r="B2206" s="1" t="s">
        <v>4201</v>
      </c>
      <c r="C2206" s="1" t="s">
        <v>4248</v>
      </c>
      <c r="D2206" s="1" t="s">
        <v>6950</v>
      </c>
      <c r="E2206" s="1" t="str">
        <f>"3805"</f>
        <v>3805</v>
      </c>
      <c r="F2206" s="1" t="s">
        <v>384</v>
      </c>
      <c r="G2206" s="1" t="s">
        <v>385</v>
      </c>
      <c r="H2206" s="1" t="s">
        <v>16</v>
      </c>
      <c r="I2206" s="4" t="str">
        <f>"1"</f>
        <v>1</v>
      </c>
      <c r="J2206" s="2" t="str">
        <f>"4000"</f>
        <v>4000</v>
      </c>
      <c r="K2206" s="3">
        <v>46110</v>
      </c>
      <c r="L2206" s="3">
        <v>46126</v>
      </c>
      <c r="M2206" s="1" t="s">
        <v>6949</v>
      </c>
      <c r="N2206" s="1" t="s">
        <v>6936</v>
      </c>
    </row>
    <row r="2207" spans="1:14" s="1" customFormat="1" x14ac:dyDescent="0.35">
      <c r="A2207" s="1" t="s">
        <v>5171</v>
      </c>
      <c r="B2207" s="1" t="s">
        <v>4201</v>
      </c>
      <c r="C2207" s="1" t="s">
        <v>4248</v>
      </c>
      <c r="D2207" s="1" t="s">
        <v>6948</v>
      </c>
      <c r="E2207" s="1" t="str">
        <f>"3830"</f>
        <v>3830</v>
      </c>
      <c r="F2207" s="1" t="s">
        <v>75</v>
      </c>
      <c r="G2207" s="1" t="s">
        <v>76</v>
      </c>
      <c r="H2207" s="1" t="s">
        <v>16</v>
      </c>
      <c r="I2207" s="4" t="str">
        <f>"1"</f>
        <v>1</v>
      </c>
      <c r="J2207" s="2" t="str">
        <f>"1500"</f>
        <v>1500</v>
      </c>
      <c r="K2207" s="3">
        <v>46110</v>
      </c>
      <c r="L2207" s="3">
        <v>46126</v>
      </c>
      <c r="M2207" s="1" t="s">
        <v>6947</v>
      </c>
      <c r="N2207" s="1" t="s">
        <v>6936</v>
      </c>
    </row>
    <row r="2208" spans="1:14" s="1" customFormat="1" x14ac:dyDescent="0.35">
      <c r="A2208" s="1" t="s">
        <v>5171</v>
      </c>
      <c r="B2208" s="1" t="s">
        <v>4201</v>
      </c>
      <c r="C2208" s="1" t="s">
        <v>4275</v>
      </c>
      <c r="D2208" s="1" t="s">
        <v>6946</v>
      </c>
      <c r="E2208" s="1" t="str">
        <f>"2310"</f>
        <v>2310</v>
      </c>
      <c r="F2208" s="1" t="s">
        <v>178</v>
      </c>
      <c r="G2208" s="1" t="s">
        <v>179</v>
      </c>
      <c r="H2208" s="1" t="s">
        <v>16</v>
      </c>
      <c r="I2208" s="4" t="str">
        <f>"1"</f>
        <v>1</v>
      </c>
      <c r="J2208" s="2" t="str">
        <f>"14125"</f>
        <v>14125</v>
      </c>
      <c r="K2208" s="3">
        <v>46123</v>
      </c>
      <c r="L2208" s="3">
        <v>46126</v>
      </c>
      <c r="M2208" s="1" t="s">
        <v>6945</v>
      </c>
      <c r="N2208" s="1" t="s">
        <v>6944</v>
      </c>
    </row>
    <row r="2209" spans="1:14" s="1" customFormat="1" x14ac:dyDescent="0.35">
      <c r="A2209" s="1" t="s">
        <v>5171</v>
      </c>
      <c r="B2209" s="1" t="s">
        <v>4201</v>
      </c>
      <c r="C2209" s="1" t="s">
        <v>4308</v>
      </c>
      <c r="D2209" s="1" t="s">
        <v>6943</v>
      </c>
      <c r="E2209" s="1" t="str">
        <f>"3950"</f>
        <v>3950</v>
      </c>
      <c r="F2209" s="1" t="s">
        <v>3089</v>
      </c>
      <c r="G2209" s="1" t="s">
        <v>3090</v>
      </c>
      <c r="H2209" s="1" t="s">
        <v>16</v>
      </c>
      <c r="I2209" s="4" t="str">
        <f>"2"</f>
        <v>2</v>
      </c>
      <c r="J2209" s="2" t="str">
        <f>"25000"</f>
        <v>25000</v>
      </c>
      <c r="K2209" s="3">
        <v>46125</v>
      </c>
      <c r="L2209" s="3">
        <v>46126</v>
      </c>
      <c r="M2209" s="1" t="s">
        <v>5167</v>
      </c>
      <c r="N2209" s="1" t="s">
        <v>6942</v>
      </c>
    </row>
    <row r="2210" spans="1:14" s="1" customFormat="1" x14ac:dyDescent="0.35">
      <c r="A2210" s="1" t="s">
        <v>5171</v>
      </c>
      <c r="B2210" s="1" t="s">
        <v>4201</v>
      </c>
      <c r="C2210" s="1" t="s">
        <v>4383</v>
      </c>
      <c r="D2210" s="1" t="s">
        <v>6941</v>
      </c>
      <c r="E2210" s="1" t="str">
        <f>"2310"</f>
        <v>2310</v>
      </c>
      <c r="F2210" s="1" t="s">
        <v>178</v>
      </c>
      <c r="G2210" s="1" t="s">
        <v>179</v>
      </c>
      <c r="H2210" s="1" t="s">
        <v>16</v>
      </c>
      <c r="I2210" s="4" t="str">
        <f>"1"</f>
        <v>1</v>
      </c>
      <c r="J2210" s="2" t="str">
        <f>"14125"</f>
        <v>14125</v>
      </c>
      <c r="K2210" s="3">
        <v>46124</v>
      </c>
      <c r="L2210" s="3">
        <v>46126</v>
      </c>
      <c r="M2210" s="1" t="s">
        <v>6940</v>
      </c>
      <c r="N2210" s="1" t="s">
        <v>6939</v>
      </c>
    </row>
    <row r="2211" spans="1:14" s="1" customFormat="1" x14ac:dyDescent="0.35">
      <c r="A2211" s="1" t="s">
        <v>5171</v>
      </c>
      <c r="B2211" s="1" t="s">
        <v>4201</v>
      </c>
      <c r="C2211" s="1" t="s">
        <v>4248</v>
      </c>
      <c r="D2211" s="1" t="s">
        <v>6938</v>
      </c>
      <c r="E2211" s="1" t="str">
        <f>"3805"</f>
        <v>3805</v>
      </c>
      <c r="F2211" s="1" t="s">
        <v>384</v>
      </c>
      <c r="G2211" s="1" t="s">
        <v>385</v>
      </c>
      <c r="H2211" s="1" t="s">
        <v>16</v>
      </c>
      <c r="I2211" s="4" t="str">
        <f>"1"</f>
        <v>1</v>
      </c>
      <c r="J2211" s="2">
        <v>259283.8</v>
      </c>
      <c r="K2211" s="3">
        <v>46110</v>
      </c>
      <c r="L2211" s="3">
        <v>46127</v>
      </c>
      <c r="M2211" s="1" t="s">
        <v>6937</v>
      </c>
      <c r="N2211" s="1" t="s">
        <v>6936</v>
      </c>
    </row>
    <row r="2212" spans="1:14" s="1" customFormat="1" x14ac:dyDescent="0.35">
      <c r="A2212" s="1" t="s">
        <v>5171</v>
      </c>
      <c r="B2212" s="1" t="s">
        <v>4201</v>
      </c>
      <c r="C2212" s="1" t="s">
        <v>4275</v>
      </c>
      <c r="D2212" s="1" t="s">
        <v>6935</v>
      </c>
      <c r="E2212" s="1" t="str">
        <f>"1240"</f>
        <v>1240</v>
      </c>
      <c r="F2212" s="1" t="str">
        <f>"200068632"</f>
        <v>200068632</v>
      </c>
      <c r="G2212" s="1" t="s">
        <v>2361</v>
      </c>
      <c r="H2212" s="1" t="s">
        <v>16</v>
      </c>
      <c r="I2212" s="4" t="str">
        <f>"1"</f>
        <v>1</v>
      </c>
      <c r="J2212" s="2" t="str">
        <f>"1717"</f>
        <v>1717</v>
      </c>
      <c r="K2212" s="3">
        <v>46116</v>
      </c>
      <c r="L2212" s="3">
        <v>46127</v>
      </c>
      <c r="M2212" s="1" t="s">
        <v>6934</v>
      </c>
      <c r="N2212" s="1" t="s">
        <v>6933</v>
      </c>
    </row>
    <row r="2213" spans="1:14" s="1" customFormat="1" x14ac:dyDescent="0.35">
      <c r="A2213" s="1" t="s">
        <v>0</v>
      </c>
      <c r="B2213" s="1" t="s">
        <v>4201</v>
      </c>
      <c r="C2213" s="1" t="s">
        <v>4339</v>
      </c>
      <c r="D2213" s="1" t="s">
        <v>6932</v>
      </c>
      <c r="E2213" s="1" t="str">
        <f>"2310"</f>
        <v>2310</v>
      </c>
      <c r="F2213" s="1" t="s">
        <v>178</v>
      </c>
      <c r="G2213" s="1" t="s">
        <v>179</v>
      </c>
      <c r="H2213" s="1" t="s">
        <v>16</v>
      </c>
      <c r="I2213" s="4" t="str">
        <f>"1"</f>
        <v>1</v>
      </c>
      <c r="J2213" s="2" t="str">
        <f>"23500"</f>
        <v>23500</v>
      </c>
      <c r="K2213" s="3">
        <v>46128</v>
      </c>
      <c r="L2213" s="3">
        <v>46128</v>
      </c>
      <c r="M2213" s="1" t="s">
        <v>6931</v>
      </c>
      <c r="N2213" s="1" t="s">
        <v>6930</v>
      </c>
    </row>
    <row r="2214" spans="1:14" s="1" customFormat="1" x14ac:dyDescent="0.35">
      <c r="A2214" s="1" t="s">
        <v>5171</v>
      </c>
      <c r="B2214" s="1" t="s">
        <v>4201</v>
      </c>
      <c r="C2214" s="1" t="s">
        <v>4308</v>
      </c>
      <c r="D2214" s="1" t="s">
        <v>6929</v>
      </c>
      <c r="E2214" s="1" t="str">
        <f>"8150"</f>
        <v>8150</v>
      </c>
      <c r="F2214" s="1" t="str">
        <f>"014638553"</f>
        <v>014638553</v>
      </c>
      <c r="G2214" s="1" t="s">
        <v>117</v>
      </c>
      <c r="H2214" s="1" t="s">
        <v>16</v>
      </c>
      <c r="I2214" s="4" t="str">
        <f>"1"</f>
        <v>1</v>
      </c>
      <c r="J2214" s="2">
        <v>9188.48</v>
      </c>
      <c r="K2214" s="3">
        <v>46123</v>
      </c>
      <c r="L2214" s="3">
        <v>46128</v>
      </c>
      <c r="M2214" s="1" t="s">
        <v>6928</v>
      </c>
      <c r="N2214" s="1" t="s">
        <v>6927</v>
      </c>
    </row>
    <row r="2215" spans="1:14" s="1" customFormat="1" x14ac:dyDescent="0.35">
      <c r="A2215" s="1" t="s">
        <v>5171</v>
      </c>
      <c r="B2215" s="1" t="s">
        <v>4201</v>
      </c>
      <c r="C2215" s="1" t="s">
        <v>4308</v>
      </c>
      <c r="D2215" s="1" t="s">
        <v>6926</v>
      </c>
      <c r="E2215" s="1" t="str">
        <f>"4240"</f>
        <v>4240</v>
      </c>
      <c r="F2215" s="1" t="str">
        <f>"015156935"</f>
        <v>015156935</v>
      </c>
      <c r="G2215" s="1" t="s">
        <v>6925</v>
      </c>
      <c r="H2215" s="1" t="s">
        <v>16</v>
      </c>
      <c r="I2215" s="4" t="str">
        <f>"2"</f>
        <v>2</v>
      </c>
      <c r="J2215" s="2">
        <v>3012.5</v>
      </c>
      <c r="K2215" s="3">
        <v>46125</v>
      </c>
      <c r="L2215" s="3">
        <v>46129</v>
      </c>
      <c r="M2215" s="1" t="s">
        <v>6924</v>
      </c>
      <c r="N2215" s="1" t="s">
        <v>6923</v>
      </c>
    </row>
    <row r="2216" spans="1:14" s="1" customFormat="1" x14ac:dyDescent="0.35">
      <c r="A2216" s="1" t="s">
        <v>5171</v>
      </c>
      <c r="B2216" s="1" t="s">
        <v>4201</v>
      </c>
      <c r="C2216" s="1" t="s">
        <v>4344</v>
      </c>
      <c r="D2216" s="1" t="s">
        <v>6922</v>
      </c>
      <c r="E2216" s="1" t="str">
        <f>"6115"</f>
        <v>6115</v>
      </c>
      <c r="F2216" s="1" t="str">
        <f>"014351567"</f>
        <v>014351567</v>
      </c>
      <c r="G2216" s="1" t="s">
        <v>1390</v>
      </c>
      <c r="H2216" s="1" t="s">
        <v>16</v>
      </c>
      <c r="I2216" s="4" t="str">
        <f>"1"</f>
        <v>1</v>
      </c>
      <c r="J2216" s="2">
        <v>4623.09</v>
      </c>
      <c r="K2216" s="3">
        <v>46122</v>
      </c>
      <c r="L2216" s="3">
        <v>46129</v>
      </c>
      <c r="M2216" s="1" t="s">
        <v>6921</v>
      </c>
      <c r="N2216" s="1" t="s">
        <v>6920</v>
      </c>
    </row>
    <row r="2217" spans="1:14" s="1" customFormat="1" x14ac:dyDescent="0.35">
      <c r="A2217" s="1" t="s">
        <v>5171</v>
      </c>
      <c r="B2217" s="1" t="s">
        <v>4201</v>
      </c>
      <c r="C2217" s="1" t="s">
        <v>4260</v>
      </c>
      <c r="D2217" s="1" t="s">
        <v>6919</v>
      </c>
      <c r="E2217" s="1" t="str">
        <f>"2540"</f>
        <v>2540</v>
      </c>
      <c r="F2217" s="1" t="str">
        <f>"014797911"</f>
        <v>014797911</v>
      </c>
      <c r="G2217" s="1" t="s">
        <v>2324</v>
      </c>
      <c r="H2217" s="1" t="s">
        <v>16</v>
      </c>
      <c r="I2217" s="4" t="str">
        <f>"2"</f>
        <v>2</v>
      </c>
      <c r="J2217" s="2">
        <v>1250.55</v>
      </c>
      <c r="K2217" s="3">
        <v>46116</v>
      </c>
      <c r="L2217" s="3">
        <v>46130</v>
      </c>
      <c r="M2217" s="1" t="s">
        <v>6918</v>
      </c>
      <c r="N2217" s="1" t="s">
        <v>6917</v>
      </c>
    </row>
    <row r="2218" spans="1:14" s="1" customFormat="1" x14ac:dyDescent="0.35">
      <c r="A2218" s="1" t="s">
        <v>5171</v>
      </c>
      <c r="B2218" s="1" t="s">
        <v>4201</v>
      </c>
      <c r="C2218" s="1" t="s">
        <v>4275</v>
      </c>
      <c r="D2218" s="1" t="s">
        <v>6916</v>
      </c>
      <c r="E2218" s="1" t="str">
        <f>"2310"</f>
        <v>2310</v>
      </c>
      <c r="F2218" s="1" t="str">
        <f>"011350996"</f>
        <v>011350996</v>
      </c>
      <c r="G2218" s="1" t="s">
        <v>1489</v>
      </c>
      <c r="H2218" s="1" t="s">
        <v>16</v>
      </c>
      <c r="I2218" s="4" t="str">
        <f>"1"</f>
        <v>1</v>
      </c>
      <c r="J2218" s="2" t="str">
        <f>"80000"</f>
        <v>80000</v>
      </c>
      <c r="K2218" s="3">
        <v>46116</v>
      </c>
      <c r="L2218" s="3">
        <v>46130</v>
      </c>
      <c r="M2218" s="1" t="s">
        <v>6915</v>
      </c>
      <c r="N2218" s="1" t="s">
        <v>6914</v>
      </c>
    </row>
    <row r="2219" spans="1:14" s="1" customFormat="1" x14ac:dyDescent="0.35">
      <c r="A2219" s="1" t="s">
        <v>5171</v>
      </c>
      <c r="B2219" s="1" t="s">
        <v>4201</v>
      </c>
      <c r="C2219" s="1" t="s">
        <v>4308</v>
      </c>
      <c r="D2219" s="1" t="s">
        <v>6913</v>
      </c>
      <c r="E2219" s="1" t="str">
        <f>"2320"</f>
        <v>2320</v>
      </c>
      <c r="F2219" s="1" t="str">
        <f>"010907782"</f>
        <v>010907782</v>
      </c>
      <c r="G2219" s="1" t="s">
        <v>4227</v>
      </c>
      <c r="H2219" s="1" t="s">
        <v>16</v>
      </c>
      <c r="I2219" s="4" t="str">
        <f>"1"</f>
        <v>1</v>
      </c>
      <c r="J2219" s="2" t="str">
        <f>"30485"</f>
        <v>30485</v>
      </c>
      <c r="K2219" s="3">
        <v>46116</v>
      </c>
      <c r="L2219" s="3">
        <v>46130</v>
      </c>
      <c r="M2219" s="1" t="s">
        <v>6912</v>
      </c>
      <c r="N2219" s="1" t="s">
        <v>6911</v>
      </c>
    </row>
    <row r="2220" spans="1:14" s="1" customFormat="1" x14ac:dyDescent="0.35">
      <c r="A2220" s="1" t="s">
        <v>5171</v>
      </c>
      <c r="B2220" s="1" t="s">
        <v>4201</v>
      </c>
      <c r="C2220" s="1" t="s">
        <v>4389</v>
      </c>
      <c r="D2220" s="1" t="s">
        <v>6910</v>
      </c>
      <c r="E2220" s="1" t="str">
        <f>"2320"</f>
        <v>2320</v>
      </c>
      <c r="F2220" s="1" t="s">
        <v>975</v>
      </c>
      <c r="G2220" s="1" t="s">
        <v>976</v>
      </c>
      <c r="H2220" s="1" t="s">
        <v>16</v>
      </c>
      <c r="I2220" s="4" t="str">
        <f>"1"</f>
        <v>1</v>
      </c>
      <c r="J2220" s="2" t="str">
        <f>"25287"</f>
        <v>25287</v>
      </c>
      <c r="K2220" s="3">
        <v>46118</v>
      </c>
      <c r="L2220" s="3">
        <v>46130</v>
      </c>
      <c r="M2220" s="1" t="s">
        <v>6909</v>
      </c>
      <c r="N2220" s="1" t="s">
        <v>6908</v>
      </c>
    </row>
    <row r="2221" spans="1:14" s="1" customFormat="1" x14ac:dyDescent="0.35">
      <c r="A2221" s="1" t="s">
        <v>5171</v>
      </c>
      <c r="B2221" s="1" t="s">
        <v>4201</v>
      </c>
      <c r="C2221" s="1" t="s">
        <v>4428</v>
      </c>
      <c r="D2221" s="1" t="s">
        <v>6907</v>
      </c>
      <c r="E2221" s="1" t="str">
        <f>"2330"</f>
        <v>2330</v>
      </c>
      <c r="F2221" s="1" t="s">
        <v>70</v>
      </c>
      <c r="G2221" s="1" t="s">
        <v>71</v>
      </c>
      <c r="H2221" s="1" t="s">
        <v>16</v>
      </c>
      <c r="I2221" s="4" t="str">
        <f>"1"</f>
        <v>1</v>
      </c>
      <c r="J2221" s="2" t="str">
        <f>"14555"</f>
        <v>14555</v>
      </c>
      <c r="K2221" s="3">
        <v>46118</v>
      </c>
      <c r="L2221" s="3">
        <v>46130</v>
      </c>
      <c r="M2221" s="1" t="s">
        <v>6906</v>
      </c>
      <c r="N2221" s="1" t="s">
        <v>6905</v>
      </c>
    </row>
    <row r="2222" spans="1:14" s="1" customFormat="1" x14ac:dyDescent="0.35">
      <c r="A2222" s="1" t="s">
        <v>0</v>
      </c>
      <c r="B2222" s="1" t="s">
        <v>4201</v>
      </c>
      <c r="C2222" s="1" t="s">
        <v>4213</v>
      </c>
      <c r="D2222" s="1" t="s">
        <v>6904</v>
      </c>
      <c r="E2222" s="1" t="str">
        <f>"2320"</f>
        <v>2320</v>
      </c>
      <c r="F2222" s="1" t="str">
        <f>"015959568"</f>
        <v>015959568</v>
      </c>
      <c r="G2222" s="1" t="s">
        <v>5404</v>
      </c>
      <c r="H2222" s="1" t="s">
        <v>16</v>
      </c>
      <c r="I2222" s="4" t="str">
        <f>"1"</f>
        <v>1</v>
      </c>
      <c r="J2222" s="2" t="str">
        <f>"31613"</f>
        <v>31613</v>
      </c>
      <c r="K2222" s="3">
        <v>46130</v>
      </c>
      <c r="L2222" s="3">
        <v>46132</v>
      </c>
      <c r="M2222" s="1" t="s">
        <v>6403</v>
      </c>
      <c r="N2222" s="1" t="s">
        <v>6903</v>
      </c>
    </row>
    <row r="2223" spans="1:14" s="1" customFormat="1" x14ac:dyDescent="0.35">
      <c r="A2223" s="1" t="s">
        <v>0</v>
      </c>
      <c r="B2223" s="1" t="s">
        <v>4201</v>
      </c>
      <c r="C2223" s="1" t="s">
        <v>4220</v>
      </c>
      <c r="D2223" s="1" t="s">
        <v>6902</v>
      </c>
      <c r="E2223" s="1" t="str">
        <f>"2320"</f>
        <v>2320</v>
      </c>
      <c r="F2223" s="1" t="str">
        <f>"015959568"</f>
        <v>015959568</v>
      </c>
      <c r="G2223" s="1" t="s">
        <v>5404</v>
      </c>
      <c r="H2223" s="1" t="s">
        <v>16</v>
      </c>
      <c r="I2223" s="4" t="str">
        <f>"1"</f>
        <v>1</v>
      </c>
      <c r="J2223" s="2" t="str">
        <f>"31613"</f>
        <v>31613</v>
      </c>
      <c r="K2223" s="3">
        <v>46130</v>
      </c>
      <c r="L2223" s="3">
        <v>46132</v>
      </c>
      <c r="M2223" s="1" t="s">
        <v>6403</v>
      </c>
      <c r="N2223" s="1" t="s">
        <v>6901</v>
      </c>
    </row>
    <row r="2224" spans="1:14" s="1" customFormat="1" x14ac:dyDescent="0.35">
      <c r="A2224" s="1" t="s">
        <v>0</v>
      </c>
      <c r="B2224" s="1" t="s">
        <v>4201</v>
      </c>
      <c r="C2224" s="1" t="s">
        <v>4275</v>
      </c>
      <c r="D2224" s="1" t="s">
        <v>6900</v>
      </c>
      <c r="E2224" s="1" t="str">
        <f>"2310"</f>
        <v>2310</v>
      </c>
      <c r="F2224" s="1" t="s">
        <v>178</v>
      </c>
      <c r="G2224" s="1" t="s">
        <v>179</v>
      </c>
      <c r="H2224" s="1" t="s">
        <v>16</v>
      </c>
      <c r="I2224" s="4" t="str">
        <f>"1"</f>
        <v>1</v>
      </c>
      <c r="J2224" s="2" t="str">
        <f>"12554"</f>
        <v>12554</v>
      </c>
      <c r="K2224" s="3">
        <v>46130</v>
      </c>
      <c r="L2224" s="3">
        <v>46132</v>
      </c>
      <c r="M2224" s="1" t="s">
        <v>6709</v>
      </c>
      <c r="N2224" s="1" t="s">
        <v>6899</v>
      </c>
    </row>
    <row r="2225" spans="1:14" s="1" customFormat="1" x14ac:dyDescent="0.35">
      <c r="A2225" s="1" t="s">
        <v>0</v>
      </c>
      <c r="B2225" s="1" t="s">
        <v>4201</v>
      </c>
      <c r="C2225" s="1" t="s">
        <v>4308</v>
      </c>
      <c r="D2225" s="1" t="s">
        <v>6898</v>
      </c>
      <c r="E2225" s="1" t="str">
        <f>"2320"</f>
        <v>2320</v>
      </c>
      <c r="F2225" s="1" t="str">
        <f>"015959568"</f>
        <v>015959568</v>
      </c>
      <c r="G2225" s="1" t="s">
        <v>5404</v>
      </c>
      <c r="H2225" s="1" t="s">
        <v>16</v>
      </c>
      <c r="I2225" s="4" t="str">
        <f>"1"</f>
        <v>1</v>
      </c>
      <c r="J2225" s="2" t="str">
        <f>"31613"</f>
        <v>31613</v>
      </c>
      <c r="K2225" s="3">
        <v>46130</v>
      </c>
      <c r="L2225" s="3">
        <v>46132</v>
      </c>
      <c r="M2225" s="1" t="s">
        <v>6403</v>
      </c>
      <c r="N2225" s="1" t="s">
        <v>6897</v>
      </c>
    </row>
    <row r="2226" spans="1:14" s="1" customFormat="1" x14ac:dyDescent="0.35">
      <c r="A2226" s="1" t="s">
        <v>0</v>
      </c>
      <c r="B2226" s="1" t="s">
        <v>4201</v>
      </c>
      <c r="C2226" s="1" t="s">
        <v>4308</v>
      </c>
      <c r="D2226" s="1" t="s">
        <v>6896</v>
      </c>
      <c r="E2226" s="1" t="str">
        <f>"2320"</f>
        <v>2320</v>
      </c>
      <c r="F2226" s="1" t="s">
        <v>975</v>
      </c>
      <c r="G2226" s="1" t="s">
        <v>976</v>
      </c>
      <c r="H2226" s="1" t="s">
        <v>16</v>
      </c>
      <c r="I2226" s="4" t="str">
        <f>"1"</f>
        <v>1</v>
      </c>
      <c r="J2226" s="2" t="str">
        <f>"202199"</f>
        <v>202199</v>
      </c>
      <c r="K2226" s="3">
        <v>46130</v>
      </c>
      <c r="L2226" s="3">
        <v>46132</v>
      </c>
      <c r="M2226" s="1" t="s">
        <v>6824</v>
      </c>
      <c r="N2226" s="1" t="s">
        <v>6895</v>
      </c>
    </row>
    <row r="2227" spans="1:14" s="1" customFormat="1" x14ac:dyDescent="0.35">
      <c r="A2227" s="1" t="s">
        <v>0</v>
      </c>
      <c r="B2227" s="1" t="s">
        <v>4201</v>
      </c>
      <c r="C2227" s="1" t="s">
        <v>4308</v>
      </c>
      <c r="D2227" s="1" t="s">
        <v>6894</v>
      </c>
      <c r="E2227" s="1" t="str">
        <f>"2320"</f>
        <v>2320</v>
      </c>
      <c r="F2227" s="1" t="s">
        <v>975</v>
      </c>
      <c r="G2227" s="1" t="s">
        <v>976</v>
      </c>
      <c r="H2227" s="1" t="s">
        <v>16</v>
      </c>
      <c r="I2227" s="4" t="str">
        <f>"1"</f>
        <v>1</v>
      </c>
      <c r="J2227" s="2" t="str">
        <f>"202199"</f>
        <v>202199</v>
      </c>
      <c r="K2227" s="3">
        <v>46132</v>
      </c>
      <c r="L2227" s="3">
        <v>46132</v>
      </c>
      <c r="M2227" s="1" t="s">
        <v>6824</v>
      </c>
      <c r="N2227" s="1" t="s">
        <v>6893</v>
      </c>
    </row>
    <row r="2228" spans="1:14" s="1" customFormat="1" x14ac:dyDescent="0.35">
      <c r="A2228" s="1" t="s">
        <v>0</v>
      </c>
      <c r="B2228" s="1" t="s">
        <v>4201</v>
      </c>
      <c r="C2228" s="1" t="s">
        <v>4344</v>
      </c>
      <c r="D2228" s="1" t="s">
        <v>6892</v>
      </c>
      <c r="E2228" s="1" t="str">
        <f>"2320"</f>
        <v>2320</v>
      </c>
      <c r="F2228" s="1" t="str">
        <f>"015959568"</f>
        <v>015959568</v>
      </c>
      <c r="G2228" s="1" t="s">
        <v>5404</v>
      </c>
      <c r="H2228" s="1" t="s">
        <v>16</v>
      </c>
      <c r="I2228" s="4" t="str">
        <f>"1"</f>
        <v>1</v>
      </c>
      <c r="J2228" s="2" t="str">
        <f>"31613"</f>
        <v>31613</v>
      </c>
      <c r="K2228" s="3">
        <v>46130</v>
      </c>
      <c r="L2228" s="3">
        <v>46132</v>
      </c>
      <c r="M2228" s="1" t="s">
        <v>6403</v>
      </c>
      <c r="N2228" s="1" t="s">
        <v>6891</v>
      </c>
    </row>
    <row r="2229" spans="1:14" s="1" customFormat="1" x14ac:dyDescent="0.35">
      <c r="A2229" s="1" t="s">
        <v>0</v>
      </c>
      <c r="B2229" s="1" t="s">
        <v>4201</v>
      </c>
      <c r="C2229" s="1" t="s">
        <v>4383</v>
      </c>
      <c r="D2229" s="1" t="s">
        <v>6890</v>
      </c>
      <c r="E2229" s="1" t="str">
        <f>"2310"</f>
        <v>2310</v>
      </c>
      <c r="F2229" s="1" t="s">
        <v>178</v>
      </c>
      <c r="G2229" s="1" t="s">
        <v>179</v>
      </c>
      <c r="H2229" s="1" t="s">
        <v>16</v>
      </c>
      <c r="I2229" s="4" t="str">
        <f>"1"</f>
        <v>1</v>
      </c>
      <c r="J2229" s="2" t="str">
        <f>"12554"</f>
        <v>12554</v>
      </c>
      <c r="K2229" s="3">
        <v>46130</v>
      </c>
      <c r="L2229" s="3">
        <v>46132</v>
      </c>
      <c r="M2229" s="1" t="s">
        <v>6709</v>
      </c>
      <c r="N2229" s="1" t="s">
        <v>6889</v>
      </c>
    </row>
    <row r="2230" spans="1:14" s="1" customFormat="1" x14ac:dyDescent="0.35">
      <c r="A2230" s="1" t="s">
        <v>0</v>
      </c>
      <c r="B2230" s="1" t="s">
        <v>4201</v>
      </c>
      <c r="C2230" s="1" t="s">
        <v>4383</v>
      </c>
      <c r="D2230" s="1" t="s">
        <v>6888</v>
      </c>
      <c r="E2230" s="1" t="str">
        <f>"2320"</f>
        <v>2320</v>
      </c>
      <c r="F2230" s="1" t="str">
        <f>"015959568"</f>
        <v>015959568</v>
      </c>
      <c r="G2230" s="1" t="s">
        <v>5404</v>
      </c>
      <c r="H2230" s="1" t="s">
        <v>16</v>
      </c>
      <c r="I2230" s="4" t="str">
        <f>"1"</f>
        <v>1</v>
      </c>
      <c r="J2230" s="2" t="str">
        <f>"31613"</f>
        <v>31613</v>
      </c>
      <c r="K2230" s="3">
        <v>46130</v>
      </c>
      <c r="L2230" s="3">
        <v>46132</v>
      </c>
      <c r="M2230" s="1" t="s">
        <v>6403</v>
      </c>
      <c r="N2230" s="1" t="s">
        <v>6887</v>
      </c>
    </row>
    <row r="2231" spans="1:14" s="1" customFormat="1" x14ac:dyDescent="0.35">
      <c r="A2231" s="1" t="s">
        <v>0</v>
      </c>
      <c r="B2231" s="1" t="s">
        <v>4201</v>
      </c>
      <c r="C2231" s="1" t="s">
        <v>4389</v>
      </c>
      <c r="D2231" s="1" t="s">
        <v>6886</v>
      </c>
      <c r="E2231" s="1" t="str">
        <f>"2320"</f>
        <v>2320</v>
      </c>
      <c r="F2231" s="1" t="s">
        <v>975</v>
      </c>
      <c r="G2231" s="1" t="s">
        <v>976</v>
      </c>
      <c r="H2231" s="1" t="s">
        <v>16</v>
      </c>
      <c r="I2231" s="4" t="str">
        <f>"1"</f>
        <v>1</v>
      </c>
      <c r="J2231" s="2" t="str">
        <f>"192265"</f>
        <v>192265</v>
      </c>
      <c r="K2231" s="3">
        <v>46132</v>
      </c>
      <c r="L2231" s="3">
        <v>46132</v>
      </c>
      <c r="M2231" s="1" t="s">
        <v>6709</v>
      </c>
      <c r="N2231" s="1" t="s">
        <v>6885</v>
      </c>
    </row>
    <row r="2232" spans="1:14" s="1" customFormat="1" x14ac:dyDescent="0.35">
      <c r="A2232" s="1" t="s">
        <v>0</v>
      </c>
      <c r="B2232" s="1" t="s">
        <v>4201</v>
      </c>
      <c r="C2232" s="1" t="s">
        <v>4397</v>
      </c>
      <c r="D2232" s="1" t="s">
        <v>6884</v>
      </c>
      <c r="E2232" s="1" t="str">
        <f>"2320"</f>
        <v>2320</v>
      </c>
      <c r="F2232" s="1" t="s">
        <v>975</v>
      </c>
      <c r="G2232" s="1" t="s">
        <v>976</v>
      </c>
      <c r="H2232" s="1" t="s">
        <v>16</v>
      </c>
      <c r="I2232" s="4" t="str">
        <f>"1"</f>
        <v>1</v>
      </c>
      <c r="J2232" s="2" t="str">
        <f>"202199"</f>
        <v>202199</v>
      </c>
      <c r="K2232" s="3">
        <v>46131</v>
      </c>
      <c r="L2232" s="3">
        <v>46132</v>
      </c>
      <c r="M2232" s="1" t="s">
        <v>6824</v>
      </c>
      <c r="N2232" s="1" t="s">
        <v>6883</v>
      </c>
    </row>
    <row r="2233" spans="1:14" s="1" customFormat="1" x14ac:dyDescent="0.35">
      <c r="A2233" s="1" t="s">
        <v>0</v>
      </c>
      <c r="B2233" s="1" t="s">
        <v>4201</v>
      </c>
      <c r="C2233" s="1" t="s">
        <v>4386</v>
      </c>
      <c r="D2233" s="1" t="s">
        <v>6882</v>
      </c>
      <c r="E2233" s="1" t="str">
        <f>"2320"</f>
        <v>2320</v>
      </c>
      <c r="F2233" s="1" t="s">
        <v>975</v>
      </c>
      <c r="G2233" s="1" t="s">
        <v>976</v>
      </c>
      <c r="H2233" s="1" t="s">
        <v>16</v>
      </c>
      <c r="I2233" s="4" t="str">
        <f>"1"</f>
        <v>1</v>
      </c>
      <c r="J2233" s="2" t="str">
        <f>"202199"</f>
        <v>202199</v>
      </c>
      <c r="K2233" s="3">
        <v>46132</v>
      </c>
      <c r="L2233" s="3">
        <v>46133</v>
      </c>
      <c r="M2233" s="1" t="s">
        <v>6403</v>
      </c>
      <c r="N2233" s="1" t="s">
        <v>6881</v>
      </c>
    </row>
    <row r="2234" spans="1:14" s="1" customFormat="1" x14ac:dyDescent="0.35">
      <c r="A2234" s="1" t="s">
        <v>5171</v>
      </c>
      <c r="B2234" s="1" t="s">
        <v>4201</v>
      </c>
      <c r="C2234" s="1" t="s">
        <v>4344</v>
      </c>
      <c r="D2234" s="1" t="s">
        <v>6880</v>
      </c>
      <c r="E2234" s="1" t="str">
        <f>"4240"</f>
        <v>4240</v>
      </c>
      <c r="F2234" s="1" t="str">
        <f>"016490887"</f>
        <v>016490887</v>
      </c>
      <c r="G2234" s="1" t="s">
        <v>6879</v>
      </c>
      <c r="H2234" s="1" t="s">
        <v>16</v>
      </c>
      <c r="I2234" s="4" t="str">
        <f>"30"</f>
        <v>30</v>
      </c>
      <c r="J2234" s="2">
        <v>72.209999999999994</v>
      </c>
      <c r="K2234" s="3">
        <v>46103</v>
      </c>
      <c r="L2234" s="3">
        <v>46133</v>
      </c>
      <c r="M2234" s="1" t="s">
        <v>6878</v>
      </c>
      <c r="N2234" s="1" t="s">
        <v>6877</v>
      </c>
    </row>
    <row r="2235" spans="1:14" s="1" customFormat="1" x14ac:dyDescent="0.35">
      <c r="A2235" s="1" t="s">
        <v>5171</v>
      </c>
      <c r="B2235" s="1" t="s">
        <v>4201</v>
      </c>
      <c r="C2235" s="1" t="s">
        <v>6876</v>
      </c>
      <c r="D2235" s="1" t="s">
        <v>6875</v>
      </c>
      <c r="E2235" s="1" t="str">
        <f>"2410"</f>
        <v>2410</v>
      </c>
      <c r="F2235" s="1" t="str">
        <f>"001777284"</f>
        <v>001777284</v>
      </c>
      <c r="G2235" s="1" t="s">
        <v>989</v>
      </c>
      <c r="H2235" s="1" t="s">
        <v>16</v>
      </c>
      <c r="I2235" s="4" t="str">
        <f>"1"</f>
        <v>1</v>
      </c>
      <c r="J2235" s="2" t="str">
        <f>"72325"</f>
        <v>72325</v>
      </c>
      <c r="K2235" s="3">
        <v>46108</v>
      </c>
      <c r="L2235" s="3">
        <v>46134</v>
      </c>
      <c r="M2235" s="1" t="s">
        <v>6874</v>
      </c>
      <c r="N2235" s="1" t="s">
        <v>6873</v>
      </c>
    </row>
    <row r="2236" spans="1:14" s="1" customFormat="1" x14ac:dyDescent="0.35">
      <c r="A2236" s="1" t="s">
        <v>5171</v>
      </c>
      <c r="B2236" s="1" t="s">
        <v>4201</v>
      </c>
      <c r="C2236" s="1" t="s">
        <v>4344</v>
      </c>
      <c r="D2236" s="1" t="s">
        <v>6872</v>
      </c>
      <c r="E2236" s="1" t="str">
        <f>"2310"</f>
        <v>2310</v>
      </c>
      <c r="F2236" s="1" t="s">
        <v>178</v>
      </c>
      <c r="G2236" s="1" t="s">
        <v>179</v>
      </c>
      <c r="H2236" s="1" t="s">
        <v>16</v>
      </c>
      <c r="I2236" s="4" t="str">
        <f>"1"</f>
        <v>1</v>
      </c>
      <c r="J2236" s="2" t="str">
        <f>"12554"</f>
        <v>12554</v>
      </c>
      <c r="K2236" s="3">
        <v>46130</v>
      </c>
      <c r="L2236" s="3">
        <v>46134</v>
      </c>
      <c r="M2236" s="1" t="s">
        <v>6871</v>
      </c>
      <c r="N2236" s="1" t="s">
        <v>6870</v>
      </c>
    </row>
    <row r="2237" spans="1:14" s="1" customFormat="1" x14ac:dyDescent="0.35">
      <c r="A2237" s="1" t="s">
        <v>5171</v>
      </c>
      <c r="B2237" s="1" t="s">
        <v>4201</v>
      </c>
      <c r="C2237" s="1" t="s">
        <v>4428</v>
      </c>
      <c r="D2237" s="1" t="s">
        <v>6869</v>
      </c>
      <c r="E2237" s="1" t="str">
        <f>"5855"</f>
        <v>5855</v>
      </c>
      <c r="F2237" s="1" t="str">
        <f>"015790062"</f>
        <v>015790062</v>
      </c>
      <c r="G2237" s="1" t="s">
        <v>1379</v>
      </c>
      <c r="H2237" s="1" t="s">
        <v>16</v>
      </c>
      <c r="I2237" s="4" t="str">
        <f>"14"</f>
        <v>14</v>
      </c>
      <c r="J2237" s="2" t="str">
        <f>"900"</f>
        <v>900</v>
      </c>
      <c r="K2237" s="3">
        <v>46105</v>
      </c>
      <c r="L2237" s="3">
        <v>46134</v>
      </c>
      <c r="M2237" s="1" t="s">
        <v>6868</v>
      </c>
      <c r="N2237" s="1" t="s">
        <v>6867</v>
      </c>
    </row>
    <row r="2238" spans="1:14" s="1" customFormat="1" x14ac:dyDescent="0.35">
      <c r="A2238" s="1" t="s">
        <v>5171</v>
      </c>
      <c r="B2238" s="1" t="s">
        <v>4201</v>
      </c>
      <c r="C2238" s="1" t="s">
        <v>6866</v>
      </c>
      <c r="D2238" s="1" t="s">
        <v>6865</v>
      </c>
      <c r="E2238" s="1" t="str">
        <f>"5805"</f>
        <v>5805</v>
      </c>
      <c r="F2238" s="1" t="str">
        <f>"015315590"</f>
        <v>015315590</v>
      </c>
      <c r="G2238" s="1" t="s">
        <v>6864</v>
      </c>
      <c r="H2238" s="1" t="s">
        <v>16</v>
      </c>
      <c r="I2238" s="4" t="str">
        <f>"2"</f>
        <v>2</v>
      </c>
      <c r="J2238" s="2" t="str">
        <f>"2250"</f>
        <v>2250</v>
      </c>
      <c r="K2238" s="3">
        <v>46104</v>
      </c>
      <c r="L2238" s="3">
        <v>46135</v>
      </c>
      <c r="M2238" s="1" t="s">
        <v>6863</v>
      </c>
      <c r="N2238" s="1" t="s">
        <v>6862</v>
      </c>
    </row>
    <row r="2239" spans="1:14" s="1" customFormat="1" x14ac:dyDescent="0.35">
      <c r="A2239" s="1" t="s">
        <v>5171</v>
      </c>
      <c r="B2239" s="1" t="s">
        <v>4201</v>
      </c>
      <c r="C2239" s="1" t="s">
        <v>4275</v>
      </c>
      <c r="D2239" s="1" t="s">
        <v>6861</v>
      </c>
      <c r="E2239" s="1" t="str">
        <f>"8415"</f>
        <v>8415</v>
      </c>
      <c r="F2239" s="1" t="str">
        <f>"015802788"</f>
        <v>015802788</v>
      </c>
      <c r="G2239" s="1" t="s">
        <v>1892</v>
      </c>
      <c r="H2239" s="1" t="s">
        <v>16</v>
      </c>
      <c r="I2239" s="4" t="str">
        <f>"3"</f>
        <v>3</v>
      </c>
      <c r="J2239" s="2">
        <v>146.81</v>
      </c>
      <c r="K2239" s="3">
        <v>46128</v>
      </c>
      <c r="L2239" s="3">
        <v>46135</v>
      </c>
      <c r="M2239" s="1" t="s">
        <v>6860</v>
      </c>
      <c r="N2239" s="1" t="s">
        <v>4293</v>
      </c>
    </row>
    <row r="2240" spans="1:14" s="1" customFormat="1" x14ac:dyDescent="0.35">
      <c r="A2240" s="1" t="s">
        <v>5171</v>
      </c>
      <c r="B2240" s="1" t="s">
        <v>4201</v>
      </c>
      <c r="C2240" s="1" t="s">
        <v>4308</v>
      </c>
      <c r="D2240" s="1" t="s">
        <v>6859</v>
      </c>
      <c r="E2240" s="1" t="str">
        <f>"3895"</f>
        <v>3895</v>
      </c>
      <c r="F2240" s="1" t="str">
        <f>"009177416"</f>
        <v>009177416</v>
      </c>
      <c r="G2240" s="1" t="s">
        <v>6858</v>
      </c>
      <c r="H2240" s="1" t="s">
        <v>16</v>
      </c>
      <c r="I2240" s="4" t="str">
        <f>"1"</f>
        <v>1</v>
      </c>
      <c r="J2240" s="2">
        <v>2465.5500000000002</v>
      </c>
      <c r="K2240" s="3">
        <v>46095</v>
      </c>
      <c r="L2240" s="3">
        <v>46135</v>
      </c>
      <c r="M2240" s="1" t="s">
        <v>6857</v>
      </c>
      <c r="N2240" s="1" t="s">
        <v>6856</v>
      </c>
    </row>
    <row r="2241" spans="1:14" s="1" customFormat="1" x14ac:dyDescent="0.35">
      <c r="A2241" s="1" t="s">
        <v>5171</v>
      </c>
      <c r="B2241" s="1" t="s">
        <v>4201</v>
      </c>
      <c r="C2241" s="1" t="s">
        <v>4428</v>
      </c>
      <c r="D2241" s="1" t="s">
        <v>6855</v>
      </c>
      <c r="E2241" s="1" t="str">
        <f>"5855"</f>
        <v>5855</v>
      </c>
      <c r="F2241" s="1" t="str">
        <f>"015790062"</f>
        <v>015790062</v>
      </c>
      <c r="G2241" s="1" t="s">
        <v>1379</v>
      </c>
      <c r="H2241" s="1" t="s">
        <v>16</v>
      </c>
      <c r="I2241" s="4" t="str">
        <f>"14"</f>
        <v>14</v>
      </c>
      <c r="J2241" s="2" t="str">
        <f>"900"</f>
        <v>900</v>
      </c>
      <c r="K2241" s="3">
        <v>46134</v>
      </c>
      <c r="L2241" s="3">
        <v>46135</v>
      </c>
      <c r="M2241" s="1" t="s">
        <v>5167</v>
      </c>
      <c r="N2241" s="1" t="s">
        <v>6854</v>
      </c>
    </row>
    <row r="2242" spans="1:14" s="1" customFormat="1" x14ac:dyDescent="0.35">
      <c r="A2242" s="1" t="s">
        <v>5171</v>
      </c>
      <c r="B2242" s="1" t="s">
        <v>4201</v>
      </c>
      <c r="C2242" s="1" t="s">
        <v>4308</v>
      </c>
      <c r="D2242" s="1" t="s">
        <v>6853</v>
      </c>
      <c r="E2242" s="1" t="str">
        <f>"2330"</f>
        <v>2330</v>
      </c>
      <c r="F2242" s="1" t="s">
        <v>70</v>
      </c>
      <c r="G2242" s="1" t="s">
        <v>71</v>
      </c>
      <c r="H2242" s="1" t="s">
        <v>16</v>
      </c>
      <c r="I2242" s="4" t="str">
        <f>"1"</f>
        <v>1</v>
      </c>
      <c r="J2242" s="2" t="str">
        <f>"10000"</f>
        <v>10000</v>
      </c>
      <c r="K2242" s="3">
        <v>46123</v>
      </c>
      <c r="L2242" s="3">
        <v>46137</v>
      </c>
      <c r="M2242" s="1" t="s">
        <v>6852</v>
      </c>
      <c r="N2242" s="1" t="s">
        <v>6851</v>
      </c>
    </row>
    <row r="2243" spans="1:14" s="1" customFormat="1" x14ac:dyDescent="0.35">
      <c r="A2243" s="1" t="s">
        <v>5216</v>
      </c>
      <c r="B2243" s="1" t="s">
        <v>4201</v>
      </c>
      <c r="C2243" s="1" t="s">
        <v>4397</v>
      </c>
      <c r="D2243" s="1" t="s">
        <v>6850</v>
      </c>
      <c r="E2243" s="1" t="str">
        <f>"2340"</f>
        <v>2340</v>
      </c>
      <c r="F2243" s="1" t="s">
        <v>84</v>
      </c>
      <c r="G2243" s="1" t="s">
        <v>85</v>
      </c>
      <c r="H2243" s="1" t="s">
        <v>16</v>
      </c>
      <c r="I2243" s="4" t="str">
        <f>"1"</f>
        <v>1</v>
      </c>
      <c r="J2243" s="2">
        <v>31905.14</v>
      </c>
      <c r="K2243" s="3">
        <v>46139</v>
      </c>
      <c r="L2243" s="3">
        <v>46139</v>
      </c>
      <c r="M2243" s="1" t="s">
        <v>5608</v>
      </c>
      <c r="N2243" s="1" t="s">
        <v>6769</v>
      </c>
    </row>
    <row r="2244" spans="1:14" s="1" customFormat="1" x14ac:dyDescent="0.35">
      <c r="A2244" s="1" t="s">
        <v>0</v>
      </c>
      <c r="B2244" s="1" t="s">
        <v>4201</v>
      </c>
      <c r="C2244" s="1" t="s">
        <v>4275</v>
      </c>
      <c r="D2244" s="1" t="s">
        <v>6849</v>
      </c>
      <c r="E2244" s="1" t="str">
        <f>"4210"</f>
        <v>4210</v>
      </c>
      <c r="F2244" s="1" t="str">
        <f>"010262567"</f>
        <v>010262567</v>
      </c>
      <c r="G2244" s="1" t="s">
        <v>2225</v>
      </c>
      <c r="H2244" s="1" t="s">
        <v>16</v>
      </c>
      <c r="I2244" s="4" t="str">
        <f>"1"</f>
        <v>1</v>
      </c>
      <c r="J2244" s="2" t="str">
        <f>"39222"</f>
        <v>39222</v>
      </c>
      <c r="K2244" s="3">
        <v>46137</v>
      </c>
      <c r="L2244" s="3">
        <v>46139</v>
      </c>
      <c r="M2244" s="1" t="s">
        <v>6848</v>
      </c>
      <c r="N2244" s="1" t="s">
        <v>6847</v>
      </c>
    </row>
    <row r="2245" spans="1:14" s="1" customFormat="1" x14ac:dyDescent="0.35">
      <c r="A2245" s="1" t="s">
        <v>0</v>
      </c>
      <c r="B2245" s="1" t="s">
        <v>4201</v>
      </c>
      <c r="C2245" s="1" t="s">
        <v>4297</v>
      </c>
      <c r="D2245" s="1" t="s">
        <v>6846</v>
      </c>
      <c r="E2245" s="1" t="str">
        <f>"2410"</f>
        <v>2410</v>
      </c>
      <c r="F2245" s="1" t="str">
        <f>"004511003"</f>
        <v>004511003</v>
      </c>
      <c r="G2245" s="1" t="s">
        <v>989</v>
      </c>
      <c r="H2245" s="1" t="s">
        <v>16</v>
      </c>
      <c r="I2245" s="4" t="str">
        <f>"1"</f>
        <v>1</v>
      </c>
      <c r="J2245" s="2" t="str">
        <f>"190189"</f>
        <v>190189</v>
      </c>
      <c r="K2245" s="3">
        <v>46139</v>
      </c>
      <c r="L2245" s="3">
        <v>46139</v>
      </c>
      <c r="M2245" s="1" t="s">
        <v>6824</v>
      </c>
      <c r="N2245" s="1" t="s">
        <v>6845</v>
      </c>
    </row>
    <row r="2246" spans="1:14" s="1" customFormat="1" x14ac:dyDescent="0.35">
      <c r="A2246" s="1" t="s">
        <v>0</v>
      </c>
      <c r="B2246" s="1" t="s">
        <v>4201</v>
      </c>
      <c r="C2246" s="1" t="s">
        <v>4308</v>
      </c>
      <c r="D2246" s="1" t="s">
        <v>6844</v>
      </c>
      <c r="E2246" s="1" t="str">
        <f>"2340"</f>
        <v>2340</v>
      </c>
      <c r="F2246" s="1" t="s">
        <v>84</v>
      </c>
      <c r="G2246" s="1" t="s">
        <v>85</v>
      </c>
      <c r="H2246" s="1" t="s">
        <v>16</v>
      </c>
      <c r="I2246" s="4" t="str">
        <f>"1"</f>
        <v>1</v>
      </c>
      <c r="J2246" s="2">
        <v>31905.14</v>
      </c>
      <c r="K2246" s="3">
        <v>46137</v>
      </c>
      <c r="L2246" s="3">
        <v>46139</v>
      </c>
      <c r="M2246" s="1" t="s">
        <v>6843</v>
      </c>
      <c r="N2246" s="1" t="s">
        <v>6776</v>
      </c>
    </row>
    <row r="2247" spans="1:14" s="1" customFormat="1" x14ac:dyDescent="0.35">
      <c r="A2247" s="1" t="s">
        <v>0</v>
      </c>
      <c r="B2247" s="1" t="s">
        <v>4201</v>
      </c>
      <c r="C2247" s="1" t="s">
        <v>4308</v>
      </c>
      <c r="D2247" s="1" t="s">
        <v>6842</v>
      </c>
      <c r="E2247" s="1" t="str">
        <f>"2340"</f>
        <v>2340</v>
      </c>
      <c r="F2247" s="1" t="s">
        <v>84</v>
      </c>
      <c r="G2247" s="1" t="s">
        <v>85</v>
      </c>
      <c r="H2247" s="1" t="s">
        <v>16</v>
      </c>
      <c r="I2247" s="4" t="str">
        <f>"1"</f>
        <v>1</v>
      </c>
      <c r="J2247" s="2">
        <v>31905.14</v>
      </c>
      <c r="K2247" s="3">
        <v>46137</v>
      </c>
      <c r="L2247" s="3">
        <v>46139</v>
      </c>
      <c r="M2247" s="1" t="s">
        <v>6824</v>
      </c>
      <c r="N2247" s="1" t="s">
        <v>6776</v>
      </c>
    </row>
    <row r="2248" spans="1:14" s="1" customFormat="1" x14ac:dyDescent="0.35">
      <c r="A2248" s="1" t="s">
        <v>0</v>
      </c>
      <c r="B2248" s="1" t="s">
        <v>4201</v>
      </c>
      <c r="C2248" s="1" t="s">
        <v>4308</v>
      </c>
      <c r="D2248" s="1" t="s">
        <v>6841</v>
      </c>
      <c r="E2248" s="1" t="str">
        <f>"2340"</f>
        <v>2340</v>
      </c>
      <c r="F2248" s="1" t="s">
        <v>84</v>
      </c>
      <c r="G2248" s="1" t="s">
        <v>85</v>
      </c>
      <c r="H2248" s="1" t="s">
        <v>16</v>
      </c>
      <c r="I2248" s="4" t="str">
        <f>"1"</f>
        <v>1</v>
      </c>
      <c r="J2248" s="2">
        <v>31905.14</v>
      </c>
      <c r="K2248" s="3">
        <v>46137</v>
      </c>
      <c r="L2248" s="3">
        <v>46139</v>
      </c>
      <c r="M2248" s="1" t="s">
        <v>6827</v>
      </c>
      <c r="N2248" s="1" t="s">
        <v>6776</v>
      </c>
    </row>
    <row r="2249" spans="1:14" s="1" customFormat="1" x14ac:dyDescent="0.35">
      <c r="A2249" s="1" t="s">
        <v>0</v>
      </c>
      <c r="B2249" s="1" t="s">
        <v>4201</v>
      </c>
      <c r="C2249" s="1" t="s">
        <v>4308</v>
      </c>
      <c r="D2249" s="1" t="s">
        <v>6840</v>
      </c>
      <c r="E2249" s="1" t="str">
        <f>"3805"</f>
        <v>3805</v>
      </c>
      <c r="F2249" s="1" t="s">
        <v>384</v>
      </c>
      <c r="G2249" s="1" t="s">
        <v>385</v>
      </c>
      <c r="H2249" s="1" t="s">
        <v>16</v>
      </c>
      <c r="I2249" s="4" t="str">
        <f>"1"</f>
        <v>1</v>
      </c>
      <c r="J2249" s="2" t="str">
        <f>"52222"</f>
        <v>52222</v>
      </c>
      <c r="K2249" s="3">
        <v>46137</v>
      </c>
      <c r="L2249" s="3">
        <v>46139</v>
      </c>
      <c r="M2249" s="1" t="s">
        <v>6837</v>
      </c>
      <c r="N2249" s="1" t="s">
        <v>6839</v>
      </c>
    </row>
    <row r="2250" spans="1:14" s="1" customFormat="1" x14ac:dyDescent="0.35">
      <c r="A2250" s="1" t="s">
        <v>0</v>
      </c>
      <c r="B2250" s="1" t="s">
        <v>4201</v>
      </c>
      <c r="C2250" s="1" t="s">
        <v>4308</v>
      </c>
      <c r="D2250" s="1" t="s">
        <v>6838</v>
      </c>
      <c r="E2250" s="1" t="str">
        <f>"2320"</f>
        <v>2320</v>
      </c>
      <c r="F2250" s="1" t="str">
        <f>"010907892"</f>
        <v>010907892</v>
      </c>
      <c r="G2250" s="1" t="s">
        <v>271</v>
      </c>
      <c r="H2250" s="1" t="s">
        <v>16</v>
      </c>
      <c r="I2250" s="4" t="str">
        <f>"1"</f>
        <v>1</v>
      </c>
      <c r="J2250" s="2" t="str">
        <f>"23000"</f>
        <v>23000</v>
      </c>
      <c r="K2250" s="3">
        <v>46137</v>
      </c>
      <c r="L2250" s="3">
        <v>46139</v>
      </c>
      <c r="M2250" s="1" t="s">
        <v>6837</v>
      </c>
      <c r="N2250" s="1" t="s">
        <v>6836</v>
      </c>
    </row>
    <row r="2251" spans="1:14" s="1" customFormat="1" x14ac:dyDescent="0.35">
      <c r="A2251" s="1" t="s">
        <v>0</v>
      </c>
      <c r="B2251" s="1" t="s">
        <v>4201</v>
      </c>
      <c r="C2251" s="1" t="s">
        <v>4344</v>
      </c>
      <c r="D2251" s="1" t="s">
        <v>6835</v>
      </c>
      <c r="E2251" s="1" t="str">
        <f>"2320"</f>
        <v>2320</v>
      </c>
      <c r="F2251" s="1" t="s">
        <v>2218</v>
      </c>
      <c r="G2251" s="1" t="s">
        <v>2219</v>
      </c>
      <c r="H2251" s="1" t="s">
        <v>16</v>
      </c>
      <c r="I2251" s="4" t="str">
        <f>"1"</f>
        <v>1</v>
      </c>
      <c r="J2251" s="2" t="str">
        <f>"10000"</f>
        <v>10000</v>
      </c>
      <c r="K2251" s="3">
        <v>46138</v>
      </c>
      <c r="L2251" s="3">
        <v>46139</v>
      </c>
      <c r="M2251" s="1" t="s">
        <v>6403</v>
      </c>
      <c r="N2251" s="1" t="s">
        <v>6834</v>
      </c>
    </row>
    <row r="2252" spans="1:14" s="1" customFormat="1" x14ac:dyDescent="0.35">
      <c r="A2252" s="1" t="s">
        <v>0</v>
      </c>
      <c r="B2252" s="1" t="s">
        <v>4201</v>
      </c>
      <c r="C2252" s="1" t="s">
        <v>4389</v>
      </c>
      <c r="D2252" s="1" t="s">
        <v>6833</v>
      </c>
      <c r="E2252" s="1" t="str">
        <f>"3805"</f>
        <v>3805</v>
      </c>
      <c r="F2252" s="1" t="str">
        <f>"012575636"</f>
        <v>012575636</v>
      </c>
      <c r="G2252" s="1" t="s">
        <v>132</v>
      </c>
      <c r="H2252" s="1" t="s">
        <v>16</v>
      </c>
      <c r="I2252" s="4" t="str">
        <f>"1"</f>
        <v>1</v>
      </c>
      <c r="J2252" s="2" t="str">
        <f>"37532"</f>
        <v>37532</v>
      </c>
      <c r="K2252" s="3">
        <v>46139</v>
      </c>
      <c r="L2252" s="3">
        <v>46139</v>
      </c>
      <c r="M2252" s="1" t="s">
        <v>6827</v>
      </c>
      <c r="N2252" s="1" t="s">
        <v>6832</v>
      </c>
    </row>
    <row r="2253" spans="1:14" s="1" customFormat="1" x14ac:dyDescent="0.35">
      <c r="A2253" s="1" t="s">
        <v>0</v>
      </c>
      <c r="B2253" s="1" t="s">
        <v>4201</v>
      </c>
      <c r="C2253" s="1" t="s">
        <v>4397</v>
      </c>
      <c r="D2253" s="1" t="s">
        <v>6831</v>
      </c>
      <c r="E2253" s="1" t="str">
        <f>"3805"</f>
        <v>3805</v>
      </c>
      <c r="F2253" s="1" t="str">
        <f>"012575636"</f>
        <v>012575636</v>
      </c>
      <c r="G2253" s="1" t="s">
        <v>132</v>
      </c>
      <c r="H2253" s="1" t="s">
        <v>16</v>
      </c>
      <c r="I2253" s="4" t="str">
        <f>"1"</f>
        <v>1</v>
      </c>
      <c r="J2253" s="2" t="str">
        <f>"37532"</f>
        <v>37532</v>
      </c>
      <c r="K2253" s="3">
        <v>46139</v>
      </c>
      <c r="L2253" s="3">
        <v>46139</v>
      </c>
      <c r="M2253" s="1" t="s">
        <v>6827</v>
      </c>
      <c r="N2253" s="1" t="s">
        <v>6830</v>
      </c>
    </row>
    <row r="2254" spans="1:14" s="1" customFormat="1" x14ac:dyDescent="0.35">
      <c r="A2254" s="1" t="s">
        <v>0</v>
      </c>
      <c r="B2254" s="1" t="s">
        <v>4201</v>
      </c>
      <c r="C2254" s="1" t="s">
        <v>4397</v>
      </c>
      <c r="D2254" s="1" t="s">
        <v>6829</v>
      </c>
      <c r="E2254" s="1" t="str">
        <f>"2340"</f>
        <v>2340</v>
      </c>
      <c r="F2254" s="1" t="s">
        <v>84</v>
      </c>
      <c r="G2254" s="1" t="s">
        <v>85</v>
      </c>
      <c r="H2254" s="1" t="s">
        <v>16</v>
      </c>
      <c r="I2254" s="4" t="str">
        <f>"1"</f>
        <v>1</v>
      </c>
      <c r="J2254" s="2">
        <v>31905.14</v>
      </c>
      <c r="K2254" s="3">
        <v>46139</v>
      </c>
      <c r="L2254" s="3">
        <v>46139</v>
      </c>
      <c r="M2254" s="1" t="s">
        <v>6824</v>
      </c>
      <c r="N2254" s="1" t="s">
        <v>6766</v>
      </c>
    </row>
    <row r="2255" spans="1:14" s="1" customFormat="1" x14ac:dyDescent="0.35">
      <c r="A2255" s="1" t="s">
        <v>0</v>
      </c>
      <c r="B2255" s="1" t="s">
        <v>4201</v>
      </c>
      <c r="C2255" s="1" t="s">
        <v>4397</v>
      </c>
      <c r="D2255" s="1" t="s">
        <v>6828</v>
      </c>
      <c r="E2255" s="1" t="str">
        <f>"2340"</f>
        <v>2340</v>
      </c>
      <c r="F2255" s="1" t="s">
        <v>84</v>
      </c>
      <c r="G2255" s="1" t="s">
        <v>85</v>
      </c>
      <c r="H2255" s="1" t="s">
        <v>16</v>
      </c>
      <c r="I2255" s="4" t="str">
        <f>"1"</f>
        <v>1</v>
      </c>
      <c r="J2255" s="2">
        <v>31905.14</v>
      </c>
      <c r="K2255" s="3">
        <v>46139</v>
      </c>
      <c r="L2255" s="3">
        <v>46139</v>
      </c>
      <c r="M2255" s="1" t="s">
        <v>6827</v>
      </c>
      <c r="N2255" s="1" t="s">
        <v>6766</v>
      </c>
    </row>
    <row r="2256" spans="1:14" s="1" customFormat="1" x14ac:dyDescent="0.35">
      <c r="A2256" s="1" t="s">
        <v>0</v>
      </c>
      <c r="B2256" s="1" t="s">
        <v>4201</v>
      </c>
      <c r="C2256" s="1" t="s">
        <v>4397</v>
      </c>
      <c r="D2256" s="1" t="s">
        <v>6826</v>
      </c>
      <c r="E2256" s="1" t="str">
        <f>"2340"</f>
        <v>2340</v>
      </c>
      <c r="F2256" s="1" t="s">
        <v>84</v>
      </c>
      <c r="G2256" s="1" t="s">
        <v>85</v>
      </c>
      <c r="H2256" s="1" t="s">
        <v>16</v>
      </c>
      <c r="I2256" s="4" t="str">
        <f>"1"</f>
        <v>1</v>
      </c>
      <c r="J2256" s="2">
        <v>31905.14</v>
      </c>
      <c r="K2256" s="3">
        <v>46139</v>
      </c>
      <c r="L2256" s="3">
        <v>46139</v>
      </c>
      <c r="M2256" s="1" t="s">
        <v>6824</v>
      </c>
      <c r="N2256" s="1" t="s">
        <v>6766</v>
      </c>
    </row>
    <row r="2257" spans="1:14" s="1" customFormat="1" x14ac:dyDescent="0.35">
      <c r="A2257" s="1" t="s">
        <v>0</v>
      </c>
      <c r="B2257" s="1" t="s">
        <v>4201</v>
      </c>
      <c r="C2257" s="1" t="s">
        <v>4422</v>
      </c>
      <c r="D2257" s="1" t="s">
        <v>6825</v>
      </c>
      <c r="E2257" s="1" t="str">
        <f>"2340"</f>
        <v>2340</v>
      </c>
      <c r="F2257" s="1" t="s">
        <v>84</v>
      </c>
      <c r="G2257" s="1" t="s">
        <v>85</v>
      </c>
      <c r="H2257" s="1" t="s">
        <v>16</v>
      </c>
      <c r="I2257" s="4" t="str">
        <f>"1"</f>
        <v>1</v>
      </c>
      <c r="J2257" s="2">
        <v>31905.14</v>
      </c>
      <c r="K2257" s="3">
        <v>46139</v>
      </c>
      <c r="L2257" s="3">
        <v>46139</v>
      </c>
      <c r="M2257" s="1" t="s">
        <v>6824</v>
      </c>
      <c r="N2257" s="1" t="s">
        <v>6763</v>
      </c>
    </row>
    <row r="2258" spans="1:14" s="1" customFormat="1" x14ac:dyDescent="0.35">
      <c r="A2258" s="1" t="s">
        <v>5171</v>
      </c>
      <c r="B2258" s="1" t="s">
        <v>4201</v>
      </c>
      <c r="C2258" s="1" t="s">
        <v>4383</v>
      </c>
      <c r="D2258" s="1" t="s">
        <v>6823</v>
      </c>
      <c r="E2258" s="1" t="str">
        <f>"2320"</f>
        <v>2320</v>
      </c>
      <c r="F2258" s="1" t="str">
        <f>"007529289"</f>
        <v>007529289</v>
      </c>
      <c r="G2258" s="1" t="s">
        <v>271</v>
      </c>
      <c r="H2258" s="1" t="s">
        <v>16</v>
      </c>
      <c r="I2258" s="4" t="str">
        <f>"1"</f>
        <v>1</v>
      </c>
      <c r="J2258" s="2" t="str">
        <f>"4202"</f>
        <v>4202</v>
      </c>
      <c r="K2258" s="3">
        <v>46124</v>
      </c>
      <c r="L2258" s="3">
        <v>46139</v>
      </c>
      <c r="M2258" s="1" t="s">
        <v>6822</v>
      </c>
      <c r="N2258" s="1" t="s">
        <v>6821</v>
      </c>
    </row>
    <row r="2259" spans="1:14" s="1" customFormat="1" x14ac:dyDescent="0.35">
      <c r="A2259" s="1" t="s">
        <v>5216</v>
      </c>
      <c r="B2259" s="1" t="s">
        <v>4201</v>
      </c>
      <c r="C2259" s="1" t="s">
        <v>4275</v>
      </c>
      <c r="D2259" s="1" t="s">
        <v>6820</v>
      </c>
      <c r="E2259" s="1" t="str">
        <f>"1240"</f>
        <v>1240</v>
      </c>
      <c r="F2259" s="1" t="s">
        <v>1800</v>
      </c>
      <c r="G2259" s="1" t="s">
        <v>1801</v>
      </c>
      <c r="H2259" s="1" t="s">
        <v>16</v>
      </c>
      <c r="I2259" s="4" t="str">
        <f>"4"</f>
        <v>4</v>
      </c>
      <c r="J2259" s="2" t="str">
        <f>"2499"</f>
        <v>2499</v>
      </c>
      <c r="K2259" s="3">
        <v>46139</v>
      </c>
      <c r="L2259" s="3">
        <v>46140</v>
      </c>
      <c r="M2259" s="1" t="s">
        <v>6819</v>
      </c>
      <c r="N2259" s="1" t="s">
        <v>6818</v>
      </c>
    </row>
    <row r="2260" spans="1:14" s="1" customFormat="1" x14ac:dyDescent="0.35">
      <c r="A2260" s="1" t="s">
        <v>5171</v>
      </c>
      <c r="B2260" s="1" t="s">
        <v>4201</v>
      </c>
      <c r="C2260" s="1" t="s">
        <v>4275</v>
      </c>
      <c r="D2260" s="1" t="s">
        <v>6817</v>
      </c>
      <c r="E2260" s="1" t="str">
        <f>"6910"</f>
        <v>6910</v>
      </c>
      <c r="F2260" s="1" t="s">
        <v>1124</v>
      </c>
      <c r="G2260" s="1" t="s">
        <v>1125</v>
      </c>
      <c r="H2260" s="1" t="s">
        <v>16</v>
      </c>
      <c r="I2260" s="4" t="str">
        <f>"2"</f>
        <v>2</v>
      </c>
      <c r="J2260" s="2" t="str">
        <f>"6080"</f>
        <v>6080</v>
      </c>
      <c r="K2260" s="3">
        <v>46111</v>
      </c>
      <c r="L2260" s="3">
        <v>46140</v>
      </c>
      <c r="M2260" s="1" t="s">
        <v>6816</v>
      </c>
      <c r="N2260" s="1" t="s">
        <v>6815</v>
      </c>
    </row>
    <row r="2261" spans="1:14" s="1" customFormat="1" x14ac:dyDescent="0.35">
      <c r="A2261" s="1" t="s">
        <v>5171</v>
      </c>
      <c r="B2261" s="1" t="s">
        <v>4201</v>
      </c>
      <c r="C2261" s="1" t="s">
        <v>4275</v>
      </c>
      <c r="D2261" s="1" t="s">
        <v>6814</v>
      </c>
      <c r="E2261" s="1" t="str">
        <f>"2320"</f>
        <v>2320</v>
      </c>
      <c r="F2261" s="1" t="s">
        <v>971</v>
      </c>
      <c r="G2261" s="1" t="s">
        <v>972</v>
      </c>
      <c r="H2261" s="1" t="s">
        <v>16</v>
      </c>
      <c r="I2261" s="4" t="str">
        <f>"1"</f>
        <v>1</v>
      </c>
      <c r="J2261" s="2" t="str">
        <f>"30000"</f>
        <v>30000</v>
      </c>
      <c r="K2261" s="3">
        <v>46137</v>
      </c>
      <c r="L2261" s="3">
        <v>46140</v>
      </c>
      <c r="M2261" s="1" t="s">
        <v>5167</v>
      </c>
      <c r="N2261" s="1" t="s">
        <v>6813</v>
      </c>
    </row>
    <row r="2262" spans="1:14" s="1" customFormat="1" x14ac:dyDescent="0.35">
      <c r="A2262" s="1" t="s">
        <v>5171</v>
      </c>
      <c r="B2262" s="1" t="s">
        <v>4201</v>
      </c>
      <c r="C2262" s="1" t="s">
        <v>4380</v>
      </c>
      <c r="D2262" s="1" t="s">
        <v>6812</v>
      </c>
      <c r="E2262" s="1" t="str">
        <f>"2320"</f>
        <v>2320</v>
      </c>
      <c r="F2262" s="1" t="str">
        <f>"015959568"</f>
        <v>015959568</v>
      </c>
      <c r="G2262" s="1" t="s">
        <v>5404</v>
      </c>
      <c r="H2262" s="1" t="s">
        <v>16</v>
      </c>
      <c r="I2262" s="4" t="str">
        <f>"1"</f>
        <v>1</v>
      </c>
      <c r="J2262" s="2" t="str">
        <f>"31613"</f>
        <v>31613</v>
      </c>
      <c r="K2262" s="3">
        <v>46130</v>
      </c>
      <c r="L2262" s="3">
        <v>46140</v>
      </c>
      <c r="M2262" s="1" t="s">
        <v>6811</v>
      </c>
      <c r="N2262" s="1" t="s">
        <v>6810</v>
      </c>
    </row>
    <row r="2263" spans="1:14" s="1" customFormat="1" x14ac:dyDescent="0.35">
      <c r="A2263" s="1" t="s">
        <v>5171</v>
      </c>
      <c r="B2263" s="1" t="s">
        <v>4201</v>
      </c>
      <c r="C2263" s="1" t="s">
        <v>4428</v>
      </c>
      <c r="D2263" s="1" t="s">
        <v>6809</v>
      </c>
      <c r="E2263" s="1" t="str">
        <f>"3805"</f>
        <v>3805</v>
      </c>
      <c r="F2263" s="1" t="str">
        <f>"012575636"</f>
        <v>012575636</v>
      </c>
      <c r="G2263" s="1" t="s">
        <v>132</v>
      </c>
      <c r="H2263" s="1" t="s">
        <v>16</v>
      </c>
      <c r="I2263" s="4" t="str">
        <f>"1"</f>
        <v>1</v>
      </c>
      <c r="J2263" s="2" t="str">
        <f>"37532"</f>
        <v>37532</v>
      </c>
      <c r="K2263" s="3">
        <v>46139</v>
      </c>
      <c r="L2263" s="3">
        <v>46140</v>
      </c>
      <c r="M2263" s="1" t="s">
        <v>6808</v>
      </c>
      <c r="N2263" s="1" t="s">
        <v>6807</v>
      </c>
    </row>
    <row r="2264" spans="1:14" s="1" customFormat="1" x14ac:dyDescent="0.35">
      <c r="A2264" s="1" t="s">
        <v>5230</v>
      </c>
      <c r="B2264" s="1" t="s">
        <v>4201</v>
      </c>
      <c r="C2264" s="1" t="s">
        <v>4389</v>
      </c>
      <c r="D2264" s="1" t="s">
        <v>6806</v>
      </c>
      <c r="E2264" s="1" t="str">
        <f>"2320"</f>
        <v>2320</v>
      </c>
      <c r="F2264" s="1" t="str">
        <f>"012157631"</f>
        <v>012157631</v>
      </c>
      <c r="G2264" s="1" t="s">
        <v>360</v>
      </c>
      <c r="H2264" s="1" t="s">
        <v>16</v>
      </c>
      <c r="I2264" s="4" t="str">
        <f>"1"</f>
        <v>1</v>
      </c>
      <c r="J2264" s="2" t="str">
        <f>"33082"</f>
        <v>33082</v>
      </c>
      <c r="K2264" s="3">
        <v>46141</v>
      </c>
      <c r="L2264" s="3">
        <v>46141</v>
      </c>
      <c r="N2264" s="1" t="s">
        <v>4391</v>
      </c>
    </row>
    <row r="2265" spans="1:14" s="1" customFormat="1" x14ac:dyDescent="0.35">
      <c r="A2265" s="1" t="s">
        <v>5171</v>
      </c>
      <c r="B2265" s="1" t="s">
        <v>4201</v>
      </c>
      <c r="C2265" s="1" t="s">
        <v>4210</v>
      </c>
      <c r="D2265" s="1" t="s">
        <v>6805</v>
      </c>
      <c r="E2265" s="1" t="str">
        <f>"2340"</f>
        <v>2340</v>
      </c>
      <c r="F2265" s="1" t="s">
        <v>61</v>
      </c>
      <c r="G2265" s="1" t="s">
        <v>62</v>
      </c>
      <c r="H2265" s="1" t="s">
        <v>16</v>
      </c>
      <c r="I2265" s="4" t="str">
        <f>"1"</f>
        <v>1</v>
      </c>
      <c r="J2265" s="2">
        <v>6659.75</v>
      </c>
      <c r="K2265" s="3">
        <v>46113</v>
      </c>
      <c r="L2265" s="3">
        <v>46141</v>
      </c>
      <c r="M2265" s="1" t="s">
        <v>6804</v>
      </c>
      <c r="N2265" s="1" t="s">
        <v>6803</v>
      </c>
    </row>
    <row r="2266" spans="1:14" s="1" customFormat="1" x14ac:dyDescent="0.35">
      <c r="A2266" s="1" t="s">
        <v>5171</v>
      </c>
      <c r="B2266" s="1" t="s">
        <v>4201</v>
      </c>
      <c r="C2266" s="1" t="s">
        <v>4308</v>
      </c>
      <c r="D2266" s="1" t="s">
        <v>6802</v>
      </c>
      <c r="E2266" s="1" t="str">
        <f>"8150"</f>
        <v>8150</v>
      </c>
      <c r="F2266" s="1" t="str">
        <f>"014886545"</f>
        <v>014886545</v>
      </c>
      <c r="G2266" s="1" t="s">
        <v>117</v>
      </c>
      <c r="H2266" s="1" t="s">
        <v>16</v>
      </c>
      <c r="I2266" s="4" t="str">
        <f>"1"</f>
        <v>1</v>
      </c>
      <c r="J2266" s="2">
        <v>11267.94</v>
      </c>
      <c r="K2266" s="3">
        <v>46137</v>
      </c>
      <c r="L2266" s="3">
        <v>46141</v>
      </c>
      <c r="M2266" s="1" t="s">
        <v>6801</v>
      </c>
      <c r="N2266" s="1" t="s">
        <v>6794</v>
      </c>
    </row>
    <row r="2267" spans="1:14" s="1" customFormat="1" x14ac:dyDescent="0.35">
      <c r="A2267" s="1" t="s">
        <v>5171</v>
      </c>
      <c r="B2267" s="1" t="s">
        <v>4201</v>
      </c>
      <c r="C2267" s="1" t="s">
        <v>4308</v>
      </c>
      <c r="D2267" s="1" t="s">
        <v>6800</v>
      </c>
      <c r="E2267" s="1" t="str">
        <f>"8150"</f>
        <v>8150</v>
      </c>
      <c r="F2267" s="1" t="str">
        <f>"014839121"</f>
        <v>014839121</v>
      </c>
      <c r="G2267" s="1" t="s">
        <v>117</v>
      </c>
      <c r="H2267" s="1" t="s">
        <v>16</v>
      </c>
      <c r="I2267" s="4" t="str">
        <f>"1"</f>
        <v>1</v>
      </c>
      <c r="J2267" s="2">
        <v>7028.48</v>
      </c>
      <c r="K2267" s="3">
        <v>46137</v>
      </c>
      <c r="L2267" s="3">
        <v>46141</v>
      </c>
      <c r="M2267" s="1" t="s">
        <v>6799</v>
      </c>
      <c r="N2267" s="1" t="s">
        <v>6794</v>
      </c>
    </row>
    <row r="2268" spans="1:14" s="1" customFormat="1" x14ac:dyDescent="0.35">
      <c r="A2268" s="1" t="s">
        <v>5171</v>
      </c>
      <c r="B2268" s="1" t="s">
        <v>4201</v>
      </c>
      <c r="C2268" s="1" t="s">
        <v>4308</v>
      </c>
      <c r="D2268" s="1" t="s">
        <v>6798</v>
      </c>
      <c r="E2268" s="1" t="str">
        <f>"8150"</f>
        <v>8150</v>
      </c>
      <c r="F2268" s="1" t="str">
        <f>"014886545"</f>
        <v>014886545</v>
      </c>
      <c r="G2268" s="1" t="s">
        <v>117</v>
      </c>
      <c r="H2268" s="1" t="s">
        <v>16</v>
      </c>
      <c r="I2268" s="4" t="str">
        <f>"1"</f>
        <v>1</v>
      </c>
      <c r="J2268" s="2">
        <v>11267.94</v>
      </c>
      <c r="K2268" s="3">
        <v>46137</v>
      </c>
      <c r="L2268" s="3">
        <v>46141</v>
      </c>
      <c r="M2268" s="1" t="s">
        <v>6797</v>
      </c>
      <c r="N2268" s="1" t="s">
        <v>6794</v>
      </c>
    </row>
    <row r="2269" spans="1:14" s="1" customFormat="1" x14ac:dyDescent="0.35">
      <c r="A2269" s="1" t="s">
        <v>5171</v>
      </c>
      <c r="B2269" s="1" t="s">
        <v>4201</v>
      </c>
      <c r="C2269" s="1" t="s">
        <v>4308</v>
      </c>
      <c r="D2269" s="1" t="s">
        <v>6796</v>
      </c>
      <c r="E2269" s="1" t="str">
        <f>"8150"</f>
        <v>8150</v>
      </c>
      <c r="F2269" s="1" t="str">
        <f>"014886545"</f>
        <v>014886545</v>
      </c>
      <c r="G2269" s="1" t="s">
        <v>117</v>
      </c>
      <c r="H2269" s="1" t="s">
        <v>16</v>
      </c>
      <c r="I2269" s="4" t="str">
        <f>"1"</f>
        <v>1</v>
      </c>
      <c r="J2269" s="2">
        <v>11267.94</v>
      </c>
      <c r="K2269" s="3">
        <v>46137</v>
      </c>
      <c r="L2269" s="3">
        <v>46141</v>
      </c>
      <c r="M2269" s="1" t="s">
        <v>6795</v>
      </c>
      <c r="N2269" s="1" t="s">
        <v>6794</v>
      </c>
    </row>
    <row r="2270" spans="1:14" s="1" customFormat="1" x14ac:dyDescent="0.35">
      <c r="A2270" s="1" t="s">
        <v>5171</v>
      </c>
      <c r="B2270" s="1" t="s">
        <v>4201</v>
      </c>
      <c r="C2270" s="1" t="s">
        <v>4235</v>
      </c>
      <c r="D2270" s="1" t="s">
        <v>6793</v>
      </c>
      <c r="E2270" s="1" t="str">
        <f>"2340"</f>
        <v>2340</v>
      </c>
      <c r="F2270" s="1" t="s">
        <v>84</v>
      </c>
      <c r="G2270" s="1" t="s">
        <v>85</v>
      </c>
      <c r="H2270" s="1" t="s">
        <v>16</v>
      </c>
      <c r="I2270" s="4" t="str">
        <f>"1"</f>
        <v>1</v>
      </c>
      <c r="J2270" s="2">
        <v>31905.14</v>
      </c>
      <c r="K2270" s="3">
        <v>46137</v>
      </c>
      <c r="L2270" s="3">
        <v>46143</v>
      </c>
      <c r="M2270" s="1" t="s">
        <v>6792</v>
      </c>
      <c r="N2270" s="1" t="s">
        <v>6791</v>
      </c>
    </row>
    <row r="2271" spans="1:14" s="1" customFormat="1" x14ac:dyDescent="0.35">
      <c r="A2271" s="1" t="s">
        <v>5171</v>
      </c>
      <c r="B2271" s="1" t="s">
        <v>4201</v>
      </c>
      <c r="C2271" s="1" t="s">
        <v>4248</v>
      </c>
      <c r="D2271" s="1" t="s">
        <v>6790</v>
      </c>
      <c r="E2271" s="1" t="str">
        <f>"3805"</f>
        <v>3805</v>
      </c>
      <c r="F2271" s="1" t="s">
        <v>384</v>
      </c>
      <c r="G2271" s="1" t="s">
        <v>385</v>
      </c>
      <c r="H2271" s="1" t="s">
        <v>16</v>
      </c>
      <c r="I2271" s="4" t="str">
        <f>"1"</f>
        <v>1</v>
      </c>
      <c r="J2271" s="2" t="str">
        <f>"52222"</f>
        <v>52222</v>
      </c>
      <c r="K2271" s="3">
        <v>46137</v>
      </c>
      <c r="L2271" s="3">
        <v>46143</v>
      </c>
      <c r="M2271" s="1" t="s">
        <v>6789</v>
      </c>
      <c r="N2271" s="1" t="s">
        <v>6788</v>
      </c>
    </row>
    <row r="2272" spans="1:14" s="1" customFormat="1" x14ac:dyDescent="0.35">
      <c r="A2272" s="1" t="s">
        <v>5171</v>
      </c>
      <c r="B2272" s="1" t="s">
        <v>4201</v>
      </c>
      <c r="C2272" s="1" t="s">
        <v>6620</v>
      </c>
      <c r="D2272" s="1" t="s">
        <v>6787</v>
      </c>
      <c r="E2272" s="1" t="str">
        <f>"2340"</f>
        <v>2340</v>
      </c>
      <c r="F2272" s="1" t="s">
        <v>84</v>
      </c>
      <c r="G2272" s="1" t="s">
        <v>85</v>
      </c>
      <c r="H2272" s="1" t="s">
        <v>16</v>
      </c>
      <c r="I2272" s="4" t="str">
        <f>"1"</f>
        <v>1</v>
      </c>
      <c r="J2272" s="2">
        <v>31905.14</v>
      </c>
      <c r="K2272" s="3">
        <v>46139</v>
      </c>
      <c r="L2272" s="3">
        <v>46143</v>
      </c>
      <c r="M2272" s="1" t="s">
        <v>6786</v>
      </c>
      <c r="N2272" s="1" t="s">
        <v>6785</v>
      </c>
    </row>
    <row r="2273" spans="1:14" s="1" customFormat="1" x14ac:dyDescent="0.35">
      <c r="A2273" s="1" t="s">
        <v>5171</v>
      </c>
      <c r="B2273" s="1" t="s">
        <v>4201</v>
      </c>
      <c r="C2273" s="1" t="s">
        <v>6620</v>
      </c>
      <c r="D2273" s="1" t="s">
        <v>6784</v>
      </c>
      <c r="E2273" s="1" t="str">
        <f>"2340"</f>
        <v>2340</v>
      </c>
      <c r="F2273" s="1" t="s">
        <v>84</v>
      </c>
      <c r="G2273" s="1" t="s">
        <v>85</v>
      </c>
      <c r="H2273" s="1" t="s">
        <v>16</v>
      </c>
      <c r="I2273" s="4" t="str">
        <f>"1"</f>
        <v>1</v>
      </c>
      <c r="J2273" s="2">
        <v>31905.14</v>
      </c>
      <c r="K2273" s="3">
        <v>46139</v>
      </c>
      <c r="L2273" s="3">
        <v>46143</v>
      </c>
      <c r="M2273" s="1" t="s">
        <v>6783</v>
      </c>
      <c r="N2273" s="1" t="s">
        <v>6782</v>
      </c>
    </row>
    <row r="2274" spans="1:14" s="1" customFormat="1" x14ac:dyDescent="0.35">
      <c r="A2274" s="1" t="s">
        <v>5171</v>
      </c>
      <c r="B2274" s="1" t="s">
        <v>4201</v>
      </c>
      <c r="C2274" s="1" t="s">
        <v>4275</v>
      </c>
      <c r="D2274" s="1" t="s">
        <v>6781</v>
      </c>
      <c r="E2274" s="1" t="str">
        <f>"3805"</f>
        <v>3805</v>
      </c>
      <c r="F2274" s="1" t="s">
        <v>384</v>
      </c>
      <c r="G2274" s="1" t="s">
        <v>385</v>
      </c>
      <c r="H2274" s="1" t="s">
        <v>16</v>
      </c>
      <c r="I2274" s="4" t="str">
        <f>"1"</f>
        <v>1</v>
      </c>
      <c r="J2274" s="2" t="str">
        <f>"52222"</f>
        <v>52222</v>
      </c>
      <c r="K2274" s="3">
        <v>46137</v>
      </c>
      <c r="L2274" s="3">
        <v>46143</v>
      </c>
      <c r="M2274" s="1" t="s">
        <v>6780</v>
      </c>
      <c r="N2274" s="1" t="s">
        <v>6779</v>
      </c>
    </row>
    <row r="2275" spans="1:14" s="1" customFormat="1" x14ac:dyDescent="0.35">
      <c r="A2275" s="1" t="s">
        <v>5171</v>
      </c>
      <c r="B2275" s="1" t="s">
        <v>4201</v>
      </c>
      <c r="C2275" s="1" t="s">
        <v>4308</v>
      </c>
      <c r="D2275" s="1" t="s">
        <v>6778</v>
      </c>
      <c r="E2275" s="1" t="str">
        <f>"2340"</f>
        <v>2340</v>
      </c>
      <c r="F2275" s="1" t="s">
        <v>84</v>
      </c>
      <c r="G2275" s="1" t="s">
        <v>85</v>
      </c>
      <c r="H2275" s="1" t="s">
        <v>16</v>
      </c>
      <c r="I2275" s="4" t="str">
        <f>"1"</f>
        <v>1</v>
      </c>
      <c r="J2275" s="2">
        <v>31905.14</v>
      </c>
      <c r="K2275" s="3">
        <v>46137</v>
      </c>
      <c r="L2275" s="3">
        <v>46143</v>
      </c>
      <c r="M2275" s="1" t="s">
        <v>6777</v>
      </c>
      <c r="N2275" s="1" t="s">
        <v>6776</v>
      </c>
    </row>
    <row r="2276" spans="1:14" s="1" customFormat="1" x14ac:dyDescent="0.35">
      <c r="A2276" s="1" t="s">
        <v>5171</v>
      </c>
      <c r="B2276" s="1" t="s">
        <v>4201</v>
      </c>
      <c r="C2276" s="1" t="s">
        <v>4397</v>
      </c>
      <c r="D2276" s="1" t="s">
        <v>6775</v>
      </c>
      <c r="E2276" s="1" t="str">
        <f>"2340"</f>
        <v>2340</v>
      </c>
      <c r="F2276" s="1" t="s">
        <v>84</v>
      </c>
      <c r="G2276" s="1" t="s">
        <v>85</v>
      </c>
      <c r="H2276" s="1" t="s">
        <v>16</v>
      </c>
      <c r="I2276" s="4" t="str">
        <f>"1"</f>
        <v>1</v>
      </c>
      <c r="J2276" s="2">
        <v>31905.14</v>
      </c>
      <c r="K2276" s="3">
        <v>46139</v>
      </c>
      <c r="L2276" s="3">
        <v>46143</v>
      </c>
      <c r="M2276" s="1" t="s">
        <v>6774</v>
      </c>
      <c r="N2276" s="1" t="s">
        <v>6769</v>
      </c>
    </row>
    <row r="2277" spans="1:14" s="1" customFormat="1" x14ac:dyDescent="0.35">
      <c r="A2277" s="1" t="s">
        <v>5171</v>
      </c>
      <c r="B2277" s="1" t="s">
        <v>4201</v>
      </c>
      <c r="C2277" s="1" t="s">
        <v>4397</v>
      </c>
      <c r="D2277" s="1" t="s">
        <v>6773</v>
      </c>
      <c r="E2277" s="1" t="str">
        <f>"2340"</f>
        <v>2340</v>
      </c>
      <c r="F2277" s="1" t="s">
        <v>84</v>
      </c>
      <c r="G2277" s="1" t="s">
        <v>85</v>
      </c>
      <c r="H2277" s="1" t="s">
        <v>16</v>
      </c>
      <c r="I2277" s="4" t="str">
        <f>"1"</f>
        <v>1</v>
      </c>
      <c r="J2277" s="2">
        <v>31905.14</v>
      </c>
      <c r="K2277" s="3">
        <v>46139</v>
      </c>
      <c r="L2277" s="3">
        <v>46143</v>
      </c>
      <c r="M2277" s="1" t="s">
        <v>6772</v>
      </c>
      <c r="N2277" s="1" t="s">
        <v>6769</v>
      </c>
    </row>
    <row r="2278" spans="1:14" s="1" customFormat="1" x14ac:dyDescent="0.35">
      <c r="A2278" s="1" t="s">
        <v>5171</v>
      </c>
      <c r="B2278" s="1" t="s">
        <v>4201</v>
      </c>
      <c r="C2278" s="1" t="s">
        <v>4397</v>
      </c>
      <c r="D2278" s="1" t="s">
        <v>6771</v>
      </c>
      <c r="E2278" s="1" t="str">
        <f>"2340"</f>
        <v>2340</v>
      </c>
      <c r="F2278" s="1" t="s">
        <v>84</v>
      </c>
      <c r="G2278" s="1" t="s">
        <v>85</v>
      </c>
      <c r="H2278" s="1" t="s">
        <v>16</v>
      </c>
      <c r="I2278" s="4" t="str">
        <f>"1"</f>
        <v>1</v>
      </c>
      <c r="J2278" s="2">
        <v>31905.14</v>
      </c>
      <c r="K2278" s="3">
        <v>46139</v>
      </c>
      <c r="L2278" s="3">
        <v>46143</v>
      </c>
      <c r="M2278" s="1" t="s">
        <v>6770</v>
      </c>
      <c r="N2278" s="1" t="s">
        <v>6769</v>
      </c>
    </row>
    <row r="2279" spans="1:14" s="1" customFormat="1" x14ac:dyDescent="0.35">
      <c r="A2279" s="1" t="s">
        <v>5171</v>
      </c>
      <c r="B2279" s="1" t="s">
        <v>4201</v>
      </c>
      <c r="C2279" s="1" t="s">
        <v>4397</v>
      </c>
      <c r="D2279" s="1" t="s">
        <v>6768</v>
      </c>
      <c r="E2279" s="1" t="str">
        <f>"2340"</f>
        <v>2340</v>
      </c>
      <c r="F2279" s="1" t="s">
        <v>84</v>
      </c>
      <c r="G2279" s="1" t="s">
        <v>85</v>
      </c>
      <c r="H2279" s="1" t="s">
        <v>16</v>
      </c>
      <c r="I2279" s="4" t="str">
        <f>"1"</f>
        <v>1</v>
      </c>
      <c r="J2279" s="2">
        <v>31905.14</v>
      </c>
      <c r="K2279" s="3">
        <v>46139</v>
      </c>
      <c r="L2279" s="3">
        <v>46143</v>
      </c>
      <c r="M2279" s="1" t="s">
        <v>6767</v>
      </c>
      <c r="N2279" s="1" t="s">
        <v>6766</v>
      </c>
    </row>
    <row r="2280" spans="1:14" s="1" customFormat="1" x14ac:dyDescent="0.35">
      <c r="A2280" s="1" t="s">
        <v>5171</v>
      </c>
      <c r="B2280" s="1" t="s">
        <v>4201</v>
      </c>
      <c r="C2280" s="1" t="s">
        <v>4422</v>
      </c>
      <c r="D2280" s="1" t="s">
        <v>6765</v>
      </c>
      <c r="E2280" s="1" t="str">
        <f>"2340"</f>
        <v>2340</v>
      </c>
      <c r="F2280" s="1" t="s">
        <v>84</v>
      </c>
      <c r="G2280" s="1" t="s">
        <v>85</v>
      </c>
      <c r="H2280" s="1" t="s">
        <v>16</v>
      </c>
      <c r="I2280" s="4" t="str">
        <f>"1"</f>
        <v>1</v>
      </c>
      <c r="J2280" s="2">
        <v>31905.14</v>
      </c>
      <c r="K2280" s="3">
        <v>46139</v>
      </c>
      <c r="L2280" s="3">
        <v>46143</v>
      </c>
      <c r="M2280" s="1" t="s">
        <v>6764</v>
      </c>
      <c r="N2280" s="1" t="s">
        <v>6763</v>
      </c>
    </row>
    <row r="2281" spans="1:14" s="1" customFormat="1" x14ac:dyDescent="0.35">
      <c r="A2281" s="1" t="s">
        <v>5171</v>
      </c>
      <c r="B2281" s="1" t="s">
        <v>4201</v>
      </c>
      <c r="C2281" s="1" t="s">
        <v>4235</v>
      </c>
      <c r="D2281" s="1" t="s">
        <v>6762</v>
      </c>
      <c r="E2281" s="1" t="str">
        <f>"2320"</f>
        <v>2320</v>
      </c>
      <c r="F2281" s="1" t="s">
        <v>975</v>
      </c>
      <c r="G2281" s="1" t="s">
        <v>976</v>
      </c>
      <c r="H2281" s="1" t="s">
        <v>16</v>
      </c>
      <c r="I2281" s="4" t="str">
        <f>"1"</f>
        <v>1</v>
      </c>
      <c r="J2281" s="2" t="str">
        <f>"202199"</f>
        <v>202199</v>
      </c>
      <c r="K2281" s="3">
        <v>46130</v>
      </c>
      <c r="L2281" s="3">
        <v>46144</v>
      </c>
      <c r="M2281" s="1" t="s">
        <v>6761</v>
      </c>
      <c r="N2281" s="1" t="s">
        <v>6760</v>
      </c>
    </row>
    <row r="2282" spans="1:14" s="1" customFormat="1" x14ac:dyDescent="0.35">
      <c r="A2282" s="1" t="s">
        <v>5171</v>
      </c>
      <c r="B2282" s="1" t="s">
        <v>4201</v>
      </c>
      <c r="C2282" s="1" t="s">
        <v>4383</v>
      </c>
      <c r="D2282" s="1" t="s">
        <v>6759</v>
      </c>
      <c r="E2282" s="1" t="str">
        <f>"2310"</f>
        <v>2310</v>
      </c>
      <c r="F2282" s="1" t="s">
        <v>178</v>
      </c>
      <c r="G2282" s="1" t="s">
        <v>179</v>
      </c>
      <c r="H2282" s="1" t="s">
        <v>16</v>
      </c>
      <c r="I2282" s="4" t="str">
        <f>"1"</f>
        <v>1</v>
      </c>
      <c r="J2282" s="2" t="str">
        <f>"12554"</f>
        <v>12554</v>
      </c>
      <c r="K2282" s="3">
        <v>46130</v>
      </c>
      <c r="L2282" s="3">
        <v>46144</v>
      </c>
      <c r="M2282" s="1" t="s">
        <v>6758</v>
      </c>
      <c r="N2282" s="1" t="s">
        <v>6757</v>
      </c>
    </row>
    <row r="2283" spans="1:14" s="1" customFormat="1" x14ac:dyDescent="0.35">
      <c r="A2283" s="1" t="s">
        <v>5171</v>
      </c>
      <c r="B2283" s="1" t="s">
        <v>4201</v>
      </c>
      <c r="C2283" s="1" t="s">
        <v>4383</v>
      </c>
      <c r="D2283" s="1" t="s">
        <v>6756</v>
      </c>
      <c r="E2283" s="1" t="str">
        <f>"2320"</f>
        <v>2320</v>
      </c>
      <c r="F2283" s="1" t="str">
        <f>"010919076"</f>
        <v>010919076</v>
      </c>
      <c r="G2283" s="1" t="s">
        <v>2303</v>
      </c>
      <c r="H2283" s="1" t="s">
        <v>16</v>
      </c>
      <c r="I2283" s="4" t="str">
        <f>"1"</f>
        <v>1</v>
      </c>
      <c r="J2283" s="2" t="str">
        <f>"18044"</f>
        <v>18044</v>
      </c>
      <c r="K2283" s="3">
        <v>46130</v>
      </c>
      <c r="L2283" s="3">
        <v>46144</v>
      </c>
      <c r="M2283" s="1" t="s">
        <v>6755</v>
      </c>
      <c r="N2283" s="1" t="s">
        <v>6754</v>
      </c>
    </row>
    <row r="2284" spans="1:14" s="1" customFormat="1" x14ac:dyDescent="0.35">
      <c r="A2284" s="1" t="s">
        <v>5171</v>
      </c>
      <c r="B2284" s="1" t="s">
        <v>4201</v>
      </c>
      <c r="C2284" s="1" t="s">
        <v>4383</v>
      </c>
      <c r="D2284" s="1" t="s">
        <v>6753</v>
      </c>
      <c r="E2284" s="1" t="str">
        <f>"2330"</f>
        <v>2330</v>
      </c>
      <c r="F2284" s="1" t="s">
        <v>70</v>
      </c>
      <c r="G2284" s="1" t="s">
        <v>71</v>
      </c>
      <c r="H2284" s="1" t="s">
        <v>16</v>
      </c>
      <c r="I2284" s="4" t="str">
        <f>"1"</f>
        <v>1</v>
      </c>
      <c r="J2284" s="2" t="str">
        <f>"12000"</f>
        <v>12000</v>
      </c>
      <c r="K2284" s="3">
        <v>46130</v>
      </c>
      <c r="L2284" s="3">
        <v>46144</v>
      </c>
      <c r="M2284" s="1" t="s">
        <v>6752</v>
      </c>
      <c r="N2284" s="1" t="s">
        <v>6751</v>
      </c>
    </row>
    <row r="2285" spans="1:14" s="1" customFormat="1" x14ac:dyDescent="0.35">
      <c r="A2285" s="1" t="s">
        <v>0</v>
      </c>
      <c r="B2285" s="1" t="s">
        <v>4201</v>
      </c>
      <c r="C2285" s="1" t="s">
        <v>4225</v>
      </c>
      <c r="D2285" s="1" t="s">
        <v>6750</v>
      </c>
      <c r="E2285" s="1" t="str">
        <f>"2330"</f>
        <v>2330</v>
      </c>
      <c r="F2285" s="1" t="s">
        <v>70</v>
      </c>
      <c r="G2285" s="1" t="s">
        <v>71</v>
      </c>
      <c r="H2285" s="1" t="s">
        <v>16</v>
      </c>
      <c r="I2285" s="4" t="str">
        <f>"1"</f>
        <v>1</v>
      </c>
      <c r="J2285" s="2" t="str">
        <f>"9295"</f>
        <v>9295</v>
      </c>
      <c r="K2285" s="3">
        <v>46146</v>
      </c>
      <c r="L2285" s="3">
        <v>46146</v>
      </c>
      <c r="M2285" s="1" t="s">
        <v>6709</v>
      </c>
      <c r="N2285" s="1" t="s">
        <v>6661</v>
      </c>
    </row>
    <row r="2286" spans="1:14" s="1" customFormat="1" x14ac:dyDescent="0.35">
      <c r="A2286" s="1" t="s">
        <v>0</v>
      </c>
      <c r="B2286" s="1" t="s">
        <v>4201</v>
      </c>
      <c r="C2286" s="1" t="s">
        <v>4225</v>
      </c>
      <c r="D2286" s="1" t="s">
        <v>6749</v>
      </c>
      <c r="E2286" s="1" t="str">
        <f>"2330"</f>
        <v>2330</v>
      </c>
      <c r="F2286" s="1" t="s">
        <v>70</v>
      </c>
      <c r="G2286" s="1" t="s">
        <v>71</v>
      </c>
      <c r="H2286" s="1" t="s">
        <v>16</v>
      </c>
      <c r="I2286" s="4" t="str">
        <f>"2"</f>
        <v>2</v>
      </c>
      <c r="J2286" s="2" t="str">
        <f>"9295"</f>
        <v>9295</v>
      </c>
      <c r="K2286" s="3">
        <v>46146</v>
      </c>
      <c r="L2286" s="3">
        <v>46146</v>
      </c>
      <c r="M2286" s="1" t="s">
        <v>6709</v>
      </c>
      <c r="N2286" s="1" t="s">
        <v>6661</v>
      </c>
    </row>
    <row r="2287" spans="1:14" s="1" customFormat="1" x14ac:dyDescent="0.35">
      <c r="A2287" s="1" t="s">
        <v>0</v>
      </c>
      <c r="B2287" s="1" t="s">
        <v>4201</v>
      </c>
      <c r="C2287" s="1" t="s">
        <v>4308</v>
      </c>
      <c r="D2287" s="1" t="s">
        <v>6748</v>
      </c>
      <c r="E2287" s="1" t="str">
        <f>"3805"</f>
        <v>3805</v>
      </c>
      <c r="F2287" s="1" t="s">
        <v>384</v>
      </c>
      <c r="G2287" s="1" t="s">
        <v>385</v>
      </c>
      <c r="H2287" s="1" t="s">
        <v>16</v>
      </c>
      <c r="I2287" s="4" t="str">
        <f>"1"</f>
        <v>1</v>
      </c>
      <c r="J2287" s="2" t="str">
        <f>"30000"</f>
        <v>30000</v>
      </c>
      <c r="K2287" s="3">
        <v>46144</v>
      </c>
      <c r="L2287" s="3">
        <v>46146</v>
      </c>
      <c r="M2287" s="1" t="s">
        <v>6709</v>
      </c>
      <c r="N2287" s="1" t="s">
        <v>6747</v>
      </c>
    </row>
    <row r="2288" spans="1:14" s="1" customFormat="1" x14ac:dyDescent="0.35">
      <c r="A2288" s="1" t="s">
        <v>0</v>
      </c>
      <c r="B2288" s="1" t="s">
        <v>4201</v>
      </c>
      <c r="C2288" s="1" t="s">
        <v>4397</v>
      </c>
      <c r="D2288" s="1" t="s">
        <v>6746</v>
      </c>
      <c r="E2288" s="1" t="str">
        <f>"2320"</f>
        <v>2320</v>
      </c>
      <c r="F2288" s="1" t="str">
        <f>"015895221"</f>
        <v>015895221</v>
      </c>
      <c r="G2288" s="1" t="s">
        <v>4227</v>
      </c>
      <c r="H2288" s="1" t="s">
        <v>16</v>
      </c>
      <c r="I2288" s="4" t="str">
        <f>"1"</f>
        <v>1</v>
      </c>
      <c r="J2288" s="2" t="str">
        <f>"121000"</f>
        <v>121000</v>
      </c>
      <c r="K2288" s="3">
        <v>46144</v>
      </c>
      <c r="L2288" s="3">
        <v>46146</v>
      </c>
      <c r="M2288" s="1" t="s">
        <v>6709</v>
      </c>
      <c r="N2288" s="1" t="s">
        <v>4401</v>
      </c>
    </row>
    <row r="2289" spans="1:14" s="1" customFormat="1" x14ac:dyDescent="0.35">
      <c r="A2289" s="1" t="s">
        <v>0</v>
      </c>
      <c r="B2289" s="1" t="s">
        <v>4201</v>
      </c>
      <c r="C2289" s="1" t="s">
        <v>4397</v>
      </c>
      <c r="D2289" s="1" t="s">
        <v>6745</v>
      </c>
      <c r="E2289" s="1" t="str">
        <f>"2330"</f>
        <v>2330</v>
      </c>
      <c r="F2289" s="1" t="s">
        <v>70</v>
      </c>
      <c r="G2289" s="1" t="s">
        <v>71</v>
      </c>
      <c r="H2289" s="1" t="s">
        <v>16</v>
      </c>
      <c r="I2289" s="4" t="str">
        <f>"3"</f>
        <v>3</v>
      </c>
      <c r="J2289" s="2" t="str">
        <f>"9295"</f>
        <v>9295</v>
      </c>
      <c r="K2289" s="3">
        <v>46144</v>
      </c>
      <c r="L2289" s="3">
        <v>46146</v>
      </c>
      <c r="M2289" s="1" t="s">
        <v>6709</v>
      </c>
      <c r="N2289" s="1" t="s">
        <v>6744</v>
      </c>
    </row>
    <row r="2290" spans="1:14" s="1" customFormat="1" x14ac:dyDescent="0.35">
      <c r="A2290" s="1" t="s">
        <v>0</v>
      </c>
      <c r="B2290" s="1" t="s">
        <v>4201</v>
      </c>
      <c r="C2290" s="1" t="s">
        <v>4220</v>
      </c>
      <c r="D2290" s="1" t="s">
        <v>6743</v>
      </c>
      <c r="E2290" s="1" t="str">
        <f>"2310"</f>
        <v>2310</v>
      </c>
      <c r="F2290" s="1" t="s">
        <v>178</v>
      </c>
      <c r="G2290" s="1" t="s">
        <v>179</v>
      </c>
      <c r="H2290" s="1" t="s">
        <v>16</v>
      </c>
      <c r="I2290" s="4" t="str">
        <f>"1"</f>
        <v>1</v>
      </c>
      <c r="J2290" s="2" t="str">
        <f>"3000"</f>
        <v>3000</v>
      </c>
      <c r="K2290" s="3">
        <v>46147</v>
      </c>
      <c r="L2290" s="3">
        <v>46147</v>
      </c>
      <c r="M2290" s="1" t="s">
        <v>6742</v>
      </c>
      <c r="N2290" s="1" t="s">
        <v>6741</v>
      </c>
    </row>
    <row r="2291" spans="1:14" s="1" customFormat="1" x14ac:dyDescent="0.35">
      <c r="A2291" s="1" t="s">
        <v>0</v>
      </c>
      <c r="B2291" s="1" t="s">
        <v>4201</v>
      </c>
      <c r="C2291" s="1" t="s">
        <v>4339</v>
      </c>
      <c r="D2291" s="1" t="s">
        <v>6740</v>
      </c>
      <c r="E2291" s="1" t="str">
        <f>"2320"</f>
        <v>2320</v>
      </c>
      <c r="F2291" s="1" t="s">
        <v>975</v>
      </c>
      <c r="G2291" s="1" t="s">
        <v>976</v>
      </c>
      <c r="H2291" s="1" t="s">
        <v>16</v>
      </c>
      <c r="I2291" s="4" t="str">
        <f>"1"</f>
        <v>1</v>
      </c>
      <c r="J2291" s="2" t="str">
        <f>"75262"</f>
        <v>75262</v>
      </c>
      <c r="K2291" s="3">
        <v>46147</v>
      </c>
      <c r="L2291" s="3">
        <v>46148</v>
      </c>
      <c r="M2291" s="1" t="s">
        <v>6739</v>
      </c>
      <c r="N2291" s="1" t="s">
        <v>6738</v>
      </c>
    </row>
    <row r="2292" spans="1:14" s="1" customFormat="1" x14ac:dyDescent="0.35">
      <c r="A2292" s="1" t="s">
        <v>5171</v>
      </c>
      <c r="B2292" s="1" t="s">
        <v>4201</v>
      </c>
      <c r="C2292" s="1" t="s">
        <v>4213</v>
      </c>
      <c r="D2292" s="1" t="s">
        <v>6737</v>
      </c>
      <c r="E2292" s="1" t="str">
        <f>"2320"</f>
        <v>2320</v>
      </c>
      <c r="F2292" s="1" t="str">
        <f>"016961635"</f>
        <v>016961635</v>
      </c>
      <c r="G2292" s="1" t="s">
        <v>4227</v>
      </c>
      <c r="H2292" s="1" t="s">
        <v>16</v>
      </c>
      <c r="I2292" s="4" t="str">
        <f>"1"</f>
        <v>1</v>
      </c>
      <c r="J2292" s="2">
        <v>103722.27</v>
      </c>
      <c r="K2292" s="3">
        <v>46046</v>
      </c>
      <c r="L2292" s="3">
        <v>46149</v>
      </c>
      <c r="M2292" s="1" t="s">
        <v>6736</v>
      </c>
      <c r="N2292" s="1" t="s">
        <v>6735</v>
      </c>
    </row>
    <row r="2293" spans="1:14" s="1" customFormat="1" x14ac:dyDescent="0.35">
      <c r="A2293" s="1" t="s">
        <v>5171</v>
      </c>
      <c r="B2293" s="1" t="s">
        <v>4201</v>
      </c>
      <c r="C2293" s="1" t="s">
        <v>4275</v>
      </c>
      <c r="D2293" s="1" t="s">
        <v>6734</v>
      </c>
      <c r="E2293" s="1" t="str">
        <f>"8415"</f>
        <v>8415</v>
      </c>
      <c r="F2293" s="1" t="str">
        <f>"015386677"</f>
        <v>015386677</v>
      </c>
      <c r="G2293" s="1" t="s">
        <v>1988</v>
      </c>
      <c r="H2293" s="1" t="s">
        <v>16</v>
      </c>
      <c r="I2293" s="4" t="str">
        <f>"2"</f>
        <v>2</v>
      </c>
      <c r="J2293" s="2">
        <v>93.46</v>
      </c>
      <c r="K2293" s="3">
        <v>46119</v>
      </c>
      <c r="L2293" s="3">
        <v>46150</v>
      </c>
      <c r="M2293" s="1" t="s">
        <v>6733</v>
      </c>
      <c r="N2293" s="1" t="s">
        <v>6726</v>
      </c>
    </row>
    <row r="2294" spans="1:14" s="1" customFormat="1" x14ac:dyDescent="0.35">
      <c r="A2294" s="1" t="s">
        <v>5171</v>
      </c>
      <c r="B2294" s="1" t="s">
        <v>4201</v>
      </c>
      <c r="C2294" s="1" t="s">
        <v>4275</v>
      </c>
      <c r="D2294" s="1" t="s">
        <v>6732</v>
      </c>
      <c r="E2294" s="1" t="str">
        <f>"8415"</f>
        <v>8415</v>
      </c>
      <c r="F2294" s="1" t="str">
        <f>"015387761"</f>
        <v>015387761</v>
      </c>
      <c r="G2294" s="1" t="s">
        <v>1892</v>
      </c>
      <c r="H2294" s="1" t="s">
        <v>16</v>
      </c>
      <c r="I2294" s="4" t="str">
        <f>"3"</f>
        <v>3</v>
      </c>
      <c r="J2294" s="2">
        <v>111.26</v>
      </c>
      <c r="K2294" s="3">
        <v>46119</v>
      </c>
      <c r="L2294" s="3">
        <v>46150</v>
      </c>
      <c r="M2294" s="1" t="s">
        <v>6731</v>
      </c>
      <c r="N2294" s="1" t="s">
        <v>6726</v>
      </c>
    </row>
    <row r="2295" spans="1:14" s="1" customFormat="1" x14ac:dyDescent="0.35">
      <c r="A2295" s="1" t="s">
        <v>5171</v>
      </c>
      <c r="B2295" s="1" t="s">
        <v>4201</v>
      </c>
      <c r="C2295" s="1" t="s">
        <v>4275</v>
      </c>
      <c r="D2295" s="1" t="s">
        <v>6730</v>
      </c>
      <c r="E2295" s="1" t="str">
        <f>"8415"</f>
        <v>8415</v>
      </c>
      <c r="F2295" s="1" t="str">
        <f>"015387767"</f>
        <v>015387767</v>
      </c>
      <c r="G2295" s="1" t="s">
        <v>1892</v>
      </c>
      <c r="H2295" s="1" t="s">
        <v>16</v>
      </c>
      <c r="I2295" s="4" t="str">
        <f>"1"</f>
        <v>1</v>
      </c>
      <c r="J2295" s="2">
        <v>111.26</v>
      </c>
      <c r="K2295" s="3">
        <v>46119</v>
      </c>
      <c r="L2295" s="3">
        <v>46150</v>
      </c>
      <c r="M2295" s="1" t="s">
        <v>6729</v>
      </c>
      <c r="N2295" s="1" t="s">
        <v>6726</v>
      </c>
    </row>
    <row r="2296" spans="1:14" s="1" customFormat="1" x14ac:dyDescent="0.35">
      <c r="A2296" s="1" t="s">
        <v>5171</v>
      </c>
      <c r="B2296" s="1" t="s">
        <v>4201</v>
      </c>
      <c r="C2296" s="1" t="s">
        <v>4275</v>
      </c>
      <c r="D2296" s="1" t="s">
        <v>6728</v>
      </c>
      <c r="E2296" s="1" t="str">
        <f>"8415"</f>
        <v>8415</v>
      </c>
      <c r="F2296" s="1" t="str">
        <f>"015387767"</f>
        <v>015387767</v>
      </c>
      <c r="G2296" s="1" t="s">
        <v>1892</v>
      </c>
      <c r="H2296" s="1" t="s">
        <v>16</v>
      </c>
      <c r="I2296" s="4" t="str">
        <f>"1"</f>
        <v>1</v>
      </c>
      <c r="J2296" s="2">
        <v>111.26</v>
      </c>
      <c r="K2296" s="3">
        <v>46119</v>
      </c>
      <c r="L2296" s="3">
        <v>46150</v>
      </c>
      <c r="M2296" s="1" t="s">
        <v>6727</v>
      </c>
      <c r="N2296" s="1" t="s">
        <v>6726</v>
      </c>
    </row>
    <row r="2297" spans="1:14" s="1" customFormat="1" x14ac:dyDescent="0.35">
      <c r="A2297" s="1" t="s">
        <v>5171</v>
      </c>
      <c r="B2297" s="1" t="s">
        <v>4201</v>
      </c>
      <c r="C2297" s="1" t="s">
        <v>4248</v>
      </c>
      <c r="D2297" s="1" t="s">
        <v>6725</v>
      </c>
      <c r="E2297" s="1" t="str">
        <f>"3805"</f>
        <v>3805</v>
      </c>
      <c r="F2297" s="1" t="s">
        <v>384</v>
      </c>
      <c r="G2297" s="1" t="s">
        <v>385</v>
      </c>
      <c r="H2297" s="1" t="s">
        <v>16</v>
      </c>
      <c r="I2297" s="4" t="str">
        <f>"1"</f>
        <v>1</v>
      </c>
      <c r="J2297" s="2" t="str">
        <f>"30000"</f>
        <v>30000</v>
      </c>
      <c r="K2297" s="3">
        <v>46144</v>
      </c>
      <c r="L2297" s="3">
        <v>46151</v>
      </c>
      <c r="M2297" s="1" t="s">
        <v>6724</v>
      </c>
      <c r="N2297" s="1" t="s">
        <v>6723</v>
      </c>
    </row>
    <row r="2298" spans="1:14" s="1" customFormat="1" x14ac:dyDescent="0.35">
      <c r="A2298" s="1" t="s">
        <v>5171</v>
      </c>
      <c r="B2298" s="1" t="s">
        <v>4201</v>
      </c>
      <c r="C2298" s="1" t="s">
        <v>4272</v>
      </c>
      <c r="D2298" s="1" t="s">
        <v>6722</v>
      </c>
      <c r="E2298" s="1" t="str">
        <f>"2320"</f>
        <v>2320</v>
      </c>
      <c r="F2298" s="1" t="s">
        <v>2218</v>
      </c>
      <c r="G2298" s="1" t="s">
        <v>2219</v>
      </c>
      <c r="H2298" s="1" t="s">
        <v>16</v>
      </c>
      <c r="I2298" s="4" t="str">
        <f>"1"</f>
        <v>1</v>
      </c>
      <c r="J2298" s="2" t="str">
        <f>"10000"</f>
        <v>10000</v>
      </c>
      <c r="K2298" s="3">
        <v>46137</v>
      </c>
      <c r="L2298" s="3">
        <v>46151</v>
      </c>
      <c r="M2298" s="1" t="s">
        <v>6721</v>
      </c>
      <c r="N2298" s="1" t="s">
        <v>6720</v>
      </c>
    </row>
    <row r="2299" spans="1:14" s="1" customFormat="1" x14ac:dyDescent="0.35">
      <c r="A2299" s="1" t="s">
        <v>5171</v>
      </c>
      <c r="B2299" s="1" t="s">
        <v>4201</v>
      </c>
      <c r="C2299" s="1" t="s">
        <v>4308</v>
      </c>
      <c r="D2299" s="1" t="s">
        <v>6719</v>
      </c>
      <c r="E2299" s="1" t="str">
        <f>"3805"</f>
        <v>3805</v>
      </c>
      <c r="F2299" s="1" t="str">
        <f>"004381483"</f>
        <v>004381483</v>
      </c>
      <c r="G2299" s="1" t="s">
        <v>101</v>
      </c>
      <c r="H2299" s="1" t="s">
        <v>16</v>
      </c>
      <c r="I2299" s="4" t="str">
        <f>"1"</f>
        <v>1</v>
      </c>
      <c r="J2299" s="2" t="str">
        <f>"175000"</f>
        <v>175000</v>
      </c>
      <c r="K2299" s="3">
        <v>46137</v>
      </c>
      <c r="L2299" s="3">
        <v>46151</v>
      </c>
      <c r="M2299" s="1" t="s">
        <v>6718</v>
      </c>
      <c r="N2299" s="1" t="s">
        <v>6717</v>
      </c>
    </row>
    <row r="2300" spans="1:14" s="1" customFormat="1" x14ac:dyDescent="0.35">
      <c r="A2300" s="1" t="s">
        <v>5171</v>
      </c>
      <c r="B2300" s="1" t="s">
        <v>4201</v>
      </c>
      <c r="C2300" s="1" t="s">
        <v>4339</v>
      </c>
      <c r="D2300" s="1" t="s">
        <v>6716</v>
      </c>
      <c r="E2300" s="1" t="str">
        <f>"2340"</f>
        <v>2340</v>
      </c>
      <c r="F2300" s="1" t="s">
        <v>61</v>
      </c>
      <c r="G2300" s="1" t="s">
        <v>62</v>
      </c>
      <c r="H2300" s="1" t="s">
        <v>16</v>
      </c>
      <c r="I2300" s="4" t="str">
        <f>"1"</f>
        <v>1</v>
      </c>
      <c r="J2300" s="2">
        <v>18348.04</v>
      </c>
      <c r="K2300" s="3">
        <v>46141</v>
      </c>
      <c r="L2300" s="3">
        <v>46151</v>
      </c>
      <c r="M2300" s="1" t="s">
        <v>6715</v>
      </c>
      <c r="N2300" s="1" t="s">
        <v>6714</v>
      </c>
    </row>
    <row r="2301" spans="1:14" s="1" customFormat="1" x14ac:dyDescent="0.35">
      <c r="A2301" s="1" t="s">
        <v>0</v>
      </c>
      <c r="B2301" s="1" t="s">
        <v>4201</v>
      </c>
      <c r="C2301" s="1" t="s">
        <v>4248</v>
      </c>
      <c r="D2301" s="1" t="s">
        <v>6713</v>
      </c>
      <c r="E2301" s="1" t="str">
        <f>"2320"</f>
        <v>2320</v>
      </c>
      <c r="F2301" s="1" t="str">
        <f>"014074416"</f>
        <v>014074416</v>
      </c>
      <c r="G2301" s="1" t="s">
        <v>4227</v>
      </c>
      <c r="H2301" s="1" t="s">
        <v>16</v>
      </c>
      <c r="I2301" s="4" t="str">
        <f>"1"</f>
        <v>1</v>
      </c>
      <c r="J2301" s="2" t="str">
        <f>"114012"</f>
        <v>114012</v>
      </c>
      <c r="K2301" s="3">
        <v>46151</v>
      </c>
      <c r="L2301" s="3">
        <v>46153</v>
      </c>
      <c r="M2301" s="1" t="s">
        <v>6712</v>
      </c>
      <c r="N2301" s="1" t="s">
        <v>6711</v>
      </c>
    </row>
    <row r="2302" spans="1:14" s="1" customFormat="1" x14ac:dyDescent="0.35">
      <c r="A2302" s="1" t="s">
        <v>0</v>
      </c>
      <c r="B2302" s="1" t="s">
        <v>4201</v>
      </c>
      <c r="C2302" s="1" t="s">
        <v>4308</v>
      </c>
      <c r="D2302" s="1" t="s">
        <v>6710</v>
      </c>
      <c r="E2302" s="1" t="str">
        <f>"2320"</f>
        <v>2320</v>
      </c>
      <c r="F2302" s="1" t="str">
        <f>"010907782"</f>
        <v>010907782</v>
      </c>
      <c r="G2302" s="1" t="s">
        <v>4227</v>
      </c>
      <c r="H2302" s="1" t="s">
        <v>16</v>
      </c>
      <c r="I2302" s="4" t="str">
        <f>"1"</f>
        <v>1</v>
      </c>
      <c r="J2302" s="2" t="str">
        <f>"30485"</f>
        <v>30485</v>
      </c>
      <c r="K2302" s="3">
        <v>46151</v>
      </c>
      <c r="L2302" s="3">
        <v>46154</v>
      </c>
      <c r="M2302" s="1" t="s">
        <v>6709</v>
      </c>
      <c r="N2302" s="1" t="s">
        <v>6708</v>
      </c>
    </row>
    <row r="2303" spans="1:14" s="1" customFormat="1" x14ac:dyDescent="0.35">
      <c r="A2303" s="1" t="s">
        <v>5171</v>
      </c>
      <c r="B2303" s="1" t="s">
        <v>4201</v>
      </c>
      <c r="C2303" s="1" t="s">
        <v>4248</v>
      </c>
      <c r="D2303" s="1" t="s">
        <v>6707</v>
      </c>
      <c r="E2303" s="1" t="str">
        <f>"2320"</f>
        <v>2320</v>
      </c>
      <c r="F2303" s="1" t="str">
        <f>"015895221"</f>
        <v>015895221</v>
      </c>
      <c r="G2303" s="1" t="s">
        <v>4227</v>
      </c>
      <c r="H2303" s="1" t="s">
        <v>16</v>
      </c>
      <c r="I2303" s="4" t="str">
        <f>"1"</f>
        <v>1</v>
      </c>
      <c r="J2303" s="2" t="str">
        <f>"121000"</f>
        <v>121000</v>
      </c>
      <c r="K2303" s="3">
        <v>46144</v>
      </c>
      <c r="L2303" s="3">
        <v>46154</v>
      </c>
      <c r="M2303" s="1" t="s">
        <v>6706</v>
      </c>
      <c r="N2303" s="1" t="s">
        <v>6705</v>
      </c>
    </row>
    <row r="2304" spans="1:14" s="1" customFormat="1" x14ac:dyDescent="0.35">
      <c r="A2304" s="1" t="s">
        <v>5171</v>
      </c>
      <c r="B2304" s="1" t="s">
        <v>4201</v>
      </c>
      <c r="C2304" s="1" t="s">
        <v>4275</v>
      </c>
      <c r="D2304" s="1" t="s">
        <v>6704</v>
      </c>
      <c r="E2304" s="1" t="str">
        <f>"5855"</f>
        <v>5855</v>
      </c>
      <c r="F2304" s="1" t="str">
        <f>"015357127"</f>
        <v>015357127</v>
      </c>
      <c r="G2304" s="1" t="s">
        <v>6703</v>
      </c>
      <c r="H2304" s="1" t="s">
        <v>16</v>
      </c>
      <c r="I2304" s="4" t="str">
        <f>"1"</f>
        <v>1</v>
      </c>
      <c r="J2304" s="2" t="str">
        <f>"9990"</f>
        <v>9990</v>
      </c>
      <c r="K2304" s="3">
        <v>46151</v>
      </c>
      <c r="L2304" s="3">
        <v>46154</v>
      </c>
      <c r="M2304" s="1" t="s">
        <v>5167</v>
      </c>
      <c r="N2304" s="1" t="s">
        <v>6702</v>
      </c>
    </row>
    <row r="2305" spans="1:14" s="1" customFormat="1" x14ac:dyDescent="0.35">
      <c r="A2305" s="1" t="s">
        <v>5171</v>
      </c>
      <c r="B2305" s="1" t="s">
        <v>4201</v>
      </c>
      <c r="C2305" s="1" t="s">
        <v>4397</v>
      </c>
      <c r="D2305" s="1" t="s">
        <v>6701</v>
      </c>
      <c r="E2305" s="1" t="str">
        <f>"2320"</f>
        <v>2320</v>
      </c>
      <c r="F2305" s="1" t="str">
        <f>"015895221"</f>
        <v>015895221</v>
      </c>
      <c r="G2305" s="1" t="s">
        <v>4227</v>
      </c>
      <c r="H2305" s="1" t="s">
        <v>16</v>
      </c>
      <c r="I2305" s="4" t="str">
        <f>"1"</f>
        <v>1</v>
      </c>
      <c r="J2305" s="2" t="str">
        <f>"121000"</f>
        <v>121000</v>
      </c>
      <c r="K2305" s="3">
        <v>46144</v>
      </c>
      <c r="L2305" s="3">
        <v>46154</v>
      </c>
      <c r="M2305" s="1" t="s">
        <v>6700</v>
      </c>
      <c r="N2305" s="1" t="s">
        <v>4401</v>
      </c>
    </row>
    <row r="2306" spans="1:14" s="1" customFormat="1" x14ac:dyDescent="0.35">
      <c r="A2306" s="1" t="s">
        <v>5171</v>
      </c>
      <c r="B2306" s="1" t="s">
        <v>4201</v>
      </c>
      <c r="C2306" s="1" t="s">
        <v>4202</v>
      </c>
      <c r="D2306" s="1" t="s">
        <v>6699</v>
      </c>
      <c r="E2306" s="1" t="str">
        <f>"2310"</f>
        <v>2310</v>
      </c>
      <c r="F2306" s="1" t="s">
        <v>178</v>
      </c>
      <c r="G2306" s="1" t="s">
        <v>179</v>
      </c>
      <c r="H2306" s="1" t="s">
        <v>16</v>
      </c>
      <c r="I2306" s="4" t="str">
        <f>"1"</f>
        <v>1</v>
      </c>
      <c r="J2306" s="2" t="str">
        <f>"15000"</f>
        <v>15000</v>
      </c>
      <c r="K2306" s="3">
        <v>46103</v>
      </c>
      <c r="L2306" s="3">
        <v>46155</v>
      </c>
      <c r="M2306" s="1" t="s">
        <v>6698</v>
      </c>
      <c r="N2306" s="1" t="s">
        <v>6697</v>
      </c>
    </row>
    <row r="2307" spans="1:14" s="1" customFormat="1" x14ac:dyDescent="0.35">
      <c r="A2307" s="1" t="s">
        <v>5171</v>
      </c>
      <c r="B2307" s="1" t="s">
        <v>4201</v>
      </c>
      <c r="C2307" s="1" t="s">
        <v>4220</v>
      </c>
      <c r="D2307" s="1" t="s">
        <v>6696</v>
      </c>
      <c r="E2307" s="1" t="str">
        <f>"1550"</f>
        <v>1550</v>
      </c>
      <c r="F2307" s="1" t="s">
        <v>199</v>
      </c>
      <c r="G2307" s="1" t="s">
        <v>200</v>
      </c>
      <c r="H2307" s="1" t="s">
        <v>16</v>
      </c>
      <c r="I2307" s="4" t="str">
        <f>"2"</f>
        <v>2</v>
      </c>
      <c r="J2307" s="2">
        <v>12602.94</v>
      </c>
      <c r="K2307" s="3">
        <v>46150</v>
      </c>
      <c r="L2307" s="3">
        <v>46155</v>
      </c>
      <c r="M2307" s="1" t="s">
        <v>6695</v>
      </c>
      <c r="N2307" s="1" t="s">
        <v>6694</v>
      </c>
    </row>
    <row r="2308" spans="1:14" s="1" customFormat="1" x14ac:dyDescent="0.35">
      <c r="A2308" s="1" t="s">
        <v>5171</v>
      </c>
      <c r="B2308" s="1" t="s">
        <v>4201</v>
      </c>
      <c r="C2308" s="1" t="s">
        <v>4220</v>
      </c>
      <c r="D2308" s="1" t="s">
        <v>6693</v>
      </c>
      <c r="E2308" s="1" t="str">
        <f>"1550"</f>
        <v>1550</v>
      </c>
      <c r="F2308" s="1" t="s">
        <v>199</v>
      </c>
      <c r="G2308" s="1" t="s">
        <v>200</v>
      </c>
      <c r="H2308" s="1" t="s">
        <v>16</v>
      </c>
      <c r="I2308" s="4" t="str">
        <f>"3"</f>
        <v>3</v>
      </c>
      <c r="J2308" s="2">
        <v>12827.65</v>
      </c>
      <c r="K2308" s="3">
        <v>46150</v>
      </c>
      <c r="L2308" s="3">
        <v>46155</v>
      </c>
      <c r="M2308" s="1" t="s">
        <v>6692</v>
      </c>
      <c r="N2308" s="1" t="s">
        <v>6691</v>
      </c>
    </row>
    <row r="2309" spans="1:14" s="1" customFormat="1" x14ac:dyDescent="0.35">
      <c r="A2309" s="1" t="s">
        <v>5171</v>
      </c>
      <c r="B2309" s="1" t="s">
        <v>4201</v>
      </c>
      <c r="C2309" s="1" t="s">
        <v>4248</v>
      </c>
      <c r="D2309" s="1" t="s">
        <v>6690</v>
      </c>
      <c r="E2309" s="1" t="str">
        <f>"2320"</f>
        <v>2320</v>
      </c>
      <c r="F2309" s="1" t="str">
        <f>"010907782"</f>
        <v>010907782</v>
      </c>
      <c r="G2309" s="1" t="s">
        <v>4227</v>
      </c>
      <c r="H2309" s="1" t="s">
        <v>16</v>
      </c>
      <c r="I2309" s="4" t="str">
        <f>"1"</f>
        <v>1</v>
      </c>
      <c r="J2309" s="2" t="str">
        <f>"30485"</f>
        <v>30485</v>
      </c>
      <c r="K2309" s="3">
        <v>46151</v>
      </c>
      <c r="L2309" s="3">
        <v>46155</v>
      </c>
      <c r="M2309" s="1" t="s">
        <v>6689</v>
      </c>
      <c r="N2309" s="1" t="s">
        <v>6688</v>
      </c>
    </row>
    <row r="2310" spans="1:14" s="1" customFormat="1" x14ac:dyDescent="0.35">
      <c r="A2310" s="1" t="s">
        <v>5171</v>
      </c>
      <c r="B2310" s="1" t="s">
        <v>4201</v>
      </c>
      <c r="C2310" s="1" t="s">
        <v>4272</v>
      </c>
      <c r="D2310" s="1" t="s">
        <v>6687</v>
      </c>
      <c r="E2310" s="1" t="str">
        <f>"1550"</f>
        <v>1550</v>
      </c>
      <c r="F2310" s="1" t="s">
        <v>199</v>
      </c>
      <c r="G2310" s="1" t="s">
        <v>200</v>
      </c>
      <c r="H2310" s="1" t="s">
        <v>16</v>
      </c>
      <c r="I2310" s="4" t="str">
        <f>"5"</f>
        <v>5</v>
      </c>
      <c r="J2310" s="2">
        <v>12827.65</v>
      </c>
      <c r="K2310" s="3">
        <v>46151</v>
      </c>
      <c r="L2310" s="3">
        <v>46155</v>
      </c>
      <c r="M2310" s="1" t="s">
        <v>5167</v>
      </c>
      <c r="N2310" s="1" t="s">
        <v>6686</v>
      </c>
    </row>
    <row r="2311" spans="1:14" s="1" customFormat="1" x14ac:dyDescent="0.35">
      <c r="A2311" s="1" t="s">
        <v>5171</v>
      </c>
      <c r="B2311" s="1" t="s">
        <v>4201</v>
      </c>
      <c r="C2311" s="1" t="s">
        <v>4275</v>
      </c>
      <c r="D2311" s="1" t="s">
        <v>6685</v>
      </c>
      <c r="E2311" s="1" t="str">
        <f>"6650"</f>
        <v>6650</v>
      </c>
      <c r="F2311" s="1" t="str">
        <f>"009739533"</f>
        <v>009739533</v>
      </c>
      <c r="G2311" s="1" t="s">
        <v>6684</v>
      </c>
      <c r="H2311" s="1" t="s">
        <v>16</v>
      </c>
      <c r="I2311" s="4" t="str">
        <f>"1"</f>
        <v>1</v>
      </c>
      <c r="J2311" s="2">
        <v>1189.5</v>
      </c>
      <c r="K2311" s="3">
        <v>46153</v>
      </c>
      <c r="L2311" s="3">
        <v>46155</v>
      </c>
      <c r="M2311" s="1" t="s">
        <v>6683</v>
      </c>
      <c r="N2311" s="1" t="s">
        <v>6682</v>
      </c>
    </row>
    <row r="2312" spans="1:14" s="1" customFormat="1" x14ac:dyDescent="0.35">
      <c r="A2312" s="1" t="s">
        <v>5171</v>
      </c>
      <c r="B2312" s="1" t="s">
        <v>4201</v>
      </c>
      <c r="C2312" s="1" t="s">
        <v>4308</v>
      </c>
      <c r="D2312" s="1" t="s">
        <v>6681</v>
      </c>
      <c r="E2312" s="1" t="str">
        <f>"8145"</f>
        <v>8145</v>
      </c>
      <c r="F2312" s="1" t="s">
        <v>6680</v>
      </c>
      <c r="G2312" s="1" t="s">
        <v>6679</v>
      </c>
      <c r="H2312" s="1" t="s">
        <v>16</v>
      </c>
      <c r="I2312" s="4" t="str">
        <f>"10"</f>
        <v>10</v>
      </c>
      <c r="J2312" s="2" t="str">
        <f>"1000"</f>
        <v>1000</v>
      </c>
      <c r="K2312" s="3">
        <v>46130</v>
      </c>
      <c r="L2312" s="3">
        <v>46155</v>
      </c>
      <c r="M2312" s="1" t="s">
        <v>6678</v>
      </c>
      <c r="N2312" s="1" t="s">
        <v>6677</v>
      </c>
    </row>
    <row r="2313" spans="1:14" s="1" customFormat="1" x14ac:dyDescent="0.35">
      <c r="A2313" s="1" t="s">
        <v>5171</v>
      </c>
      <c r="B2313" s="1" t="s">
        <v>4201</v>
      </c>
      <c r="C2313" s="1" t="s">
        <v>6620</v>
      </c>
      <c r="D2313" s="1" t="s">
        <v>6676</v>
      </c>
      <c r="E2313" s="1" t="str">
        <f>"7025"</f>
        <v>7025</v>
      </c>
      <c r="F2313" s="1" t="s">
        <v>6675</v>
      </c>
      <c r="G2313" s="1" t="s">
        <v>6674</v>
      </c>
      <c r="H2313" s="1" t="s">
        <v>16</v>
      </c>
      <c r="I2313" s="4" t="str">
        <f>"9"</f>
        <v>9</v>
      </c>
      <c r="J2313" s="2">
        <v>269.73</v>
      </c>
      <c r="K2313" s="3">
        <v>46154</v>
      </c>
      <c r="L2313" s="3">
        <v>46156</v>
      </c>
      <c r="M2313" s="1" t="s">
        <v>6673</v>
      </c>
      <c r="N2313" s="1" t="s">
        <v>6672</v>
      </c>
    </row>
    <row r="2314" spans="1:14" s="1" customFormat="1" x14ac:dyDescent="0.35">
      <c r="A2314" s="1" t="s">
        <v>5171</v>
      </c>
      <c r="B2314" s="1" t="s">
        <v>4201</v>
      </c>
      <c r="C2314" s="1" t="s">
        <v>6620</v>
      </c>
      <c r="D2314" s="1" t="s">
        <v>6671</v>
      </c>
      <c r="E2314" s="1" t="str">
        <f>"6230"</f>
        <v>6230</v>
      </c>
      <c r="F2314" s="1" t="str">
        <f>"016245491"</f>
        <v>016245491</v>
      </c>
      <c r="G2314" s="1" t="s">
        <v>230</v>
      </c>
      <c r="H2314" s="1" t="s">
        <v>16</v>
      </c>
      <c r="I2314" s="4" t="str">
        <f>"10"</f>
        <v>10</v>
      </c>
      <c r="J2314" s="2" t="str">
        <f>"300"</f>
        <v>300</v>
      </c>
      <c r="K2314" s="3">
        <v>46154</v>
      </c>
      <c r="L2314" s="3">
        <v>46156</v>
      </c>
      <c r="M2314" s="1" t="s">
        <v>5469</v>
      </c>
      <c r="N2314" s="1" t="s">
        <v>6670</v>
      </c>
    </row>
    <row r="2315" spans="1:14" s="1" customFormat="1" x14ac:dyDescent="0.35">
      <c r="A2315" s="1" t="s">
        <v>5171</v>
      </c>
      <c r="B2315" s="1" t="s">
        <v>4201</v>
      </c>
      <c r="C2315" s="1" t="s">
        <v>4213</v>
      </c>
      <c r="D2315" s="1" t="s">
        <v>6669</v>
      </c>
      <c r="E2315" s="1" t="str">
        <f>"2330"</f>
        <v>2330</v>
      </c>
      <c r="F2315" s="1" t="s">
        <v>70</v>
      </c>
      <c r="G2315" s="1" t="s">
        <v>71</v>
      </c>
      <c r="H2315" s="1" t="s">
        <v>16</v>
      </c>
      <c r="I2315" s="4" t="str">
        <f>"2"</f>
        <v>2</v>
      </c>
      <c r="J2315" s="2" t="str">
        <f>"9295"</f>
        <v>9295</v>
      </c>
      <c r="K2315" s="3">
        <v>46144</v>
      </c>
      <c r="L2315" s="3">
        <v>46158</v>
      </c>
      <c r="M2315" s="1" t="s">
        <v>6668</v>
      </c>
      <c r="N2315" s="1" t="s">
        <v>6667</v>
      </c>
    </row>
    <row r="2316" spans="1:14" s="1" customFormat="1" x14ac:dyDescent="0.35">
      <c r="A2316" s="1" t="s">
        <v>5171</v>
      </c>
      <c r="B2316" s="1" t="s">
        <v>4201</v>
      </c>
      <c r="C2316" s="1" t="s">
        <v>4213</v>
      </c>
      <c r="D2316" s="1" t="s">
        <v>6666</v>
      </c>
      <c r="E2316" s="1" t="str">
        <f>"2330"</f>
        <v>2330</v>
      </c>
      <c r="F2316" s="1" t="s">
        <v>70</v>
      </c>
      <c r="G2316" s="1" t="s">
        <v>71</v>
      </c>
      <c r="H2316" s="1" t="s">
        <v>16</v>
      </c>
      <c r="I2316" s="4" t="str">
        <f>"1"</f>
        <v>1</v>
      </c>
      <c r="J2316" s="2" t="str">
        <f>"6111"</f>
        <v>6111</v>
      </c>
      <c r="K2316" s="3">
        <v>46144</v>
      </c>
      <c r="L2316" s="3">
        <v>46158</v>
      </c>
      <c r="M2316" s="1" t="s">
        <v>6665</v>
      </c>
      <c r="N2316" s="1" t="s">
        <v>6664</v>
      </c>
    </row>
    <row r="2317" spans="1:14" s="1" customFormat="1" x14ac:dyDescent="0.35">
      <c r="A2317" s="1" t="s">
        <v>5171</v>
      </c>
      <c r="B2317" s="1" t="s">
        <v>4201</v>
      </c>
      <c r="C2317" s="1" t="s">
        <v>4225</v>
      </c>
      <c r="D2317" s="1" t="s">
        <v>6663</v>
      </c>
      <c r="E2317" s="1" t="str">
        <f>"2330"</f>
        <v>2330</v>
      </c>
      <c r="F2317" s="1" t="s">
        <v>70</v>
      </c>
      <c r="G2317" s="1" t="s">
        <v>71</v>
      </c>
      <c r="H2317" s="1" t="s">
        <v>16</v>
      </c>
      <c r="I2317" s="4" t="str">
        <f>"1"</f>
        <v>1</v>
      </c>
      <c r="J2317" s="2" t="str">
        <f>"10000"</f>
        <v>10000</v>
      </c>
      <c r="K2317" s="3">
        <v>46146</v>
      </c>
      <c r="L2317" s="3">
        <v>46158</v>
      </c>
      <c r="M2317" s="1" t="s">
        <v>6662</v>
      </c>
      <c r="N2317" s="1" t="s">
        <v>6661</v>
      </c>
    </row>
    <row r="2318" spans="1:14" s="1" customFormat="1" x14ac:dyDescent="0.35">
      <c r="A2318" s="1" t="s">
        <v>5171</v>
      </c>
      <c r="B2318" s="1" t="s">
        <v>4201</v>
      </c>
      <c r="C2318" s="1" t="s">
        <v>4272</v>
      </c>
      <c r="D2318" s="1" t="s">
        <v>6660</v>
      </c>
      <c r="E2318" s="1" t="str">
        <f>"2330"</f>
        <v>2330</v>
      </c>
      <c r="F2318" s="1" t="s">
        <v>70</v>
      </c>
      <c r="G2318" s="1" t="s">
        <v>71</v>
      </c>
      <c r="H2318" s="1" t="s">
        <v>16</v>
      </c>
      <c r="I2318" s="4" t="str">
        <f>"1"</f>
        <v>1</v>
      </c>
      <c r="J2318" s="2" t="str">
        <f>"6111"</f>
        <v>6111</v>
      </c>
      <c r="K2318" s="3">
        <v>46144</v>
      </c>
      <c r="L2318" s="3">
        <v>46158</v>
      </c>
      <c r="M2318" s="1" t="s">
        <v>6659</v>
      </c>
      <c r="N2318" s="1" t="s">
        <v>6658</v>
      </c>
    </row>
    <row r="2319" spans="1:14" s="1" customFormat="1" x14ac:dyDescent="0.35">
      <c r="A2319" s="1" t="s">
        <v>5171</v>
      </c>
      <c r="B2319" s="1" t="s">
        <v>4201</v>
      </c>
      <c r="C2319" s="1" t="s">
        <v>4272</v>
      </c>
      <c r="D2319" s="1" t="s">
        <v>6657</v>
      </c>
      <c r="E2319" s="1" t="str">
        <f>"4240"</f>
        <v>4240</v>
      </c>
      <c r="F2319" s="1" t="s">
        <v>2930</v>
      </c>
      <c r="G2319" s="1" t="s">
        <v>2931</v>
      </c>
      <c r="H2319" s="1" t="s">
        <v>16</v>
      </c>
      <c r="I2319" s="4" t="str">
        <f>"1"</f>
        <v>1</v>
      </c>
      <c r="J2319" s="2" t="str">
        <f>"49800"</f>
        <v>49800</v>
      </c>
      <c r="K2319" s="3">
        <v>46144</v>
      </c>
      <c r="L2319" s="3">
        <v>46158</v>
      </c>
      <c r="M2319" s="1" t="s">
        <v>6656</v>
      </c>
      <c r="N2319" s="1" t="s">
        <v>6655</v>
      </c>
    </row>
    <row r="2320" spans="1:14" s="1" customFormat="1" x14ac:dyDescent="0.35">
      <c r="A2320" s="1" t="s">
        <v>5171</v>
      </c>
      <c r="B2320" s="1" t="s">
        <v>4201</v>
      </c>
      <c r="C2320" s="1" t="s">
        <v>4339</v>
      </c>
      <c r="D2320" s="1" t="s">
        <v>6654</v>
      </c>
      <c r="E2320" s="1" t="str">
        <f>"2330"</f>
        <v>2330</v>
      </c>
      <c r="F2320" s="1" t="s">
        <v>70</v>
      </c>
      <c r="G2320" s="1" t="s">
        <v>71</v>
      </c>
      <c r="H2320" s="1" t="s">
        <v>16</v>
      </c>
      <c r="I2320" s="4" t="str">
        <f>"1"</f>
        <v>1</v>
      </c>
      <c r="J2320" s="2" t="str">
        <f>"14555"</f>
        <v>14555</v>
      </c>
      <c r="K2320" s="3">
        <v>46146</v>
      </c>
      <c r="L2320" s="3">
        <v>46158</v>
      </c>
      <c r="M2320" s="1" t="s">
        <v>6653</v>
      </c>
      <c r="N2320" s="1" t="s">
        <v>6652</v>
      </c>
    </row>
    <row r="2321" spans="1:14" s="1" customFormat="1" x14ac:dyDescent="0.35">
      <c r="A2321" s="1" t="s">
        <v>5171</v>
      </c>
      <c r="B2321" s="1" t="s">
        <v>4201</v>
      </c>
      <c r="C2321" s="1" t="s">
        <v>4339</v>
      </c>
      <c r="D2321" s="1" t="s">
        <v>6651</v>
      </c>
      <c r="E2321" s="1" t="str">
        <f>"6115"</f>
        <v>6115</v>
      </c>
      <c r="F2321" s="1" t="str">
        <f>"016122549"</f>
        <v>016122549</v>
      </c>
      <c r="G2321" s="1" t="s">
        <v>2431</v>
      </c>
      <c r="H2321" s="1" t="s">
        <v>16</v>
      </c>
      <c r="I2321" s="4" t="str">
        <f>"1"</f>
        <v>1</v>
      </c>
      <c r="J2321" s="2" t="str">
        <f>"7873"</f>
        <v>7873</v>
      </c>
      <c r="K2321" s="3">
        <v>46146</v>
      </c>
      <c r="L2321" s="3">
        <v>46158</v>
      </c>
      <c r="M2321" s="1" t="s">
        <v>6650</v>
      </c>
      <c r="N2321" s="1" t="s">
        <v>6649</v>
      </c>
    </row>
    <row r="2322" spans="1:14" s="1" customFormat="1" x14ac:dyDescent="0.35">
      <c r="A2322" s="1" t="s">
        <v>5171</v>
      </c>
      <c r="B2322" s="1" t="s">
        <v>4201</v>
      </c>
      <c r="C2322" s="1" t="s">
        <v>4339</v>
      </c>
      <c r="D2322" s="1" t="s">
        <v>6648</v>
      </c>
      <c r="E2322" s="1" t="str">
        <f>"2310"</f>
        <v>2310</v>
      </c>
      <c r="F2322" s="1" t="s">
        <v>178</v>
      </c>
      <c r="G2322" s="1" t="s">
        <v>179</v>
      </c>
      <c r="H2322" s="1" t="s">
        <v>16</v>
      </c>
      <c r="I2322" s="4" t="str">
        <f>"1"</f>
        <v>1</v>
      </c>
      <c r="J2322" s="2" t="str">
        <f>"3000"</f>
        <v>3000</v>
      </c>
      <c r="K2322" s="3">
        <v>46147</v>
      </c>
      <c r="L2322" s="3">
        <v>46158</v>
      </c>
      <c r="M2322" s="1" t="s">
        <v>6647</v>
      </c>
      <c r="N2322" s="1" t="s">
        <v>6646</v>
      </c>
    </row>
    <row r="2323" spans="1:14" s="1" customFormat="1" x14ac:dyDescent="0.35">
      <c r="A2323" s="1" t="s">
        <v>5216</v>
      </c>
      <c r="B2323" s="1" t="s">
        <v>4201</v>
      </c>
      <c r="C2323" s="1" t="s">
        <v>4260</v>
      </c>
      <c r="D2323" s="1" t="s">
        <v>6645</v>
      </c>
      <c r="E2323" s="1" t="str">
        <f>"2340"</f>
        <v>2340</v>
      </c>
      <c r="F2323" s="1" t="s">
        <v>61</v>
      </c>
      <c r="G2323" s="1" t="s">
        <v>62</v>
      </c>
      <c r="H2323" s="1" t="s">
        <v>16</v>
      </c>
      <c r="I2323" s="4" t="str">
        <f>"1"</f>
        <v>1</v>
      </c>
      <c r="J2323" s="2" t="str">
        <f>"4918"</f>
        <v>4918</v>
      </c>
      <c r="K2323" s="3">
        <v>46158</v>
      </c>
      <c r="L2323" s="3">
        <v>46160</v>
      </c>
      <c r="M2323" s="1" t="s">
        <v>6644</v>
      </c>
      <c r="N2323" s="1" t="s">
        <v>6643</v>
      </c>
    </row>
    <row r="2324" spans="1:14" s="1" customFormat="1" x14ac:dyDescent="0.35">
      <c r="A2324" s="1" t="s">
        <v>0</v>
      </c>
      <c r="B2324" s="1" t="s">
        <v>4201</v>
      </c>
      <c r="C2324" s="1" t="s">
        <v>4260</v>
      </c>
      <c r="D2324" s="1" t="s">
        <v>6642</v>
      </c>
      <c r="E2324" s="1" t="str">
        <f>"3805"</f>
        <v>3805</v>
      </c>
      <c r="F2324" s="1" t="str">
        <f>"015524487"</f>
        <v>015524487</v>
      </c>
      <c r="G2324" s="1" t="s">
        <v>6632</v>
      </c>
      <c r="H2324" s="1" t="s">
        <v>16</v>
      </c>
      <c r="I2324" s="4" t="str">
        <f>"1"</f>
        <v>1</v>
      </c>
      <c r="J2324" s="2" t="str">
        <f>"42630"</f>
        <v>42630</v>
      </c>
      <c r="K2324" s="3">
        <v>46158</v>
      </c>
      <c r="L2324" s="3">
        <v>46160</v>
      </c>
      <c r="M2324" s="1" t="s">
        <v>6641</v>
      </c>
      <c r="N2324" s="1" t="s">
        <v>6630</v>
      </c>
    </row>
    <row r="2325" spans="1:14" s="1" customFormat="1" x14ac:dyDescent="0.35">
      <c r="A2325" s="1" t="s">
        <v>0</v>
      </c>
      <c r="B2325" s="1" t="s">
        <v>4201</v>
      </c>
      <c r="C2325" s="1" t="s">
        <v>6640</v>
      </c>
      <c r="D2325" s="1" t="s">
        <v>6639</v>
      </c>
      <c r="E2325" s="1" t="str">
        <f>"2340"</f>
        <v>2340</v>
      </c>
      <c r="F2325" s="1" t="s">
        <v>84</v>
      </c>
      <c r="G2325" s="1" t="s">
        <v>85</v>
      </c>
      <c r="H2325" s="1" t="s">
        <v>16</v>
      </c>
      <c r="I2325" s="4" t="str">
        <f>"1"</f>
        <v>1</v>
      </c>
      <c r="J2325" s="2">
        <v>18755.73</v>
      </c>
      <c r="K2325" s="3">
        <v>46156</v>
      </c>
      <c r="L2325" s="3">
        <v>46160</v>
      </c>
      <c r="M2325" s="1" t="s">
        <v>6638</v>
      </c>
      <c r="N2325" s="1" t="s">
        <v>6637</v>
      </c>
    </row>
    <row r="2326" spans="1:14" s="1" customFormat="1" x14ac:dyDescent="0.35">
      <c r="A2326" s="1" t="s">
        <v>5216</v>
      </c>
      <c r="B2326" s="1" t="s">
        <v>4201</v>
      </c>
      <c r="C2326" s="1" t="s">
        <v>4297</v>
      </c>
      <c r="D2326" s="1" t="s">
        <v>6636</v>
      </c>
      <c r="E2326" s="1" t="str">
        <f>"3805"</f>
        <v>3805</v>
      </c>
      <c r="F2326" s="1" t="str">
        <f>"014311165"</f>
        <v>014311165</v>
      </c>
      <c r="G2326" s="1" t="s">
        <v>2294</v>
      </c>
      <c r="H2326" s="1" t="s">
        <v>16</v>
      </c>
      <c r="I2326" s="4" t="str">
        <f>"1"</f>
        <v>1</v>
      </c>
      <c r="J2326" s="2" t="str">
        <f>"175923"</f>
        <v>175923</v>
      </c>
      <c r="K2326" s="3">
        <v>46160</v>
      </c>
      <c r="L2326" s="3">
        <v>46161</v>
      </c>
      <c r="M2326" s="1" t="s">
        <v>6635</v>
      </c>
      <c r="N2326" s="1" t="s">
        <v>6634</v>
      </c>
    </row>
    <row r="2327" spans="1:14" s="1" customFormat="1" x14ac:dyDescent="0.35">
      <c r="A2327" s="1" t="s">
        <v>5171</v>
      </c>
      <c r="B2327" s="1" t="s">
        <v>4201</v>
      </c>
      <c r="C2327" s="1" t="s">
        <v>4260</v>
      </c>
      <c r="D2327" s="1" t="s">
        <v>6633</v>
      </c>
      <c r="E2327" s="1" t="str">
        <f>"3805"</f>
        <v>3805</v>
      </c>
      <c r="F2327" s="1" t="str">
        <f>"015524487"</f>
        <v>015524487</v>
      </c>
      <c r="G2327" s="1" t="s">
        <v>6632</v>
      </c>
      <c r="H2327" s="1" t="s">
        <v>16</v>
      </c>
      <c r="I2327" s="4" t="str">
        <f>"1"</f>
        <v>1</v>
      </c>
      <c r="J2327" s="2" t="str">
        <f>"42630"</f>
        <v>42630</v>
      </c>
      <c r="K2327" s="3">
        <v>46158</v>
      </c>
      <c r="L2327" s="3">
        <v>46161</v>
      </c>
      <c r="M2327" s="1" t="s">
        <v>6631</v>
      </c>
      <c r="N2327" s="1" t="s">
        <v>6630</v>
      </c>
    </row>
    <row r="2328" spans="1:14" s="1" customFormat="1" x14ac:dyDescent="0.35">
      <c r="A2328" s="1" t="s">
        <v>5171</v>
      </c>
      <c r="B2328" s="1" t="s">
        <v>4201</v>
      </c>
      <c r="C2328" s="1" t="s">
        <v>4235</v>
      </c>
      <c r="D2328" s="1" t="s">
        <v>6629</v>
      </c>
      <c r="E2328" s="1" t="str">
        <f>"3930"</f>
        <v>3930</v>
      </c>
      <c r="F2328" s="1" t="str">
        <f>"015999978"</f>
        <v>015999978</v>
      </c>
      <c r="G2328" s="1" t="s">
        <v>1304</v>
      </c>
      <c r="H2328" s="1" t="s">
        <v>16</v>
      </c>
      <c r="I2328" s="4" t="str">
        <f>"1"</f>
        <v>1</v>
      </c>
      <c r="J2328" s="2" t="str">
        <f>"74750"</f>
        <v>74750</v>
      </c>
      <c r="K2328" s="3">
        <v>46158</v>
      </c>
      <c r="L2328" s="3">
        <v>46162</v>
      </c>
      <c r="M2328" s="1" t="s">
        <v>6628</v>
      </c>
      <c r="N2328" s="1" t="s">
        <v>6627</v>
      </c>
    </row>
    <row r="2329" spans="1:14" s="1" customFormat="1" x14ac:dyDescent="0.35">
      <c r="A2329" s="1" t="s">
        <v>5171</v>
      </c>
      <c r="B2329" s="1" t="s">
        <v>4201</v>
      </c>
      <c r="C2329" s="1" t="s">
        <v>4389</v>
      </c>
      <c r="D2329" s="1" t="s">
        <v>6626</v>
      </c>
      <c r="E2329" s="1" t="str">
        <f>"2330"</f>
        <v>2330</v>
      </c>
      <c r="F2329" s="1" t="s">
        <v>70</v>
      </c>
      <c r="G2329" s="1" t="s">
        <v>71</v>
      </c>
      <c r="H2329" s="1" t="s">
        <v>16</v>
      </c>
      <c r="I2329" s="4" t="str">
        <f>"1"</f>
        <v>1</v>
      </c>
      <c r="J2329" s="2" t="str">
        <f>"79455"</f>
        <v>79455</v>
      </c>
      <c r="K2329" s="3">
        <v>46160</v>
      </c>
      <c r="L2329" s="3">
        <v>46162</v>
      </c>
      <c r="M2329" s="1" t="s">
        <v>6625</v>
      </c>
      <c r="N2329" s="1" t="s">
        <v>6624</v>
      </c>
    </row>
    <row r="2330" spans="1:14" s="1" customFormat="1" x14ac:dyDescent="0.35">
      <c r="A2330" s="1" t="s">
        <v>5171</v>
      </c>
      <c r="B2330" s="1" t="s">
        <v>4201</v>
      </c>
      <c r="C2330" s="1" t="s">
        <v>4428</v>
      </c>
      <c r="D2330" s="1" t="s">
        <v>6623</v>
      </c>
      <c r="E2330" s="1" t="str">
        <f>"5965"</f>
        <v>5965</v>
      </c>
      <c r="F2330" s="1" t="str">
        <f>"015880951"</f>
        <v>015880951</v>
      </c>
      <c r="G2330" s="1" t="s">
        <v>1561</v>
      </c>
      <c r="H2330" s="1" t="s">
        <v>16</v>
      </c>
      <c r="I2330" s="4" t="str">
        <f>"2"</f>
        <v>2</v>
      </c>
      <c r="J2330" s="2" t="str">
        <f>"504"</f>
        <v>504</v>
      </c>
      <c r="K2330" s="3">
        <v>46161</v>
      </c>
      <c r="L2330" s="3">
        <v>46162</v>
      </c>
      <c r="M2330" s="1" t="s">
        <v>6622</v>
      </c>
      <c r="N2330" s="1" t="s">
        <v>6621</v>
      </c>
    </row>
    <row r="2331" spans="1:14" s="1" customFormat="1" x14ac:dyDescent="0.35">
      <c r="A2331" s="1" t="s">
        <v>5171</v>
      </c>
      <c r="B2331" s="1" t="s">
        <v>4201</v>
      </c>
      <c r="C2331" s="1" t="s">
        <v>6620</v>
      </c>
      <c r="D2331" s="1" t="s">
        <v>6619</v>
      </c>
      <c r="E2331" s="1" t="str">
        <f>"2340"</f>
        <v>2340</v>
      </c>
      <c r="F2331" s="1" t="s">
        <v>61</v>
      </c>
      <c r="G2331" s="1" t="s">
        <v>62</v>
      </c>
      <c r="H2331" s="1" t="s">
        <v>16</v>
      </c>
      <c r="I2331" s="4" t="str">
        <f>"1"</f>
        <v>1</v>
      </c>
      <c r="J2331" s="2" t="str">
        <f>"4918"</f>
        <v>4918</v>
      </c>
      <c r="K2331" s="3">
        <v>46160</v>
      </c>
      <c r="L2331" s="3">
        <v>46163</v>
      </c>
      <c r="M2331" s="1" t="s">
        <v>5469</v>
      </c>
      <c r="N2331" s="1" t="s">
        <v>6618</v>
      </c>
    </row>
    <row r="2332" spans="1:14" s="1" customFormat="1" x14ac:dyDescent="0.35">
      <c r="A2332" s="1" t="s">
        <v>5171</v>
      </c>
      <c r="B2332" s="1" t="s">
        <v>4201</v>
      </c>
      <c r="C2332" s="1" t="s">
        <v>4428</v>
      </c>
      <c r="D2332" s="1" t="s">
        <v>6617</v>
      </c>
      <c r="E2332" s="1" t="str">
        <f>"2360"</f>
        <v>2360</v>
      </c>
      <c r="F2332" s="1" t="str">
        <f>"015768653"</f>
        <v>015768653</v>
      </c>
      <c r="G2332" s="1" t="s">
        <v>2021</v>
      </c>
      <c r="H2332" s="1" t="s">
        <v>16</v>
      </c>
      <c r="I2332" s="4" t="str">
        <f>"1"</f>
        <v>1</v>
      </c>
      <c r="J2332" s="2">
        <v>12704.58</v>
      </c>
      <c r="K2332" s="3">
        <v>46163</v>
      </c>
      <c r="L2332" s="3">
        <v>46164</v>
      </c>
      <c r="M2332" s="1" t="s">
        <v>5167</v>
      </c>
      <c r="N2332" s="1" t="s">
        <v>6616</v>
      </c>
    </row>
    <row r="2333" spans="1:14" s="1" customFormat="1" x14ac:dyDescent="0.35">
      <c r="A2333" s="1" t="s">
        <v>5230</v>
      </c>
      <c r="B2333" s="1" t="s">
        <v>4201</v>
      </c>
      <c r="C2333" s="1" t="s">
        <v>4344</v>
      </c>
      <c r="D2333" s="1" t="s">
        <v>6615</v>
      </c>
      <c r="E2333" s="1" t="str">
        <f>"3805"</f>
        <v>3805</v>
      </c>
      <c r="F2333" s="1" t="str">
        <f>"012422560"</f>
        <v>012422560</v>
      </c>
      <c r="G2333" s="1" t="s">
        <v>132</v>
      </c>
      <c r="H2333" s="1" t="s">
        <v>16</v>
      </c>
      <c r="I2333" s="4" t="str">
        <f>"1"</f>
        <v>1</v>
      </c>
      <c r="J2333" s="2" t="str">
        <f>"192420"</f>
        <v>192420</v>
      </c>
      <c r="K2333" s="3">
        <v>46165</v>
      </c>
      <c r="L2333" s="3">
        <v>46165</v>
      </c>
      <c r="N2333" s="1" t="s">
        <v>6614</v>
      </c>
    </row>
    <row r="2334" spans="1:14" s="1" customFormat="1" x14ac:dyDescent="0.35">
      <c r="A2334" s="1" t="s">
        <v>5171</v>
      </c>
      <c r="B2334" s="1" t="s">
        <v>4201</v>
      </c>
      <c r="C2334" s="1" t="s">
        <v>4397</v>
      </c>
      <c r="D2334" s="1" t="s">
        <v>6613</v>
      </c>
      <c r="E2334" s="1" t="str">
        <f>"2330"</f>
        <v>2330</v>
      </c>
      <c r="F2334" s="1" t="s">
        <v>70</v>
      </c>
      <c r="G2334" s="1" t="s">
        <v>71</v>
      </c>
      <c r="H2334" s="1" t="s">
        <v>16</v>
      </c>
      <c r="I2334" s="4" t="str">
        <f>"1"</f>
        <v>1</v>
      </c>
      <c r="J2334" s="2" t="str">
        <f>"1000"</f>
        <v>1000</v>
      </c>
      <c r="K2334" s="3">
        <v>46155</v>
      </c>
      <c r="L2334" s="3">
        <v>46165</v>
      </c>
      <c r="M2334" s="1" t="s">
        <v>6612</v>
      </c>
      <c r="N2334" s="1" t="s">
        <v>6611</v>
      </c>
    </row>
    <row r="2335" spans="1:14" s="1" customFormat="1" x14ac:dyDescent="0.35">
      <c r="A2335" s="1" t="s">
        <v>5216</v>
      </c>
      <c r="B2335" s="1" t="s">
        <v>4201</v>
      </c>
      <c r="C2335" s="1" t="s">
        <v>4344</v>
      </c>
      <c r="D2335" s="1" t="s">
        <v>6610</v>
      </c>
      <c r="E2335" s="1" t="str">
        <f>"2320"</f>
        <v>2320</v>
      </c>
      <c r="F2335" s="1" t="str">
        <f>"010907880"</f>
        <v>010907880</v>
      </c>
      <c r="G2335" s="1" t="s">
        <v>271</v>
      </c>
      <c r="H2335" s="1" t="s">
        <v>16</v>
      </c>
      <c r="I2335" s="4" t="str">
        <f>"1"</f>
        <v>1</v>
      </c>
      <c r="J2335" s="2" t="str">
        <f>"11198"</f>
        <v>11198</v>
      </c>
      <c r="K2335" s="3">
        <v>46165</v>
      </c>
      <c r="L2335" s="3">
        <v>46168</v>
      </c>
      <c r="M2335" s="1" t="s">
        <v>6607</v>
      </c>
      <c r="N2335" s="1" t="s">
        <v>6609</v>
      </c>
    </row>
    <row r="2336" spans="1:14" s="1" customFormat="1" x14ac:dyDescent="0.35">
      <c r="A2336" s="1" t="s">
        <v>5216</v>
      </c>
      <c r="B2336" s="1" t="s">
        <v>4201</v>
      </c>
      <c r="C2336" s="1" t="s">
        <v>4344</v>
      </c>
      <c r="D2336" s="1" t="s">
        <v>6608</v>
      </c>
      <c r="E2336" s="1" t="str">
        <f>"2320"</f>
        <v>2320</v>
      </c>
      <c r="F2336" s="1" t="str">
        <f>"013603893"</f>
        <v>013603893</v>
      </c>
      <c r="G2336" s="1" t="s">
        <v>1961</v>
      </c>
      <c r="H2336" s="1" t="s">
        <v>16</v>
      </c>
      <c r="I2336" s="4" t="str">
        <f>"1"</f>
        <v>1</v>
      </c>
      <c r="J2336" s="2" t="str">
        <f>"106300"</f>
        <v>106300</v>
      </c>
      <c r="K2336" s="3">
        <v>46165</v>
      </c>
      <c r="L2336" s="3">
        <v>46168</v>
      </c>
      <c r="M2336" s="1" t="s">
        <v>6607</v>
      </c>
      <c r="N2336" s="1" t="s">
        <v>6606</v>
      </c>
    </row>
    <row r="2337" spans="1:14" s="1" customFormat="1" x14ac:dyDescent="0.35">
      <c r="A2337" s="1" t="s">
        <v>5171</v>
      </c>
      <c r="B2337" s="1" t="s">
        <v>4201</v>
      </c>
      <c r="C2337" s="1" t="s">
        <v>4397</v>
      </c>
      <c r="D2337" s="1" t="s">
        <v>6605</v>
      </c>
      <c r="E2337" s="1" t="str">
        <f>"2320"</f>
        <v>2320</v>
      </c>
      <c r="F2337" s="1" t="str">
        <f>"013601892"</f>
        <v>013601892</v>
      </c>
      <c r="G2337" s="1" t="s">
        <v>4227</v>
      </c>
      <c r="H2337" s="1" t="s">
        <v>16</v>
      </c>
      <c r="I2337" s="4" t="str">
        <f>"1"</f>
        <v>1</v>
      </c>
      <c r="J2337" s="2" t="str">
        <f>"128767"</f>
        <v>128767</v>
      </c>
      <c r="K2337" s="3">
        <v>46139</v>
      </c>
      <c r="L2337" s="3">
        <v>46169</v>
      </c>
      <c r="M2337" s="1" t="s">
        <v>6604</v>
      </c>
      <c r="N2337" s="1" t="s">
        <v>4401</v>
      </c>
    </row>
    <row r="2338" spans="1:14" s="1" customFormat="1" x14ac:dyDescent="0.35">
      <c r="A2338" s="1" t="s">
        <v>5171</v>
      </c>
      <c r="B2338" s="1" t="s">
        <v>4201</v>
      </c>
      <c r="C2338" s="1" t="s">
        <v>4428</v>
      </c>
      <c r="D2338" s="1" t="s">
        <v>6603</v>
      </c>
      <c r="E2338" s="1" t="str">
        <f>"5855"</f>
        <v>5855</v>
      </c>
      <c r="F2338" s="1" t="str">
        <f>"014333157"</f>
        <v>014333157</v>
      </c>
      <c r="G2338" s="1" t="s">
        <v>1770</v>
      </c>
      <c r="H2338" s="1" t="s">
        <v>16</v>
      </c>
      <c r="I2338" s="4" t="str">
        <f>"1"</f>
        <v>1</v>
      </c>
      <c r="J2338" s="2" t="str">
        <f>"6392"</f>
        <v>6392</v>
      </c>
      <c r="K2338" s="3">
        <v>46163</v>
      </c>
      <c r="L2338" s="3">
        <v>46169</v>
      </c>
      <c r="M2338" s="1" t="s">
        <v>6602</v>
      </c>
      <c r="N2338" s="1" t="s">
        <v>4437</v>
      </c>
    </row>
    <row r="2339" spans="1:14" s="1" customFormat="1" x14ac:dyDescent="0.35">
      <c r="A2339" s="1" t="s">
        <v>5171</v>
      </c>
      <c r="B2339" s="1" t="s">
        <v>4201</v>
      </c>
      <c r="C2339" s="1" t="s">
        <v>4275</v>
      </c>
      <c r="D2339" s="1" t="s">
        <v>6601</v>
      </c>
      <c r="E2339" s="1" t="str">
        <f>"6230"</f>
        <v>6230</v>
      </c>
      <c r="F2339" s="1" t="str">
        <f>"015655133"</f>
        <v>015655133</v>
      </c>
      <c r="G2339" s="1" t="s">
        <v>6600</v>
      </c>
      <c r="H2339" s="1" t="s">
        <v>16</v>
      </c>
      <c r="I2339" s="4" t="str">
        <f>"6"</f>
        <v>6</v>
      </c>
      <c r="J2339" s="2">
        <v>2128.8000000000002</v>
      </c>
      <c r="K2339" s="3">
        <v>46132</v>
      </c>
      <c r="L2339" s="3">
        <v>46171</v>
      </c>
      <c r="M2339" s="1" t="s">
        <v>6599</v>
      </c>
      <c r="N2339" s="1" t="s">
        <v>6598</v>
      </c>
    </row>
    <row r="2340" spans="1:14" s="1" customFormat="1" x14ac:dyDescent="0.35">
      <c r="A2340" s="1" t="s">
        <v>5171</v>
      </c>
      <c r="B2340" s="1" t="s">
        <v>4201</v>
      </c>
      <c r="C2340" s="1" t="s">
        <v>4248</v>
      </c>
      <c r="D2340" s="1" t="s">
        <v>6597</v>
      </c>
      <c r="E2340" s="1" t="str">
        <f>"2330"</f>
        <v>2330</v>
      </c>
      <c r="F2340" s="1" t="s">
        <v>70</v>
      </c>
      <c r="G2340" s="1" t="s">
        <v>71</v>
      </c>
      <c r="H2340" s="1" t="s">
        <v>16</v>
      </c>
      <c r="I2340" s="4" t="str">
        <f>"1"</f>
        <v>1</v>
      </c>
      <c r="J2340" s="2" t="str">
        <f>"79455"</f>
        <v>79455</v>
      </c>
      <c r="K2340" s="3">
        <v>46160</v>
      </c>
      <c r="L2340" s="3">
        <v>46172</v>
      </c>
      <c r="M2340" s="1" t="s">
        <v>6596</v>
      </c>
      <c r="N2340" s="1" t="s">
        <v>6595</v>
      </c>
    </row>
    <row r="2341" spans="1:14" s="1" customFormat="1" x14ac:dyDescent="0.35">
      <c r="A2341" s="1" t="s">
        <v>5171</v>
      </c>
      <c r="B2341" s="1" t="s">
        <v>4201</v>
      </c>
      <c r="C2341" s="1" t="s">
        <v>4260</v>
      </c>
      <c r="D2341" s="1" t="s">
        <v>6594</v>
      </c>
      <c r="E2341" s="1" t="str">
        <f>"2330"</f>
        <v>2330</v>
      </c>
      <c r="F2341" s="1" t="s">
        <v>70</v>
      </c>
      <c r="G2341" s="1" t="s">
        <v>71</v>
      </c>
      <c r="H2341" s="1" t="s">
        <v>16</v>
      </c>
      <c r="I2341" s="4" t="str">
        <f>"1"</f>
        <v>1</v>
      </c>
      <c r="J2341" s="2" t="str">
        <f>"5000"</f>
        <v>5000</v>
      </c>
      <c r="K2341" s="3">
        <v>46158</v>
      </c>
      <c r="L2341" s="3">
        <v>46172</v>
      </c>
      <c r="M2341" s="1" t="s">
        <v>6593</v>
      </c>
      <c r="N2341" s="1" t="s">
        <v>6592</v>
      </c>
    </row>
    <row r="2342" spans="1:14" s="1" customFormat="1" x14ac:dyDescent="0.35">
      <c r="A2342" s="1" t="s">
        <v>0</v>
      </c>
      <c r="B2342" s="1" t="s">
        <v>4201</v>
      </c>
      <c r="C2342" s="1" t="s">
        <v>4308</v>
      </c>
      <c r="D2342" s="1" t="s">
        <v>6591</v>
      </c>
      <c r="E2342" s="1" t="str">
        <f>"2340"</f>
        <v>2340</v>
      </c>
      <c r="F2342" s="1" t="s">
        <v>84</v>
      </c>
      <c r="G2342" s="1" t="s">
        <v>85</v>
      </c>
      <c r="H2342" s="1" t="s">
        <v>16</v>
      </c>
      <c r="I2342" s="4" t="str">
        <f>"1"</f>
        <v>1</v>
      </c>
      <c r="J2342" s="2">
        <v>37739.58</v>
      </c>
      <c r="K2342" s="3">
        <v>46172</v>
      </c>
      <c r="L2342" s="3">
        <v>46174</v>
      </c>
      <c r="M2342" s="1" t="s">
        <v>6403</v>
      </c>
      <c r="N2342" s="1" t="s">
        <v>6590</v>
      </c>
    </row>
    <row r="2343" spans="1:14" s="1" customFormat="1" x14ac:dyDescent="0.35">
      <c r="A2343" s="1" t="s">
        <v>5171</v>
      </c>
      <c r="B2343" s="1" t="s">
        <v>4201</v>
      </c>
      <c r="C2343" s="1" t="s">
        <v>4308</v>
      </c>
      <c r="D2343" s="1" t="s">
        <v>6589</v>
      </c>
      <c r="E2343" s="1" t="str">
        <f>"2330"</f>
        <v>2330</v>
      </c>
      <c r="F2343" s="1" t="s">
        <v>70</v>
      </c>
      <c r="G2343" s="1" t="s">
        <v>71</v>
      </c>
      <c r="H2343" s="1" t="s">
        <v>16</v>
      </c>
      <c r="I2343" s="4" t="str">
        <f>"1"</f>
        <v>1</v>
      </c>
      <c r="J2343" s="2" t="str">
        <f>"7000"</f>
        <v>7000</v>
      </c>
      <c r="K2343" s="3">
        <v>46173</v>
      </c>
      <c r="L2343" s="3">
        <v>46174</v>
      </c>
      <c r="M2343" s="1" t="s">
        <v>6588</v>
      </c>
      <c r="N2343" s="1" t="s">
        <v>6587</v>
      </c>
    </row>
    <row r="2344" spans="1:14" s="1" customFormat="1" x14ac:dyDescent="0.35">
      <c r="A2344" s="1" t="s">
        <v>5171</v>
      </c>
      <c r="B2344" s="1" t="s">
        <v>4201</v>
      </c>
      <c r="C2344" s="1" t="s">
        <v>4308</v>
      </c>
      <c r="D2344" s="1" t="s">
        <v>6589</v>
      </c>
      <c r="E2344" s="1" t="str">
        <f>"2330"</f>
        <v>2330</v>
      </c>
      <c r="F2344" s="1" t="s">
        <v>70</v>
      </c>
      <c r="G2344" s="1" t="s">
        <v>71</v>
      </c>
      <c r="H2344" s="1" t="s">
        <v>16</v>
      </c>
      <c r="I2344" s="4" t="str">
        <f>"1"</f>
        <v>1</v>
      </c>
      <c r="J2344" s="2" t="str">
        <f>"7000"</f>
        <v>7000</v>
      </c>
      <c r="K2344" s="3">
        <v>46173</v>
      </c>
      <c r="L2344" s="3">
        <v>46174</v>
      </c>
      <c r="M2344" s="1" t="s">
        <v>6588</v>
      </c>
      <c r="N2344" s="1" t="s">
        <v>6587</v>
      </c>
    </row>
    <row r="2345" spans="1:14" s="1" customFormat="1" x14ac:dyDescent="0.35">
      <c r="A2345" s="1" t="s">
        <v>5171</v>
      </c>
      <c r="B2345" s="1" t="s">
        <v>4201</v>
      </c>
      <c r="C2345" s="1" t="s">
        <v>4260</v>
      </c>
      <c r="D2345" s="1" t="s">
        <v>6586</v>
      </c>
      <c r="E2345" s="1" t="str">
        <f>"2340"</f>
        <v>2340</v>
      </c>
      <c r="F2345" s="1" t="s">
        <v>84</v>
      </c>
      <c r="G2345" s="1" t="s">
        <v>85</v>
      </c>
      <c r="H2345" s="1" t="s">
        <v>16</v>
      </c>
      <c r="I2345" s="4" t="str">
        <f>"1"</f>
        <v>1</v>
      </c>
      <c r="J2345" s="2">
        <v>37739.58</v>
      </c>
      <c r="K2345" s="3">
        <v>46172</v>
      </c>
      <c r="L2345" s="3">
        <v>46175</v>
      </c>
      <c r="M2345" s="1" t="s">
        <v>6585</v>
      </c>
      <c r="N2345" s="1" t="s">
        <v>6584</v>
      </c>
    </row>
    <row r="2346" spans="1:14" s="1" customFormat="1" x14ac:dyDescent="0.35">
      <c r="A2346" s="1" t="s">
        <v>5171</v>
      </c>
      <c r="B2346" s="1" t="s">
        <v>4201</v>
      </c>
      <c r="C2346" s="1" t="s">
        <v>4308</v>
      </c>
      <c r="D2346" s="1" t="s">
        <v>6583</v>
      </c>
      <c r="E2346" s="1" t="str">
        <f>"2320"</f>
        <v>2320</v>
      </c>
      <c r="F2346" s="1" t="s">
        <v>975</v>
      </c>
      <c r="G2346" s="1" t="s">
        <v>976</v>
      </c>
      <c r="H2346" s="1" t="s">
        <v>16</v>
      </c>
      <c r="I2346" s="4" t="str">
        <f>"1"</f>
        <v>1</v>
      </c>
      <c r="J2346" s="2" t="str">
        <f>"8000"</f>
        <v>8000</v>
      </c>
      <c r="K2346" s="3">
        <v>46137</v>
      </c>
      <c r="L2346" s="3">
        <v>46175</v>
      </c>
      <c r="M2346" s="1" t="s">
        <v>6582</v>
      </c>
      <c r="N2346" s="1" t="s">
        <v>6581</v>
      </c>
    </row>
    <row r="2347" spans="1:14" s="1" customFormat="1" x14ac:dyDescent="0.35">
      <c r="A2347" s="1" t="s">
        <v>5171</v>
      </c>
      <c r="B2347" s="1" t="s">
        <v>4201</v>
      </c>
      <c r="C2347" s="1" t="s">
        <v>4308</v>
      </c>
      <c r="D2347" s="1" t="s">
        <v>6580</v>
      </c>
      <c r="E2347" s="1" t="str">
        <f>"3930"</f>
        <v>3930</v>
      </c>
      <c r="F2347" s="1" t="s">
        <v>6579</v>
      </c>
      <c r="G2347" s="1" t="s">
        <v>6578</v>
      </c>
      <c r="H2347" s="1" t="s">
        <v>16</v>
      </c>
      <c r="I2347" s="4" t="str">
        <f>"1"</f>
        <v>1</v>
      </c>
      <c r="J2347" s="2" t="str">
        <f>"94864"</f>
        <v>94864</v>
      </c>
      <c r="K2347" s="3">
        <v>46173</v>
      </c>
      <c r="L2347" s="3">
        <v>46175</v>
      </c>
      <c r="M2347" s="1" t="s">
        <v>6577</v>
      </c>
      <c r="N2347" s="1" t="s">
        <v>6576</v>
      </c>
    </row>
    <row r="2348" spans="1:14" s="1" customFormat="1" x14ac:dyDescent="0.35">
      <c r="A2348" s="1" t="s">
        <v>5171</v>
      </c>
      <c r="B2348" s="1" t="s">
        <v>4201</v>
      </c>
      <c r="C2348" s="1" t="s">
        <v>4275</v>
      </c>
      <c r="D2348" s="1" t="s">
        <v>6575</v>
      </c>
      <c r="E2348" s="1" t="str">
        <f>"1095"</f>
        <v>1095</v>
      </c>
      <c r="F2348" s="1" t="str">
        <f>"015300833"</f>
        <v>015300833</v>
      </c>
      <c r="G2348" s="1" t="s">
        <v>6567</v>
      </c>
      <c r="H2348" s="1" t="s">
        <v>16</v>
      </c>
      <c r="I2348" s="4" t="str">
        <f>"1"</f>
        <v>1</v>
      </c>
      <c r="J2348" s="2">
        <v>162.31</v>
      </c>
      <c r="K2348" s="3">
        <v>46175</v>
      </c>
      <c r="L2348" s="3">
        <v>46176</v>
      </c>
      <c r="M2348" s="1" t="s">
        <v>5167</v>
      </c>
      <c r="N2348" s="1" t="s">
        <v>6565</v>
      </c>
    </row>
    <row r="2349" spans="1:14" s="1" customFormat="1" x14ac:dyDescent="0.35">
      <c r="A2349" s="1" t="s">
        <v>5171</v>
      </c>
      <c r="B2349" s="1" t="s">
        <v>4201</v>
      </c>
      <c r="C2349" s="1" t="s">
        <v>4220</v>
      </c>
      <c r="D2349" s="1" t="s">
        <v>6574</v>
      </c>
      <c r="E2349" s="1" t="str">
        <f>"6920"</f>
        <v>6920</v>
      </c>
      <c r="F2349" s="1" t="str">
        <f>"015922039"</f>
        <v>015922039</v>
      </c>
      <c r="G2349" s="1" t="s">
        <v>242</v>
      </c>
      <c r="H2349" s="1" t="s">
        <v>16</v>
      </c>
      <c r="I2349" s="4" t="str">
        <f>"9"</f>
        <v>9</v>
      </c>
      <c r="J2349" s="2" t="str">
        <f>"7424"</f>
        <v>7424</v>
      </c>
      <c r="K2349" s="3">
        <v>46134</v>
      </c>
      <c r="L2349" s="3">
        <v>46177</v>
      </c>
      <c r="M2349" s="1" t="s">
        <v>6573</v>
      </c>
      <c r="N2349" s="1" t="s">
        <v>6572</v>
      </c>
    </row>
    <row r="2350" spans="1:14" s="1" customFormat="1" x14ac:dyDescent="0.35">
      <c r="A2350" s="1" t="s">
        <v>5171</v>
      </c>
      <c r="B2350" s="1" t="s">
        <v>4201</v>
      </c>
      <c r="C2350" s="1" t="s">
        <v>4428</v>
      </c>
      <c r="D2350" s="1" t="s">
        <v>6571</v>
      </c>
      <c r="E2350" s="1" t="str">
        <f>"5965"</f>
        <v>5965</v>
      </c>
      <c r="F2350" s="1" t="str">
        <f>"016960994"</f>
        <v>016960994</v>
      </c>
      <c r="G2350" s="1" t="s">
        <v>1561</v>
      </c>
      <c r="H2350" s="1" t="s">
        <v>16</v>
      </c>
      <c r="I2350" s="4" t="str">
        <f>"37"</f>
        <v>37</v>
      </c>
      <c r="J2350" s="2" t="str">
        <f>"1602"</f>
        <v>1602</v>
      </c>
      <c r="K2350" s="3">
        <v>46175</v>
      </c>
      <c r="L2350" s="3">
        <v>46177</v>
      </c>
      <c r="M2350" s="1" t="s">
        <v>6570</v>
      </c>
      <c r="N2350" s="1" t="s">
        <v>6569</v>
      </c>
    </row>
    <row r="2351" spans="1:14" s="1" customFormat="1" x14ac:dyDescent="0.35">
      <c r="A2351" s="1" t="s">
        <v>5171</v>
      </c>
      <c r="B2351" s="1" t="s">
        <v>4201</v>
      </c>
      <c r="C2351" s="1" t="s">
        <v>4275</v>
      </c>
      <c r="D2351" s="1" t="s">
        <v>6568</v>
      </c>
      <c r="E2351" s="1" t="str">
        <f>"1095"</f>
        <v>1095</v>
      </c>
      <c r="F2351" s="1" t="str">
        <f>"015300833"</f>
        <v>015300833</v>
      </c>
      <c r="G2351" s="1" t="s">
        <v>6567</v>
      </c>
      <c r="H2351" s="1" t="s">
        <v>16</v>
      </c>
      <c r="I2351" s="4" t="str">
        <f>"1"</f>
        <v>1</v>
      </c>
      <c r="J2351" s="2">
        <v>162.31</v>
      </c>
      <c r="K2351" s="3">
        <v>46175</v>
      </c>
      <c r="L2351" s="3">
        <v>46178</v>
      </c>
      <c r="M2351" s="1" t="s">
        <v>6566</v>
      </c>
      <c r="N2351" s="1" t="s">
        <v>6565</v>
      </c>
    </row>
    <row r="2352" spans="1:14" s="1" customFormat="1" x14ac:dyDescent="0.35">
      <c r="A2352" s="1" t="s">
        <v>5171</v>
      </c>
      <c r="B2352" s="1" t="s">
        <v>4201</v>
      </c>
      <c r="C2352" s="1" t="s">
        <v>4344</v>
      </c>
      <c r="D2352" s="1" t="s">
        <v>6564</v>
      </c>
      <c r="E2352" s="1" t="str">
        <f>"2340"</f>
        <v>2340</v>
      </c>
      <c r="F2352" s="1" t="s">
        <v>61</v>
      </c>
      <c r="G2352" s="1" t="s">
        <v>62</v>
      </c>
      <c r="H2352" s="1" t="s">
        <v>16</v>
      </c>
      <c r="I2352" s="4" t="str">
        <f>"1"</f>
        <v>1</v>
      </c>
      <c r="J2352" s="2" t="str">
        <f>"5000"</f>
        <v>5000</v>
      </c>
      <c r="K2352" s="3">
        <v>46165</v>
      </c>
      <c r="L2352" s="3">
        <v>46178</v>
      </c>
      <c r="M2352" s="1" t="s">
        <v>6563</v>
      </c>
      <c r="N2352" s="1" t="s">
        <v>6562</v>
      </c>
    </row>
    <row r="2353" spans="1:14" s="1" customFormat="1" x14ac:dyDescent="0.35">
      <c r="A2353" s="1" t="s">
        <v>5171</v>
      </c>
      <c r="B2353" s="1" t="s">
        <v>4201</v>
      </c>
      <c r="C2353" s="1" t="s">
        <v>4389</v>
      </c>
      <c r="D2353" s="1" t="s">
        <v>6561</v>
      </c>
      <c r="E2353" s="1" t="str">
        <f>"2320"</f>
        <v>2320</v>
      </c>
      <c r="F2353" s="1" t="str">
        <f>"011274800"</f>
        <v>011274800</v>
      </c>
      <c r="G2353" s="1" t="s">
        <v>271</v>
      </c>
      <c r="H2353" s="1" t="s">
        <v>16</v>
      </c>
      <c r="I2353" s="4" t="str">
        <f>"1"</f>
        <v>1</v>
      </c>
      <c r="J2353" s="2" t="str">
        <f>"7895"</f>
        <v>7895</v>
      </c>
      <c r="K2353" s="3">
        <v>46153</v>
      </c>
      <c r="L2353" s="3">
        <v>46178</v>
      </c>
      <c r="M2353" s="1" t="s">
        <v>6560</v>
      </c>
      <c r="N2353" s="1" t="s">
        <v>6559</v>
      </c>
    </row>
    <row r="2354" spans="1:14" s="1" customFormat="1" x14ac:dyDescent="0.35">
      <c r="A2354" s="1" t="s">
        <v>5171</v>
      </c>
      <c r="B2354" s="1" t="s">
        <v>4201</v>
      </c>
      <c r="C2354" s="1" t="s">
        <v>4248</v>
      </c>
      <c r="D2354" s="1" t="s">
        <v>6558</v>
      </c>
      <c r="E2354" s="1" t="str">
        <f>"2330"</f>
        <v>2330</v>
      </c>
      <c r="F2354" s="1" t="str">
        <f>"008925389"</f>
        <v>008925389</v>
      </c>
      <c r="G2354" s="1" t="s">
        <v>122</v>
      </c>
      <c r="H2354" s="1" t="s">
        <v>16</v>
      </c>
      <c r="I2354" s="4" t="str">
        <f>"1"</f>
        <v>1</v>
      </c>
      <c r="J2354" s="2" t="str">
        <f>"3295"</f>
        <v>3295</v>
      </c>
      <c r="K2354" s="3">
        <v>46172</v>
      </c>
      <c r="L2354" s="3">
        <v>46179</v>
      </c>
      <c r="M2354" s="1" t="s">
        <v>6557</v>
      </c>
      <c r="N2354" s="1" t="s">
        <v>6556</v>
      </c>
    </row>
    <row r="2355" spans="1:14" s="1" customFormat="1" x14ac:dyDescent="0.35">
      <c r="A2355" s="1" t="s">
        <v>5171</v>
      </c>
      <c r="B2355" s="1" t="s">
        <v>4201</v>
      </c>
      <c r="C2355" s="1" t="s">
        <v>4308</v>
      </c>
      <c r="D2355" s="1" t="s">
        <v>6555</v>
      </c>
      <c r="E2355" s="1" t="str">
        <f>"1940"</f>
        <v>1940</v>
      </c>
      <c r="F2355" s="1" t="s">
        <v>1503</v>
      </c>
      <c r="G2355" s="1" t="s">
        <v>1504</v>
      </c>
      <c r="H2355" s="1" t="s">
        <v>16</v>
      </c>
      <c r="I2355" s="4" t="str">
        <f>"1"</f>
        <v>1</v>
      </c>
      <c r="J2355" s="2" t="str">
        <f>"18000"</f>
        <v>18000</v>
      </c>
      <c r="K2355" s="3">
        <v>46172</v>
      </c>
      <c r="L2355" s="3">
        <v>46179</v>
      </c>
      <c r="M2355" s="1" t="s">
        <v>6554</v>
      </c>
      <c r="N2355" s="1" t="s">
        <v>6553</v>
      </c>
    </row>
    <row r="2356" spans="1:14" s="1" customFormat="1" x14ac:dyDescent="0.35">
      <c r="A2356" s="1" t="s">
        <v>5171</v>
      </c>
      <c r="B2356" s="1" t="s">
        <v>4201</v>
      </c>
      <c r="C2356" s="1" t="s">
        <v>4308</v>
      </c>
      <c r="D2356" s="1" t="s">
        <v>6552</v>
      </c>
      <c r="E2356" s="1" t="str">
        <f>"5180"</f>
        <v>5180</v>
      </c>
      <c r="F2356" s="1" t="str">
        <f>"014287873"</f>
        <v>014287873</v>
      </c>
      <c r="G2356" s="1" t="s">
        <v>214</v>
      </c>
      <c r="H2356" s="1" t="s">
        <v>215</v>
      </c>
      <c r="I2356" s="4" t="str">
        <f>"3"</f>
        <v>3</v>
      </c>
      <c r="J2356" s="2">
        <v>30834.27</v>
      </c>
      <c r="K2356" s="3">
        <v>46172</v>
      </c>
      <c r="L2356" s="3">
        <v>46179</v>
      </c>
      <c r="M2356" s="1" t="s">
        <v>6551</v>
      </c>
      <c r="N2356" s="1" t="s">
        <v>6550</v>
      </c>
    </row>
    <row r="2357" spans="1:14" s="1" customFormat="1" x14ac:dyDescent="0.35">
      <c r="A2357" s="1" t="s">
        <v>5171</v>
      </c>
      <c r="B2357" s="1" t="s">
        <v>4201</v>
      </c>
      <c r="C2357" s="1" t="s">
        <v>4344</v>
      </c>
      <c r="D2357" s="1" t="s">
        <v>6549</v>
      </c>
      <c r="E2357" s="1" t="str">
        <f>"2310"</f>
        <v>2310</v>
      </c>
      <c r="F2357" s="1" t="str">
        <f>"010907739"</f>
        <v>010907739</v>
      </c>
      <c r="G2357" s="1" t="s">
        <v>1489</v>
      </c>
      <c r="H2357" s="1" t="s">
        <v>16</v>
      </c>
      <c r="I2357" s="4" t="str">
        <f>"1"</f>
        <v>1</v>
      </c>
      <c r="J2357" s="2" t="str">
        <f>"9176"</f>
        <v>9176</v>
      </c>
      <c r="K2357" s="3">
        <v>46165</v>
      </c>
      <c r="L2357" s="3">
        <v>46179</v>
      </c>
      <c r="M2357" s="1" t="s">
        <v>6548</v>
      </c>
      <c r="N2357" s="1" t="s">
        <v>6547</v>
      </c>
    </row>
    <row r="2358" spans="1:14" s="1" customFormat="1" x14ac:dyDescent="0.35">
      <c r="A2358" s="1" t="s">
        <v>5230</v>
      </c>
      <c r="B2358" s="1" t="s">
        <v>4201</v>
      </c>
      <c r="C2358" s="1" t="s">
        <v>4260</v>
      </c>
      <c r="D2358" s="1" t="s">
        <v>6546</v>
      </c>
      <c r="E2358" s="1" t="str">
        <f>"2320"</f>
        <v>2320</v>
      </c>
      <c r="F2358" s="1" t="str">
        <f>"013808213"</f>
        <v>013808213</v>
      </c>
      <c r="G2358" s="1" t="s">
        <v>414</v>
      </c>
      <c r="H2358" s="1" t="s">
        <v>16</v>
      </c>
      <c r="I2358" s="4" t="str">
        <f>"1"</f>
        <v>1</v>
      </c>
      <c r="J2358" s="2" t="str">
        <f>"77522"</f>
        <v>77522</v>
      </c>
      <c r="K2358" s="3">
        <v>46180</v>
      </c>
      <c r="L2358" s="3">
        <v>46181</v>
      </c>
      <c r="N2358" s="1" t="s">
        <v>6545</v>
      </c>
    </row>
    <row r="2359" spans="1:14" s="1" customFormat="1" x14ac:dyDescent="0.35">
      <c r="A2359" s="1" t="s">
        <v>0</v>
      </c>
      <c r="B2359" s="1" t="s">
        <v>4201</v>
      </c>
      <c r="C2359" s="1" t="s">
        <v>4275</v>
      </c>
      <c r="D2359" s="1" t="s">
        <v>6544</v>
      </c>
      <c r="E2359" s="1" t="str">
        <f>"2320"</f>
        <v>2320</v>
      </c>
      <c r="F2359" s="1" t="s">
        <v>975</v>
      </c>
      <c r="G2359" s="1" t="s">
        <v>976</v>
      </c>
      <c r="H2359" s="1" t="s">
        <v>16</v>
      </c>
      <c r="I2359" s="4" t="str">
        <f>"1"</f>
        <v>1</v>
      </c>
      <c r="J2359" s="2" t="str">
        <f>"210814"</f>
        <v>210814</v>
      </c>
      <c r="K2359" s="3">
        <v>46179</v>
      </c>
      <c r="L2359" s="3">
        <v>46181</v>
      </c>
      <c r="M2359" s="1" t="s">
        <v>6403</v>
      </c>
      <c r="N2359" s="1" t="s">
        <v>6543</v>
      </c>
    </row>
    <row r="2360" spans="1:14" s="1" customFormat="1" x14ac:dyDescent="0.35">
      <c r="A2360" s="1" t="s">
        <v>0</v>
      </c>
      <c r="B2360" s="1" t="s">
        <v>4201</v>
      </c>
      <c r="C2360" s="1" t="s">
        <v>4308</v>
      </c>
      <c r="D2360" s="1" t="s">
        <v>6542</v>
      </c>
      <c r="E2360" s="1" t="str">
        <f>"2320"</f>
        <v>2320</v>
      </c>
      <c r="F2360" s="1" t="s">
        <v>975</v>
      </c>
      <c r="G2360" s="1" t="s">
        <v>976</v>
      </c>
      <c r="H2360" s="1" t="s">
        <v>16</v>
      </c>
      <c r="I2360" s="4" t="str">
        <f>"1"</f>
        <v>1</v>
      </c>
      <c r="J2360" s="2" t="str">
        <f>"210814"</f>
        <v>210814</v>
      </c>
      <c r="K2360" s="3">
        <v>46179</v>
      </c>
      <c r="L2360" s="3">
        <v>46181</v>
      </c>
      <c r="M2360" s="1" t="s">
        <v>6403</v>
      </c>
      <c r="N2360" s="1" t="s">
        <v>6541</v>
      </c>
    </row>
    <row r="2361" spans="1:14" s="1" customFormat="1" x14ac:dyDescent="0.35">
      <c r="A2361" s="1" t="s">
        <v>0</v>
      </c>
      <c r="B2361" s="1" t="s">
        <v>4201</v>
      </c>
      <c r="C2361" s="1" t="s">
        <v>4308</v>
      </c>
      <c r="D2361" s="1" t="s">
        <v>6540</v>
      </c>
      <c r="E2361" s="1" t="str">
        <f>"2330"</f>
        <v>2330</v>
      </c>
      <c r="F2361" s="1" t="s">
        <v>70</v>
      </c>
      <c r="G2361" s="1" t="s">
        <v>71</v>
      </c>
      <c r="H2361" s="1" t="s">
        <v>16</v>
      </c>
      <c r="I2361" s="4" t="str">
        <f>"1"</f>
        <v>1</v>
      </c>
      <c r="J2361" s="2" t="str">
        <f>"10054"</f>
        <v>10054</v>
      </c>
      <c r="K2361" s="3">
        <v>46179</v>
      </c>
      <c r="L2361" s="3">
        <v>46181</v>
      </c>
      <c r="M2361" s="1" t="s">
        <v>6400</v>
      </c>
      <c r="N2361" s="1" t="s">
        <v>6539</v>
      </c>
    </row>
    <row r="2362" spans="1:14" s="1" customFormat="1" x14ac:dyDescent="0.35">
      <c r="A2362" s="1" t="s">
        <v>0</v>
      </c>
      <c r="B2362" s="1" t="s">
        <v>4201</v>
      </c>
      <c r="C2362" s="1" t="s">
        <v>4344</v>
      </c>
      <c r="D2362" s="1" t="s">
        <v>6538</v>
      </c>
      <c r="E2362" s="1" t="str">
        <f>"2330"</f>
        <v>2330</v>
      </c>
      <c r="F2362" s="1" t="s">
        <v>70</v>
      </c>
      <c r="G2362" s="1" t="s">
        <v>71</v>
      </c>
      <c r="H2362" s="1" t="s">
        <v>16</v>
      </c>
      <c r="I2362" s="4" t="str">
        <f>"1"</f>
        <v>1</v>
      </c>
      <c r="J2362" s="2" t="str">
        <f>"14555"</f>
        <v>14555</v>
      </c>
      <c r="K2362" s="3">
        <v>46179</v>
      </c>
      <c r="L2362" s="3">
        <v>46181</v>
      </c>
      <c r="M2362" s="1" t="s">
        <v>6537</v>
      </c>
      <c r="N2362" s="1" t="s">
        <v>6536</v>
      </c>
    </row>
    <row r="2363" spans="1:14" s="1" customFormat="1" x14ac:dyDescent="0.35">
      <c r="A2363" s="1" t="s">
        <v>5171</v>
      </c>
      <c r="B2363" s="1" t="s">
        <v>4201</v>
      </c>
      <c r="C2363" s="1" t="s">
        <v>4275</v>
      </c>
      <c r="D2363" s="1" t="s">
        <v>6535</v>
      </c>
      <c r="E2363" s="1" t="str">
        <f>"8415"</f>
        <v>8415</v>
      </c>
      <c r="F2363" s="1" t="str">
        <f>"015802782"</f>
        <v>015802782</v>
      </c>
      <c r="G2363" s="1" t="s">
        <v>1892</v>
      </c>
      <c r="H2363" s="1" t="s">
        <v>16</v>
      </c>
      <c r="I2363" s="4" t="str">
        <f>"5"</f>
        <v>5</v>
      </c>
      <c r="J2363" s="2">
        <v>146.81</v>
      </c>
      <c r="K2363" s="3">
        <v>46151</v>
      </c>
      <c r="L2363" s="3">
        <v>46184</v>
      </c>
      <c r="M2363" s="1" t="s">
        <v>6534</v>
      </c>
      <c r="N2363" s="1" t="s">
        <v>6533</v>
      </c>
    </row>
    <row r="2364" spans="1:14" s="1" customFormat="1" x14ac:dyDescent="0.35">
      <c r="A2364" s="1" t="s">
        <v>5171</v>
      </c>
      <c r="B2364" s="1" t="s">
        <v>4201</v>
      </c>
      <c r="C2364" s="1" t="s">
        <v>4428</v>
      </c>
      <c r="D2364" s="1" t="s">
        <v>6532</v>
      </c>
      <c r="E2364" s="1" t="str">
        <f>"4240"</f>
        <v>4240</v>
      </c>
      <c r="F2364" s="1" t="str">
        <f>"014925720"</f>
        <v>014925720</v>
      </c>
      <c r="G2364" s="1" t="s">
        <v>557</v>
      </c>
      <c r="H2364" s="1" t="s">
        <v>16</v>
      </c>
      <c r="I2364" s="4" t="str">
        <f>"19"</f>
        <v>19</v>
      </c>
      <c r="J2364" s="2">
        <v>76.83</v>
      </c>
      <c r="K2364" s="3">
        <v>46176</v>
      </c>
      <c r="L2364" s="3">
        <v>46184</v>
      </c>
      <c r="M2364" s="1" t="s">
        <v>6531</v>
      </c>
      <c r="N2364" s="1" t="s">
        <v>6530</v>
      </c>
    </row>
    <row r="2365" spans="1:14" s="1" customFormat="1" x14ac:dyDescent="0.35">
      <c r="A2365" s="1" t="s">
        <v>5171</v>
      </c>
      <c r="B2365" s="1" t="s">
        <v>4201</v>
      </c>
      <c r="C2365" s="1" t="s">
        <v>6386</v>
      </c>
      <c r="D2365" s="1" t="s">
        <v>6529</v>
      </c>
      <c r="E2365" s="1" t="str">
        <f>"5180"</f>
        <v>5180</v>
      </c>
      <c r="F2365" s="1" t="str">
        <f>"016595021"</f>
        <v>016595021</v>
      </c>
      <c r="G2365" s="1" t="s">
        <v>3119</v>
      </c>
      <c r="H2365" s="1" t="s">
        <v>215</v>
      </c>
      <c r="I2365" s="4" t="str">
        <f>"1"</f>
        <v>1</v>
      </c>
      <c r="J2365" s="2">
        <v>17611.71</v>
      </c>
      <c r="K2365" s="3">
        <v>46182</v>
      </c>
      <c r="L2365" s="3">
        <v>46185</v>
      </c>
      <c r="M2365" s="1" t="s">
        <v>6528</v>
      </c>
      <c r="N2365" s="1" t="s">
        <v>6527</v>
      </c>
    </row>
    <row r="2366" spans="1:14" s="1" customFormat="1" x14ac:dyDescent="0.35">
      <c r="A2366" s="1" t="s">
        <v>5171</v>
      </c>
      <c r="B2366" s="1" t="s">
        <v>4201</v>
      </c>
      <c r="C2366" s="1" t="s">
        <v>4428</v>
      </c>
      <c r="D2366" s="1" t="s">
        <v>6526</v>
      </c>
      <c r="E2366" s="1" t="str">
        <f>"6230"</f>
        <v>6230</v>
      </c>
      <c r="F2366" s="1" t="s">
        <v>3314</v>
      </c>
      <c r="G2366" s="1" t="s">
        <v>3315</v>
      </c>
      <c r="H2366" s="1" t="s">
        <v>16</v>
      </c>
      <c r="I2366" s="4" t="str">
        <f>"35"</f>
        <v>35</v>
      </c>
      <c r="J2366" s="2" t="str">
        <f>"150"</f>
        <v>150</v>
      </c>
      <c r="K2366" s="3">
        <v>46183</v>
      </c>
      <c r="L2366" s="3">
        <v>46185</v>
      </c>
      <c r="M2366" s="1" t="s">
        <v>6525</v>
      </c>
      <c r="N2366" s="1" t="s">
        <v>6524</v>
      </c>
    </row>
    <row r="2367" spans="1:14" s="1" customFormat="1" x14ac:dyDescent="0.35">
      <c r="A2367" s="1" t="s">
        <v>5171</v>
      </c>
      <c r="B2367" s="1" t="s">
        <v>4201</v>
      </c>
      <c r="C2367" s="1" t="s">
        <v>4344</v>
      </c>
      <c r="D2367" s="1" t="s">
        <v>6523</v>
      </c>
      <c r="E2367" s="1" t="str">
        <f>"5450"</f>
        <v>5450</v>
      </c>
      <c r="F2367" s="1" t="s">
        <v>6488</v>
      </c>
      <c r="G2367" s="1" t="s">
        <v>6487</v>
      </c>
      <c r="H2367" s="1" t="s">
        <v>16</v>
      </c>
      <c r="I2367" s="4" t="str">
        <f>"1"</f>
        <v>1</v>
      </c>
      <c r="J2367" s="2" t="str">
        <f>"3000"</f>
        <v>3000</v>
      </c>
      <c r="K2367" s="3">
        <v>46179</v>
      </c>
      <c r="L2367" s="3">
        <v>46186</v>
      </c>
      <c r="M2367" s="1" t="s">
        <v>6522</v>
      </c>
      <c r="N2367" s="1" t="s">
        <v>6485</v>
      </c>
    </row>
    <row r="2368" spans="1:14" s="1" customFormat="1" x14ac:dyDescent="0.35">
      <c r="A2368" s="1" t="s">
        <v>5230</v>
      </c>
      <c r="B2368" s="1" t="s">
        <v>4201</v>
      </c>
      <c r="C2368" s="1" t="s">
        <v>4428</v>
      </c>
      <c r="D2368" s="1" t="s">
        <v>6521</v>
      </c>
      <c r="E2368" s="1" t="str">
        <f>"1240"</f>
        <v>1240</v>
      </c>
      <c r="F2368" s="1" t="str">
        <f>"015766134"</f>
        <v>015766134</v>
      </c>
      <c r="G2368" s="1" t="s">
        <v>1103</v>
      </c>
      <c r="H2368" s="1" t="s">
        <v>16</v>
      </c>
      <c r="I2368" s="4" t="str">
        <f>"34"</f>
        <v>34</v>
      </c>
      <c r="J2368" s="2" t="str">
        <f>"589"</f>
        <v>589</v>
      </c>
      <c r="K2368" s="3">
        <v>46188</v>
      </c>
      <c r="L2368" s="3">
        <v>46188</v>
      </c>
      <c r="N2368" s="1" t="s">
        <v>6520</v>
      </c>
    </row>
    <row r="2369" spans="1:14" s="1" customFormat="1" x14ac:dyDescent="0.35">
      <c r="A2369" s="1" t="s">
        <v>5171</v>
      </c>
      <c r="B2369" s="1" t="s">
        <v>4201</v>
      </c>
      <c r="C2369" s="1" t="s">
        <v>6386</v>
      </c>
      <c r="D2369" s="1" t="s">
        <v>6519</v>
      </c>
      <c r="E2369" s="1" t="str">
        <f>"2320"</f>
        <v>2320</v>
      </c>
      <c r="F2369" s="1" t="str">
        <f>"014319237"</f>
        <v>014319237</v>
      </c>
      <c r="G2369" s="1" t="s">
        <v>6518</v>
      </c>
      <c r="H2369" s="1" t="s">
        <v>16</v>
      </c>
      <c r="I2369" s="4" t="str">
        <f>"1"</f>
        <v>1</v>
      </c>
      <c r="J2369" s="2" t="str">
        <f>"95110"</f>
        <v>95110</v>
      </c>
      <c r="K2369" s="3">
        <v>46188</v>
      </c>
      <c r="L2369" s="3">
        <v>46189</v>
      </c>
      <c r="N2369" s="1" t="s">
        <v>6517</v>
      </c>
    </row>
    <row r="2370" spans="1:14" s="1" customFormat="1" x14ac:dyDescent="0.35">
      <c r="A2370" s="1" t="s">
        <v>5171</v>
      </c>
      <c r="B2370" s="1" t="s">
        <v>4201</v>
      </c>
      <c r="C2370" s="1" t="s">
        <v>4275</v>
      </c>
      <c r="D2370" s="1" t="s">
        <v>6516</v>
      </c>
      <c r="E2370" s="1" t="str">
        <f>"5855"</f>
        <v>5855</v>
      </c>
      <c r="F2370" s="1" t="str">
        <f>"015851631"</f>
        <v>015851631</v>
      </c>
      <c r="G2370" s="1" t="s">
        <v>6515</v>
      </c>
      <c r="H2370" s="1" t="s">
        <v>16</v>
      </c>
      <c r="I2370" s="4" t="str">
        <f>"1"</f>
        <v>1</v>
      </c>
      <c r="J2370" s="2">
        <v>9912.81</v>
      </c>
      <c r="K2370" s="3">
        <v>46188</v>
      </c>
      <c r="L2370" s="3">
        <v>46190</v>
      </c>
      <c r="M2370" s="1" t="s">
        <v>5167</v>
      </c>
      <c r="N2370" s="1" t="s">
        <v>6514</v>
      </c>
    </row>
    <row r="2371" spans="1:14" s="1" customFormat="1" x14ac:dyDescent="0.35">
      <c r="A2371" s="1" t="s">
        <v>5171</v>
      </c>
      <c r="B2371" s="1" t="s">
        <v>4201</v>
      </c>
      <c r="C2371" s="1" t="s">
        <v>4235</v>
      </c>
      <c r="D2371" s="1" t="s">
        <v>6513</v>
      </c>
      <c r="E2371" s="1" t="str">
        <f>"5430"</f>
        <v>5430</v>
      </c>
      <c r="F2371" s="1" t="s">
        <v>6512</v>
      </c>
      <c r="G2371" s="1" t="s">
        <v>6511</v>
      </c>
      <c r="H2371" s="1" t="s">
        <v>16</v>
      </c>
      <c r="I2371" s="4" t="str">
        <f>"1"</f>
        <v>1</v>
      </c>
      <c r="J2371" s="2" t="str">
        <f>"500"</f>
        <v>500</v>
      </c>
      <c r="K2371" s="3">
        <v>46158</v>
      </c>
      <c r="L2371" s="3">
        <v>46191</v>
      </c>
      <c r="M2371" s="1" t="s">
        <v>6510</v>
      </c>
      <c r="N2371" s="1" t="s">
        <v>6509</v>
      </c>
    </row>
    <row r="2372" spans="1:14" s="1" customFormat="1" x14ac:dyDescent="0.35">
      <c r="A2372" s="1" t="s">
        <v>5171</v>
      </c>
      <c r="B2372" s="1" t="s">
        <v>4201</v>
      </c>
      <c r="C2372" s="1" t="s">
        <v>4248</v>
      </c>
      <c r="D2372" s="1" t="s">
        <v>6508</v>
      </c>
      <c r="E2372" s="1" t="str">
        <f>"2330"</f>
        <v>2330</v>
      </c>
      <c r="F2372" s="1" t="s">
        <v>70</v>
      </c>
      <c r="G2372" s="1" t="s">
        <v>71</v>
      </c>
      <c r="H2372" s="1" t="s">
        <v>16</v>
      </c>
      <c r="I2372" s="4" t="str">
        <f>"1"</f>
        <v>1</v>
      </c>
      <c r="J2372" s="2" t="str">
        <f>"10054"</f>
        <v>10054</v>
      </c>
      <c r="K2372" s="3">
        <v>46180</v>
      </c>
      <c r="L2372" s="3">
        <v>46191</v>
      </c>
      <c r="M2372" s="1" t="s">
        <v>6507</v>
      </c>
      <c r="N2372" s="1" t="s">
        <v>6506</v>
      </c>
    </row>
    <row r="2373" spans="1:14" s="1" customFormat="1" x14ac:dyDescent="0.35">
      <c r="A2373" s="1" t="s">
        <v>5171</v>
      </c>
      <c r="B2373" s="1" t="s">
        <v>4201</v>
      </c>
      <c r="C2373" s="1" t="s">
        <v>4428</v>
      </c>
      <c r="D2373" s="1" t="s">
        <v>6505</v>
      </c>
      <c r="E2373" s="1" t="str">
        <f>"2330"</f>
        <v>2330</v>
      </c>
      <c r="F2373" s="1" t="s">
        <v>70</v>
      </c>
      <c r="G2373" s="1" t="s">
        <v>71</v>
      </c>
      <c r="H2373" s="1" t="s">
        <v>16</v>
      </c>
      <c r="I2373" s="4" t="str">
        <f>"1"</f>
        <v>1</v>
      </c>
      <c r="J2373" s="2" t="str">
        <f>"26680"</f>
        <v>26680</v>
      </c>
      <c r="K2373" s="3">
        <v>46187</v>
      </c>
      <c r="L2373" s="3">
        <v>46191</v>
      </c>
      <c r="M2373" s="1" t="s">
        <v>6504</v>
      </c>
      <c r="N2373" s="1" t="s">
        <v>6503</v>
      </c>
    </row>
    <row r="2374" spans="1:14" s="1" customFormat="1" x14ac:dyDescent="0.35">
      <c r="A2374" s="1" t="s">
        <v>5171</v>
      </c>
      <c r="B2374" s="1" t="s">
        <v>4201</v>
      </c>
      <c r="C2374" s="1" t="s">
        <v>6502</v>
      </c>
      <c r="D2374" s="1" t="s">
        <v>6501</v>
      </c>
      <c r="E2374" s="1" t="str">
        <f>"2320"</f>
        <v>2320</v>
      </c>
      <c r="F2374" s="1" t="s">
        <v>975</v>
      </c>
      <c r="G2374" s="1" t="s">
        <v>976</v>
      </c>
      <c r="H2374" s="1" t="s">
        <v>16</v>
      </c>
      <c r="I2374" s="4" t="str">
        <f>"1"</f>
        <v>1</v>
      </c>
      <c r="J2374" s="2" t="str">
        <f>"210814"</f>
        <v>210814</v>
      </c>
      <c r="K2374" s="3">
        <v>46180</v>
      </c>
      <c r="L2374" s="3">
        <v>46195</v>
      </c>
      <c r="M2374" s="1" t="s">
        <v>6500</v>
      </c>
      <c r="N2374" s="1" t="s">
        <v>6499</v>
      </c>
    </row>
    <row r="2375" spans="1:14" s="1" customFormat="1" x14ac:dyDescent="0.35">
      <c r="A2375" s="1" t="s">
        <v>5171</v>
      </c>
      <c r="B2375" s="1" t="s">
        <v>4201</v>
      </c>
      <c r="C2375" s="1" t="s">
        <v>4275</v>
      </c>
      <c r="D2375" s="1" t="s">
        <v>6498</v>
      </c>
      <c r="E2375" s="1" t="str">
        <f>"1095"</f>
        <v>1095</v>
      </c>
      <c r="F2375" s="1" t="str">
        <f>"015286894"</f>
        <v>015286894</v>
      </c>
      <c r="G2375" s="1" t="s">
        <v>6497</v>
      </c>
      <c r="H2375" s="1" t="s">
        <v>3041</v>
      </c>
      <c r="I2375" s="4" t="str">
        <f>"4"</f>
        <v>4</v>
      </c>
      <c r="J2375" s="2">
        <v>5311.42</v>
      </c>
      <c r="K2375" s="3">
        <v>46179</v>
      </c>
      <c r="L2375" s="3">
        <v>46195</v>
      </c>
      <c r="M2375" s="1" t="s">
        <v>6496</v>
      </c>
      <c r="N2375" s="1" t="s">
        <v>6495</v>
      </c>
    </row>
    <row r="2376" spans="1:14" s="1" customFormat="1" x14ac:dyDescent="0.35">
      <c r="A2376" s="1" t="s">
        <v>5171</v>
      </c>
      <c r="B2376" s="1" t="s">
        <v>4201</v>
      </c>
      <c r="C2376" s="1" t="s">
        <v>4344</v>
      </c>
      <c r="D2376" s="1" t="s">
        <v>6494</v>
      </c>
      <c r="E2376" s="1" t="str">
        <f>"2320"</f>
        <v>2320</v>
      </c>
      <c r="F2376" s="1" t="s">
        <v>971</v>
      </c>
      <c r="G2376" s="1" t="s">
        <v>972</v>
      </c>
      <c r="H2376" s="1" t="s">
        <v>16</v>
      </c>
      <c r="I2376" s="4" t="str">
        <f>"1"</f>
        <v>1</v>
      </c>
      <c r="J2376" s="2" t="str">
        <f>"10000"</f>
        <v>10000</v>
      </c>
      <c r="K2376" s="3">
        <v>46193</v>
      </c>
      <c r="L2376" s="3">
        <v>46195</v>
      </c>
      <c r="M2376" s="1" t="s">
        <v>5167</v>
      </c>
      <c r="N2376" s="1" t="s">
        <v>6493</v>
      </c>
    </row>
    <row r="2377" spans="1:14" s="1" customFormat="1" x14ac:dyDescent="0.35">
      <c r="A2377" s="1" t="s">
        <v>5171</v>
      </c>
      <c r="B2377" s="1" t="s">
        <v>4201</v>
      </c>
      <c r="C2377" s="1" t="s">
        <v>4428</v>
      </c>
      <c r="D2377" s="1" t="s">
        <v>6492</v>
      </c>
      <c r="E2377" s="1" t="str">
        <f>"2330"</f>
        <v>2330</v>
      </c>
      <c r="F2377" s="1" t="s">
        <v>70</v>
      </c>
      <c r="G2377" s="1" t="s">
        <v>71</v>
      </c>
      <c r="H2377" s="1" t="s">
        <v>16</v>
      </c>
      <c r="I2377" s="4" t="str">
        <f>"1"</f>
        <v>1</v>
      </c>
      <c r="J2377" s="2" t="str">
        <f>"4000"</f>
        <v>4000</v>
      </c>
      <c r="K2377" s="3">
        <v>46182</v>
      </c>
      <c r="L2377" s="3">
        <v>46195</v>
      </c>
      <c r="M2377" s="1" t="s">
        <v>6491</v>
      </c>
      <c r="N2377" s="1" t="s">
        <v>6490</v>
      </c>
    </row>
    <row r="2378" spans="1:14" s="1" customFormat="1" x14ac:dyDescent="0.35">
      <c r="A2378" s="1" t="s">
        <v>5171</v>
      </c>
      <c r="B2378" s="1" t="s">
        <v>4201</v>
      </c>
      <c r="C2378" s="1" t="s">
        <v>4344</v>
      </c>
      <c r="D2378" s="1" t="s">
        <v>6489</v>
      </c>
      <c r="E2378" s="1" t="str">
        <f>"5450"</f>
        <v>5450</v>
      </c>
      <c r="F2378" s="1" t="s">
        <v>6488</v>
      </c>
      <c r="G2378" s="1" t="s">
        <v>6487</v>
      </c>
      <c r="H2378" s="1" t="s">
        <v>16</v>
      </c>
      <c r="I2378" s="4" t="str">
        <f>"1"</f>
        <v>1</v>
      </c>
      <c r="J2378" s="2" t="str">
        <f>"3000"</f>
        <v>3000</v>
      </c>
      <c r="K2378" s="3">
        <v>46179</v>
      </c>
      <c r="L2378" s="3">
        <v>46197</v>
      </c>
      <c r="M2378" s="1" t="s">
        <v>6486</v>
      </c>
      <c r="N2378" s="1" t="s">
        <v>6485</v>
      </c>
    </row>
    <row r="2379" spans="1:14" s="1" customFormat="1" x14ac:dyDescent="0.35">
      <c r="A2379" s="1" t="s">
        <v>5171</v>
      </c>
      <c r="B2379" s="1" t="s">
        <v>4201</v>
      </c>
      <c r="C2379" s="1" t="s">
        <v>4397</v>
      </c>
      <c r="D2379" s="1" t="s">
        <v>6484</v>
      </c>
      <c r="E2379" s="1" t="str">
        <f>"3930"</f>
        <v>3930</v>
      </c>
      <c r="F2379" s="1" t="str">
        <f>"011580849"</f>
        <v>011580849</v>
      </c>
      <c r="G2379" s="1" t="s">
        <v>1304</v>
      </c>
      <c r="H2379" s="1" t="s">
        <v>16</v>
      </c>
      <c r="I2379" s="4" t="str">
        <f>"1"</f>
        <v>1</v>
      </c>
      <c r="J2379" s="2" t="str">
        <f>"72370"</f>
        <v>72370</v>
      </c>
      <c r="K2379" s="3">
        <v>46190</v>
      </c>
      <c r="L2379" s="3">
        <v>46197</v>
      </c>
      <c r="M2379" s="1" t="s">
        <v>6483</v>
      </c>
      <c r="N2379" s="1" t="s">
        <v>6482</v>
      </c>
    </row>
    <row r="2380" spans="1:14" s="1" customFormat="1" x14ac:dyDescent="0.35">
      <c r="A2380" s="1" t="s">
        <v>5171</v>
      </c>
      <c r="B2380" s="1" t="s">
        <v>4201</v>
      </c>
      <c r="C2380" s="1" t="s">
        <v>4428</v>
      </c>
      <c r="D2380" s="1" t="s">
        <v>6481</v>
      </c>
      <c r="E2380" s="1" t="str">
        <f>"5180"</f>
        <v>5180</v>
      </c>
      <c r="F2380" s="1" t="str">
        <f>"016282371"</f>
        <v>016282371</v>
      </c>
      <c r="G2380" s="1" t="s">
        <v>2993</v>
      </c>
      <c r="H2380" s="1" t="s">
        <v>215</v>
      </c>
      <c r="I2380" s="4" t="str">
        <f>"2"</f>
        <v>2</v>
      </c>
      <c r="J2380" s="2" t="str">
        <f>"4963"</f>
        <v>4963</v>
      </c>
      <c r="K2380" s="3">
        <v>46195</v>
      </c>
      <c r="L2380" s="3">
        <v>46197</v>
      </c>
      <c r="M2380" s="1" t="s">
        <v>6480</v>
      </c>
      <c r="N2380" s="1" t="s">
        <v>6479</v>
      </c>
    </row>
    <row r="2381" spans="1:14" s="1" customFormat="1" x14ac:dyDescent="0.35">
      <c r="A2381" s="1" t="s">
        <v>5216</v>
      </c>
      <c r="B2381" s="1" t="s">
        <v>4201</v>
      </c>
      <c r="C2381" s="1" t="s">
        <v>4308</v>
      </c>
      <c r="D2381" s="1" t="s">
        <v>6478</v>
      </c>
      <c r="E2381" s="1" t="str">
        <f>"2320"</f>
        <v>2320</v>
      </c>
      <c r="F2381" s="1" t="s">
        <v>975</v>
      </c>
      <c r="G2381" s="1" t="s">
        <v>976</v>
      </c>
      <c r="H2381" s="1" t="s">
        <v>16</v>
      </c>
      <c r="I2381" s="4" t="str">
        <f>"1"</f>
        <v>1</v>
      </c>
      <c r="J2381" s="2">
        <v>363636.39</v>
      </c>
      <c r="K2381" s="3">
        <v>46197</v>
      </c>
      <c r="L2381" s="3">
        <v>46198</v>
      </c>
      <c r="M2381" s="1" t="s">
        <v>6477</v>
      </c>
      <c r="N2381" s="1" t="s">
        <v>6476</v>
      </c>
    </row>
    <row r="2382" spans="1:14" s="1" customFormat="1" x14ac:dyDescent="0.35">
      <c r="A2382" s="1" t="s">
        <v>0</v>
      </c>
      <c r="B2382" s="1" t="s">
        <v>4201</v>
      </c>
      <c r="C2382" s="1" t="s">
        <v>4428</v>
      </c>
      <c r="D2382" s="1" t="s">
        <v>6475</v>
      </c>
      <c r="E2382" s="1" t="str">
        <f>"5855"</f>
        <v>5855</v>
      </c>
      <c r="F2382" s="1" t="str">
        <f>"014748904"</f>
        <v>014748904</v>
      </c>
      <c r="G2382" s="1" t="s">
        <v>175</v>
      </c>
      <c r="H2382" s="1" t="s">
        <v>16</v>
      </c>
      <c r="I2382" s="4" t="str">
        <f>"2"</f>
        <v>2</v>
      </c>
      <c r="J2382" s="2" t="str">
        <f>"5314"</f>
        <v>5314</v>
      </c>
      <c r="K2382" s="3">
        <v>46197</v>
      </c>
      <c r="L2382" s="3">
        <v>46198</v>
      </c>
      <c r="M2382" s="1" t="s">
        <v>6474</v>
      </c>
      <c r="N2382" s="1" t="s">
        <v>6468</v>
      </c>
    </row>
    <row r="2383" spans="1:14" s="1" customFormat="1" x14ac:dyDescent="0.35">
      <c r="A2383" s="1" t="s">
        <v>0</v>
      </c>
      <c r="B2383" s="1" t="s">
        <v>4201</v>
      </c>
      <c r="C2383" s="1" t="s">
        <v>4428</v>
      </c>
      <c r="D2383" s="1" t="s">
        <v>6473</v>
      </c>
      <c r="E2383" s="1" t="str">
        <f>"2330"</f>
        <v>2330</v>
      </c>
      <c r="F2383" s="1" t="s">
        <v>70</v>
      </c>
      <c r="G2383" s="1" t="s">
        <v>71</v>
      </c>
      <c r="H2383" s="1" t="s">
        <v>16</v>
      </c>
      <c r="I2383" s="4" t="str">
        <f>"1"</f>
        <v>1</v>
      </c>
      <c r="J2383" s="2" t="str">
        <f>"17850"</f>
        <v>17850</v>
      </c>
      <c r="K2383" s="3">
        <v>46198</v>
      </c>
      <c r="L2383" s="3">
        <v>46198</v>
      </c>
      <c r="M2383" s="1" t="s">
        <v>6472</v>
      </c>
      <c r="N2383" s="1" t="s">
        <v>6471</v>
      </c>
    </row>
    <row r="2384" spans="1:14" s="1" customFormat="1" x14ac:dyDescent="0.35">
      <c r="A2384" s="1" t="s">
        <v>0</v>
      </c>
      <c r="B2384" s="1" t="s">
        <v>4201</v>
      </c>
      <c r="C2384" s="1" t="s">
        <v>4428</v>
      </c>
      <c r="D2384" s="1" t="s">
        <v>6470</v>
      </c>
      <c r="E2384" s="1" t="str">
        <f>"5855"</f>
        <v>5855</v>
      </c>
      <c r="F2384" s="1" t="str">
        <f>"014748904"</f>
        <v>014748904</v>
      </c>
      <c r="G2384" s="1" t="s">
        <v>175</v>
      </c>
      <c r="H2384" s="1" t="s">
        <v>16</v>
      </c>
      <c r="I2384" s="4" t="str">
        <f>"5"</f>
        <v>5</v>
      </c>
      <c r="J2384" s="2" t="str">
        <f>"5314"</f>
        <v>5314</v>
      </c>
      <c r="K2384" s="3">
        <v>46197</v>
      </c>
      <c r="L2384" s="3">
        <v>46198</v>
      </c>
      <c r="M2384" s="1" t="s">
        <v>6469</v>
      </c>
      <c r="N2384" s="1" t="s">
        <v>6468</v>
      </c>
    </row>
    <row r="2385" spans="1:14" s="1" customFormat="1" x14ac:dyDescent="0.35">
      <c r="A2385" s="1" t="s">
        <v>5171</v>
      </c>
      <c r="B2385" s="1" t="s">
        <v>4201</v>
      </c>
      <c r="C2385" s="1" t="s">
        <v>4213</v>
      </c>
      <c r="D2385" s="1" t="s">
        <v>6467</v>
      </c>
      <c r="E2385" s="1" t="str">
        <f>"2320"</f>
        <v>2320</v>
      </c>
      <c r="F2385" s="1" t="s">
        <v>2218</v>
      </c>
      <c r="G2385" s="1" t="s">
        <v>2219</v>
      </c>
      <c r="H2385" s="1" t="s">
        <v>16</v>
      </c>
      <c r="I2385" s="4" t="str">
        <f>"1"</f>
        <v>1</v>
      </c>
      <c r="J2385" s="2" t="str">
        <f>"68953"</f>
        <v>68953</v>
      </c>
      <c r="K2385" s="3">
        <v>46095</v>
      </c>
      <c r="L2385" s="3">
        <v>46198</v>
      </c>
      <c r="M2385" s="1" t="s">
        <v>6466</v>
      </c>
      <c r="N2385" s="1" t="s">
        <v>6465</v>
      </c>
    </row>
    <row r="2386" spans="1:14" s="1" customFormat="1" x14ac:dyDescent="0.35">
      <c r="A2386" s="1" t="s">
        <v>5171</v>
      </c>
      <c r="B2386" s="1" t="s">
        <v>4201</v>
      </c>
      <c r="C2386" s="1" t="s">
        <v>4213</v>
      </c>
      <c r="D2386" s="1" t="s">
        <v>6464</v>
      </c>
      <c r="E2386" s="1" t="str">
        <f>"2320"</f>
        <v>2320</v>
      </c>
      <c r="F2386" s="1" t="s">
        <v>975</v>
      </c>
      <c r="G2386" s="1" t="s">
        <v>976</v>
      </c>
      <c r="H2386" s="1" t="s">
        <v>16</v>
      </c>
      <c r="I2386" s="4" t="str">
        <f>"1"</f>
        <v>1</v>
      </c>
      <c r="J2386" s="2" t="str">
        <f>"61735"</f>
        <v>61735</v>
      </c>
      <c r="K2386" s="3">
        <v>46095</v>
      </c>
      <c r="L2386" s="3">
        <v>46198</v>
      </c>
      <c r="M2386" s="1" t="s">
        <v>6463</v>
      </c>
      <c r="N2386" s="1" t="s">
        <v>6462</v>
      </c>
    </row>
    <row r="2387" spans="1:14" s="1" customFormat="1" x14ac:dyDescent="0.35">
      <c r="A2387" s="1" t="s">
        <v>5171</v>
      </c>
      <c r="B2387" s="1" t="s">
        <v>4201</v>
      </c>
      <c r="C2387" s="1" t="s">
        <v>6386</v>
      </c>
      <c r="D2387" s="1" t="s">
        <v>6461</v>
      </c>
      <c r="E2387" s="1" t="str">
        <f>"3830"</f>
        <v>3830</v>
      </c>
      <c r="F2387" s="1" t="str">
        <f>"005980079"</f>
        <v>005980079</v>
      </c>
      <c r="G2387" s="1" t="s">
        <v>6460</v>
      </c>
      <c r="H2387" s="1" t="s">
        <v>16</v>
      </c>
      <c r="I2387" s="4" t="str">
        <f>"1"</f>
        <v>1</v>
      </c>
      <c r="J2387" s="2" t="str">
        <f>"5300"</f>
        <v>5300</v>
      </c>
      <c r="K2387" s="3">
        <v>46192</v>
      </c>
      <c r="L2387" s="3">
        <v>46198</v>
      </c>
      <c r="M2387" s="1" t="s">
        <v>6459</v>
      </c>
      <c r="N2387" s="1" t="s">
        <v>6458</v>
      </c>
    </row>
    <row r="2388" spans="1:14" s="1" customFormat="1" x14ac:dyDescent="0.35">
      <c r="A2388" s="1" t="s">
        <v>5171</v>
      </c>
      <c r="B2388" s="1" t="s">
        <v>4201</v>
      </c>
      <c r="C2388" s="1" t="s">
        <v>4308</v>
      </c>
      <c r="D2388" s="1" t="s">
        <v>6457</v>
      </c>
      <c r="E2388" s="1" t="str">
        <f>"3750"</f>
        <v>3750</v>
      </c>
      <c r="F2388" s="1" t="s">
        <v>3083</v>
      </c>
      <c r="G2388" s="1" t="s">
        <v>3084</v>
      </c>
      <c r="H2388" s="1" t="s">
        <v>16</v>
      </c>
      <c r="I2388" s="4" t="str">
        <f>"1"</f>
        <v>1</v>
      </c>
      <c r="J2388" s="2" t="str">
        <f>"15405"</f>
        <v>15405</v>
      </c>
      <c r="K2388" s="3">
        <v>46137</v>
      </c>
      <c r="L2388" s="3">
        <v>46198</v>
      </c>
      <c r="M2388" s="1" t="s">
        <v>6456</v>
      </c>
      <c r="N2388" s="1" t="s">
        <v>6455</v>
      </c>
    </row>
    <row r="2389" spans="1:14" s="1" customFormat="1" x14ac:dyDescent="0.35">
      <c r="A2389" s="1" t="s">
        <v>5171</v>
      </c>
      <c r="B2389" s="1" t="s">
        <v>4201</v>
      </c>
      <c r="C2389" s="1" t="s">
        <v>4428</v>
      </c>
      <c r="D2389" s="1" t="s">
        <v>6454</v>
      </c>
      <c r="E2389" s="1" t="str">
        <f>"2320"</f>
        <v>2320</v>
      </c>
      <c r="F2389" s="1" t="s">
        <v>975</v>
      </c>
      <c r="G2389" s="1" t="s">
        <v>976</v>
      </c>
      <c r="H2389" s="1" t="s">
        <v>16</v>
      </c>
      <c r="I2389" s="4" t="str">
        <f>"1"</f>
        <v>1</v>
      </c>
      <c r="J2389" s="2" t="str">
        <f>"51511"</f>
        <v>51511</v>
      </c>
      <c r="K2389" s="3">
        <v>46196</v>
      </c>
      <c r="L2389" s="3">
        <v>46198</v>
      </c>
      <c r="M2389" s="1" t="s">
        <v>6453</v>
      </c>
      <c r="N2389" s="1" t="s">
        <v>6452</v>
      </c>
    </row>
    <row r="2390" spans="1:14" s="1" customFormat="1" x14ac:dyDescent="0.35">
      <c r="A2390" s="1" t="s">
        <v>0</v>
      </c>
      <c r="B2390" s="1" t="s">
        <v>4201</v>
      </c>
      <c r="C2390" s="1" t="s">
        <v>6405</v>
      </c>
      <c r="D2390" s="1" t="s">
        <v>6451</v>
      </c>
      <c r="E2390" s="1" t="str">
        <f>"2320"</f>
        <v>2320</v>
      </c>
      <c r="F2390" s="1" t="str">
        <f>"015377753"</f>
        <v>015377753</v>
      </c>
      <c r="G2390" s="1" t="s">
        <v>370</v>
      </c>
      <c r="H2390" s="1" t="s">
        <v>16</v>
      </c>
      <c r="I2390" s="4" t="str">
        <f>"1"</f>
        <v>1</v>
      </c>
      <c r="J2390" s="2" t="str">
        <f>"119900"</f>
        <v>119900</v>
      </c>
      <c r="K2390" s="3">
        <v>46199</v>
      </c>
      <c r="L2390" s="3">
        <v>46199</v>
      </c>
      <c r="M2390" s="1" t="s">
        <v>6449</v>
      </c>
      <c r="N2390" s="1" t="s">
        <v>6411</v>
      </c>
    </row>
    <row r="2391" spans="1:14" s="1" customFormat="1" x14ac:dyDescent="0.35">
      <c r="A2391" s="1" t="s">
        <v>0</v>
      </c>
      <c r="B2391" s="1" t="s">
        <v>4201</v>
      </c>
      <c r="C2391" s="1" t="s">
        <v>6405</v>
      </c>
      <c r="D2391" s="1" t="s">
        <v>6450</v>
      </c>
      <c r="E2391" s="1" t="str">
        <f>"2320"</f>
        <v>2320</v>
      </c>
      <c r="F2391" s="1" t="str">
        <f>"015377753"</f>
        <v>015377753</v>
      </c>
      <c r="G2391" s="1" t="s">
        <v>370</v>
      </c>
      <c r="H2391" s="1" t="s">
        <v>16</v>
      </c>
      <c r="I2391" s="4" t="str">
        <f>"1"</f>
        <v>1</v>
      </c>
      <c r="J2391" s="2" t="str">
        <f>"119900"</f>
        <v>119900</v>
      </c>
      <c r="K2391" s="3">
        <v>46199</v>
      </c>
      <c r="L2391" s="3">
        <v>46199</v>
      </c>
      <c r="M2391" s="1" t="s">
        <v>6449</v>
      </c>
      <c r="N2391" s="1" t="s">
        <v>6411</v>
      </c>
    </row>
    <row r="2392" spans="1:14" s="1" customFormat="1" x14ac:dyDescent="0.35">
      <c r="A2392" s="1" t="s">
        <v>0</v>
      </c>
      <c r="B2392" s="1" t="s">
        <v>4201</v>
      </c>
      <c r="C2392" s="1" t="s">
        <v>6405</v>
      </c>
      <c r="D2392" s="1" t="s">
        <v>6448</v>
      </c>
      <c r="E2392" s="1" t="str">
        <f>"2320"</f>
        <v>2320</v>
      </c>
      <c r="F2392" s="1" t="str">
        <f>"015377753"</f>
        <v>015377753</v>
      </c>
      <c r="G2392" s="1" t="s">
        <v>370</v>
      </c>
      <c r="H2392" s="1" t="s">
        <v>16</v>
      </c>
      <c r="I2392" s="4" t="str">
        <f>"1"</f>
        <v>1</v>
      </c>
      <c r="J2392" s="2" t="str">
        <f>"119900"</f>
        <v>119900</v>
      </c>
      <c r="K2392" s="3">
        <v>46199</v>
      </c>
      <c r="L2392" s="3">
        <v>46199</v>
      </c>
      <c r="M2392" s="1" t="s">
        <v>6447</v>
      </c>
      <c r="N2392" s="1" t="s">
        <v>6446</v>
      </c>
    </row>
    <row r="2393" spans="1:14" s="1" customFormat="1" x14ac:dyDescent="0.35">
      <c r="A2393" s="1" t="s">
        <v>0</v>
      </c>
      <c r="B2393" s="1" t="s">
        <v>4201</v>
      </c>
      <c r="C2393" s="1" t="s">
        <v>4397</v>
      </c>
      <c r="D2393" s="1" t="s">
        <v>6445</v>
      </c>
      <c r="E2393" s="1" t="str">
        <f>"2320"</f>
        <v>2320</v>
      </c>
      <c r="F2393" s="1" t="str">
        <f>"015377753"</f>
        <v>015377753</v>
      </c>
      <c r="G2393" s="1" t="s">
        <v>370</v>
      </c>
      <c r="H2393" s="1" t="s">
        <v>16</v>
      </c>
      <c r="I2393" s="4" t="str">
        <f>"1"</f>
        <v>1</v>
      </c>
      <c r="J2393" s="2" t="str">
        <f>"119900"</f>
        <v>119900</v>
      </c>
      <c r="K2393" s="3">
        <v>46199</v>
      </c>
      <c r="L2393" s="3">
        <v>46199</v>
      </c>
      <c r="M2393" s="1" t="s">
        <v>6444</v>
      </c>
      <c r="N2393" s="1" t="s">
        <v>6443</v>
      </c>
    </row>
    <row r="2394" spans="1:14" s="1" customFormat="1" x14ac:dyDescent="0.35">
      <c r="A2394" s="1" t="s">
        <v>5171</v>
      </c>
      <c r="B2394" s="1" t="s">
        <v>4201</v>
      </c>
      <c r="C2394" s="1" t="s">
        <v>6386</v>
      </c>
      <c r="D2394" s="1" t="s">
        <v>6442</v>
      </c>
      <c r="E2394" s="1" t="str">
        <f>"4110"</f>
        <v>4110</v>
      </c>
      <c r="F2394" s="1" t="str">
        <f>"014080231"</f>
        <v>014080231</v>
      </c>
      <c r="G2394" s="1" t="s">
        <v>6441</v>
      </c>
      <c r="H2394" s="1" t="s">
        <v>16</v>
      </c>
      <c r="I2394" s="4" t="str">
        <f>"1"</f>
        <v>1</v>
      </c>
      <c r="J2394" s="2">
        <v>10274.23</v>
      </c>
      <c r="K2394" s="3">
        <v>46196</v>
      </c>
      <c r="L2394" s="3">
        <v>46199</v>
      </c>
      <c r="M2394" s="1" t="s">
        <v>6440</v>
      </c>
      <c r="N2394" s="1" t="s">
        <v>6439</v>
      </c>
    </row>
    <row r="2395" spans="1:14" s="1" customFormat="1" x14ac:dyDescent="0.35">
      <c r="A2395" s="1" t="s">
        <v>5171</v>
      </c>
      <c r="B2395" s="1" t="s">
        <v>4201</v>
      </c>
      <c r="C2395" s="1" t="s">
        <v>4397</v>
      </c>
      <c r="D2395" s="1" t="s">
        <v>6438</v>
      </c>
      <c r="E2395" s="1" t="str">
        <f>"4240"</f>
        <v>4240</v>
      </c>
      <c r="F2395" s="1" t="str">
        <f>"016812953"</f>
        <v>016812953</v>
      </c>
      <c r="G2395" s="1" t="s">
        <v>3940</v>
      </c>
      <c r="H2395" s="1" t="s">
        <v>16</v>
      </c>
      <c r="I2395" s="4" t="str">
        <f>"23"</f>
        <v>23</v>
      </c>
      <c r="J2395" s="2">
        <v>88.4</v>
      </c>
      <c r="K2395" s="3">
        <v>46160</v>
      </c>
      <c r="L2395" s="3">
        <v>46199</v>
      </c>
      <c r="M2395" s="1" t="s">
        <v>6437</v>
      </c>
      <c r="N2395" s="1" t="s">
        <v>6436</v>
      </c>
    </row>
    <row r="2396" spans="1:14" s="1" customFormat="1" x14ac:dyDescent="0.35">
      <c r="A2396" s="1" t="s">
        <v>5171</v>
      </c>
      <c r="B2396" s="1" t="s">
        <v>4201</v>
      </c>
      <c r="C2396" s="1" t="s">
        <v>4428</v>
      </c>
      <c r="D2396" s="1" t="s">
        <v>6435</v>
      </c>
      <c r="E2396" s="1" t="str">
        <f>"1385"</f>
        <v>1385</v>
      </c>
      <c r="F2396" s="1" t="str">
        <f>"015744707"</f>
        <v>015744707</v>
      </c>
      <c r="G2396" s="1" t="s">
        <v>2463</v>
      </c>
      <c r="H2396" s="1" t="s">
        <v>16</v>
      </c>
      <c r="I2396" s="4" t="str">
        <f>"1"</f>
        <v>1</v>
      </c>
      <c r="J2396" s="2" t="str">
        <f>"10000"</f>
        <v>10000</v>
      </c>
      <c r="K2396" s="3">
        <v>46195</v>
      </c>
      <c r="L2396" s="3">
        <v>46199</v>
      </c>
      <c r="M2396" s="1" t="s">
        <v>6434</v>
      </c>
      <c r="N2396" s="1" t="s">
        <v>6433</v>
      </c>
    </row>
    <row r="2397" spans="1:14" s="1" customFormat="1" x14ac:dyDescent="0.35">
      <c r="A2397" s="1" t="s">
        <v>5171</v>
      </c>
      <c r="B2397" s="1" t="s">
        <v>4201</v>
      </c>
      <c r="C2397" s="1" t="s">
        <v>4235</v>
      </c>
      <c r="D2397" s="1" t="s">
        <v>6432</v>
      </c>
      <c r="E2397" s="1" t="str">
        <f>"2330"</f>
        <v>2330</v>
      </c>
      <c r="F2397" s="1" t="s">
        <v>70</v>
      </c>
      <c r="G2397" s="1" t="s">
        <v>71</v>
      </c>
      <c r="H2397" s="1" t="s">
        <v>16</v>
      </c>
      <c r="I2397" s="4" t="str">
        <f>"1"</f>
        <v>1</v>
      </c>
      <c r="J2397" s="2" t="str">
        <f>"26680"</f>
        <v>26680</v>
      </c>
      <c r="K2397" s="3">
        <v>46186</v>
      </c>
      <c r="L2397" s="3">
        <v>46200</v>
      </c>
      <c r="M2397" s="1" t="s">
        <v>6431</v>
      </c>
      <c r="N2397" s="1" t="s">
        <v>6430</v>
      </c>
    </row>
    <row r="2398" spans="1:14" s="1" customFormat="1" x14ac:dyDescent="0.35">
      <c r="A2398" s="1" t="s">
        <v>5171</v>
      </c>
      <c r="B2398" s="1" t="s">
        <v>4201</v>
      </c>
      <c r="C2398" s="1" t="s">
        <v>6386</v>
      </c>
      <c r="D2398" s="1" t="s">
        <v>6429</v>
      </c>
      <c r="E2398" s="1" t="str">
        <f>"4120"</f>
        <v>4120</v>
      </c>
      <c r="F2398" s="1" t="str">
        <f>"015430741"</f>
        <v>015430741</v>
      </c>
      <c r="G2398" s="1" t="s">
        <v>139</v>
      </c>
      <c r="H2398" s="1" t="s">
        <v>16</v>
      </c>
      <c r="I2398" s="4" t="str">
        <f>"2"</f>
        <v>2</v>
      </c>
      <c r="J2398" s="2" t="str">
        <f>"35644"</f>
        <v>35644</v>
      </c>
      <c r="K2398" s="3">
        <v>46198</v>
      </c>
      <c r="L2398" s="3">
        <v>46200</v>
      </c>
      <c r="M2398" s="1" t="s">
        <v>5167</v>
      </c>
      <c r="N2398" s="1" t="s">
        <v>6428</v>
      </c>
    </row>
    <row r="2399" spans="1:14" s="1" customFormat="1" x14ac:dyDescent="0.35">
      <c r="A2399" s="1" t="s">
        <v>5171</v>
      </c>
      <c r="B2399" s="1" t="s">
        <v>4201</v>
      </c>
      <c r="C2399" s="1" t="s">
        <v>6386</v>
      </c>
      <c r="D2399" s="1" t="s">
        <v>6427</v>
      </c>
      <c r="E2399" s="1" t="str">
        <f>"2310"</f>
        <v>2310</v>
      </c>
      <c r="F2399" s="1" t="s">
        <v>178</v>
      </c>
      <c r="G2399" s="1" t="s">
        <v>179</v>
      </c>
      <c r="H2399" s="1" t="s">
        <v>16</v>
      </c>
      <c r="I2399" s="4" t="str">
        <f>"1"</f>
        <v>1</v>
      </c>
      <c r="J2399" s="2" t="str">
        <f>"21142"</f>
        <v>21142</v>
      </c>
      <c r="K2399" s="3">
        <v>46197</v>
      </c>
      <c r="L2399" s="3">
        <v>46200</v>
      </c>
      <c r="M2399" s="1" t="s">
        <v>6426</v>
      </c>
      <c r="N2399" s="1" t="s">
        <v>6425</v>
      </c>
    </row>
    <row r="2400" spans="1:14" s="1" customFormat="1" x14ac:dyDescent="0.35">
      <c r="A2400" s="1" t="s">
        <v>5171</v>
      </c>
      <c r="B2400" s="1" t="s">
        <v>4201</v>
      </c>
      <c r="C2400" s="1" t="s">
        <v>4428</v>
      </c>
      <c r="D2400" s="1" t="s">
        <v>6424</v>
      </c>
      <c r="E2400" s="1" t="str">
        <f>"2310"</f>
        <v>2310</v>
      </c>
      <c r="F2400" s="1" t="s">
        <v>178</v>
      </c>
      <c r="G2400" s="1" t="s">
        <v>179</v>
      </c>
      <c r="H2400" s="1" t="s">
        <v>16</v>
      </c>
      <c r="I2400" s="4" t="str">
        <f>"1"</f>
        <v>1</v>
      </c>
      <c r="J2400" s="2" t="str">
        <f>"12554"</f>
        <v>12554</v>
      </c>
      <c r="K2400" s="3">
        <v>46187</v>
      </c>
      <c r="L2400" s="3">
        <v>46200</v>
      </c>
      <c r="M2400" s="1" t="s">
        <v>6423</v>
      </c>
      <c r="N2400" s="1" t="s">
        <v>6422</v>
      </c>
    </row>
    <row r="2401" spans="1:14" s="1" customFormat="1" x14ac:dyDescent="0.35">
      <c r="A2401" s="1" t="s">
        <v>5171</v>
      </c>
      <c r="B2401" s="1" t="s">
        <v>4201</v>
      </c>
      <c r="C2401" s="1" t="s">
        <v>4428</v>
      </c>
      <c r="D2401" s="1" t="s">
        <v>6421</v>
      </c>
      <c r="E2401" s="1" t="str">
        <f>"2310"</f>
        <v>2310</v>
      </c>
      <c r="F2401" s="1" t="s">
        <v>178</v>
      </c>
      <c r="G2401" s="1" t="s">
        <v>179</v>
      </c>
      <c r="H2401" s="1" t="s">
        <v>16</v>
      </c>
      <c r="I2401" s="4" t="str">
        <f>"1"</f>
        <v>1</v>
      </c>
      <c r="J2401" s="2" t="str">
        <f>"21142"</f>
        <v>21142</v>
      </c>
      <c r="K2401" s="3">
        <v>46197</v>
      </c>
      <c r="L2401" s="3">
        <v>46200</v>
      </c>
      <c r="M2401" s="1" t="s">
        <v>6420</v>
      </c>
      <c r="N2401" s="1" t="s">
        <v>6419</v>
      </c>
    </row>
    <row r="2402" spans="1:14" s="1" customFormat="1" x14ac:dyDescent="0.35">
      <c r="A2402" s="1" t="s">
        <v>5216</v>
      </c>
      <c r="B2402" s="1" t="s">
        <v>4201</v>
      </c>
      <c r="C2402" s="1" t="s">
        <v>4225</v>
      </c>
      <c r="D2402" s="1" t="s">
        <v>6418</v>
      </c>
      <c r="E2402" s="1" t="str">
        <f>"4210"</f>
        <v>4210</v>
      </c>
      <c r="F2402" s="1" t="str">
        <f>"016200004"</f>
        <v>016200004</v>
      </c>
      <c r="G2402" s="1" t="s">
        <v>2225</v>
      </c>
      <c r="H2402" s="1" t="s">
        <v>16</v>
      </c>
      <c r="I2402" s="4" t="str">
        <f>"1"</f>
        <v>1</v>
      </c>
      <c r="J2402" s="2" t="str">
        <f>"178202"</f>
        <v>178202</v>
      </c>
      <c r="K2402" s="3">
        <v>46200</v>
      </c>
      <c r="L2402" s="3">
        <v>46202</v>
      </c>
      <c r="M2402" s="1" t="s">
        <v>6415</v>
      </c>
      <c r="N2402" s="1" t="s">
        <v>6417</v>
      </c>
    </row>
    <row r="2403" spans="1:14" s="1" customFormat="1" x14ac:dyDescent="0.35">
      <c r="A2403" s="1" t="s">
        <v>5216</v>
      </c>
      <c r="B2403" s="1" t="s">
        <v>4201</v>
      </c>
      <c r="C2403" s="1" t="s">
        <v>4248</v>
      </c>
      <c r="D2403" s="1" t="s">
        <v>6416</v>
      </c>
      <c r="E2403" s="1" t="str">
        <f>"4210"</f>
        <v>4210</v>
      </c>
      <c r="F2403" s="1" t="str">
        <f>"016200004"</f>
        <v>016200004</v>
      </c>
      <c r="G2403" s="1" t="s">
        <v>2225</v>
      </c>
      <c r="H2403" s="1" t="s">
        <v>16</v>
      </c>
      <c r="I2403" s="4" t="str">
        <f>"1"</f>
        <v>1</v>
      </c>
      <c r="J2403" s="2" t="str">
        <f>"178202"</f>
        <v>178202</v>
      </c>
      <c r="K2403" s="3">
        <v>46200</v>
      </c>
      <c r="L2403" s="3">
        <v>46202</v>
      </c>
      <c r="M2403" s="1" t="s">
        <v>6415</v>
      </c>
      <c r="N2403" s="1" t="s">
        <v>6414</v>
      </c>
    </row>
    <row r="2404" spans="1:14" s="1" customFormat="1" x14ac:dyDescent="0.35">
      <c r="A2404" s="1" t="s">
        <v>5216</v>
      </c>
      <c r="B2404" s="1" t="s">
        <v>4201</v>
      </c>
      <c r="C2404" s="1" t="s">
        <v>6405</v>
      </c>
      <c r="D2404" s="1" t="s">
        <v>6413</v>
      </c>
      <c r="E2404" s="1" t="str">
        <f>"2320"</f>
        <v>2320</v>
      </c>
      <c r="F2404" s="1" t="str">
        <f>"015377753"</f>
        <v>015377753</v>
      </c>
      <c r="G2404" s="1" t="s">
        <v>370</v>
      </c>
      <c r="H2404" s="1" t="s">
        <v>16</v>
      </c>
      <c r="I2404" s="4" t="str">
        <f>"1"</f>
        <v>1</v>
      </c>
      <c r="J2404" s="2" t="str">
        <f>"119900"</f>
        <v>119900</v>
      </c>
      <c r="K2404" s="3">
        <v>46199</v>
      </c>
      <c r="L2404" s="3">
        <v>46202</v>
      </c>
      <c r="M2404" s="1" t="s">
        <v>6412</v>
      </c>
      <c r="N2404" s="1" t="s">
        <v>6411</v>
      </c>
    </row>
    <row r="2405" spans="1:14" s="1" customFormat="1" x14ac:dyDescent="0.35">
      <c r="A2405" s="1" t="s">
        <v>5216</v>
      </c>
      <c r="B2405" s="1" t="s">
        <v>4201</v>
      </c>
      <c r="C2405" s="1" t="s">
        <v>4428</v>
      </c>
      <c r="D2405" s="1" t="s">
        <v>6410</v>
      </c>
      <c r="E2405" s="1" t="str">
        <f>"2320"</f>
        <v>2320</v>
      </c>
      <c r="F2405" s="1" t="str">
        <f>"015377753"</f>
        <v>015377753</v>
      </c>
      <c r="G2405" s="1" t="s">
        <v>370</v>
      </c>
      <c r="H2405" s="1" t="s">
        <v>16</v>
      </c>
      <c r="I2405" s="4" t="str">
        <f>"1"</f>
        <v>1</v>
      </c>
      <c r="J2405" s="2" t="str">
        <f>"119900"</f>
        <v>119900</v>
      </c>
      <c r="K2405" s="3">
        <v>46198</v>
      </c>
      <c r="L2405" s="3">
        <v>46202</v>
      </c>
      <c r="M2405" s="1" t="s">
        <v>6409</v>
      </c>
      <c r="N2405" s="1" t="s">
        <v>6399</v>
      </c>
    </row>
    <row r="2406" spans="1:14" s="1" customFormat="1" x14ac:dyDescent="0.35">
      <c r="A2406" s="1" t="s">
        <v>0</v>
      </c>
      <c r="B2406" s="1" t="s">
        <v>4201</v>
      </c>
      <c r="C2406" s="1" t="s">
        <v>4213</v>
      </c>
      <c r="D2406" s="1" t="s">
        <v>6408</v>
      </c>
      <c r="E2406" s="1" t="str">
        <f>"2320"</f>
        <v>2320</v>
      </c>
      <c r="F2406" s="1" t="str">
        <f>"015377753"</f>
        <v>015377753</v>
      </c>
      <c r="G2406" s="1" t="s">
        <v>370</v>
      </c>
      <c r="H2406" s="1" t="s">
        <v>16</v>
      </c>
      <c r="I2406" s="4" t="str">
        <f>"1"</f>
        <v>1</v>
      </c>
      <c r="J2406" s="2" t="str">
        <f>"119900"</f>
        <v>119900</v>
      </c>
      <c r="K2406" s="3">
        <v>46200</v>
      </c>
      <c r="L2406" s="3">
        <v>46202</v>
      </c>
      <c r="M2406" s="1" t="s">
        <v>6407</v>
      </c>
      <c r="N2406" s="1" t="s">
        <v>6406</v>
      </c>
    </row>
    <row r="2407" spans="1:14" s="1" customFormat="1" x14ac:dyDescent="0.35">
      <c r="A2407" s="1" t="s">
        <v>0</v>
      </c>
      <c r="B2407" s="1" t="s">
        <v>4201</v>
      </c>
      <c r="C2407" s="1" t="s">
        <v>6405</v>
      </c>
      <c r="D2407" s="1" t="s">
        <v>6404</v>
      </c>
      <c r="E2407" s="1" t="str">
        <f>"2320"</f>
        <v>2320</v>
      </c>
      <c r="F2407" s="1" t="str">
        <f>"015377753"</f>
        <v>015377753</v>
      </c>
      <c r="G2407" s="1" t="s">
        <v>370</v>
      </c>
      <c r="H2407" s="1" t="s">
        <v>16</v>
      </c>
      <c r="I2407" s="4" t="str">
        <f>"1"</f>
        <v>1</v>
      </c>
      <c r="J2407" s="2" t="str">
        <f>"119900"</f>
        <v>119900</v>
      </c>
      <c r="K2407" s="3">
        <v>46199</v>
      </c>
      <c r="L2407" s="3">
        <v>46202</v>
      </c>
      <c r="M2407" s="1" t="s">
        <v>6403</v>
      </c>
      <c r="N2407" s="1" t="s">
        <v>6402</v>
      </c>
    </row>
    <row r="2408" spans="1:14" s="1" customFormat="1" x14ac:dyDescent="0.35">
      <c r="A2408" s="1" t="s">
        <v>0</v>
      </c>
      <c r="B2408" s="1" t="s">
        <v>4201</v>
      </c>
      <c r="C2408" s="1" t="s">
        <v>4428</v>
      </c>
      <c r="D2408" s="1" t="s">
        <v>6401</v>
      </c>
      <c r="E2408" s="1" t="str">
        <f>"2320"</f>
        <v>2320</v>
      </c>
      <c r="F2408" s="1" t="str">
        <f>"015377753"</f>
        <v>015377753</v>
      </c>
      <c r="G2408" s="1" t="s">
        <v>370</v>
      </c>
      <c r="H2408" s="1" t="s">
        <v>16</v>
      </c>
      <c r="I2408" s="4" t="str">
        <f>"1"</f>
        <v>1</v>
      </c>
      <c r="J2408" s="2" t="str">
        <f>"119900"</f>
        <v>119900</v>
      </c>
      <c r="K2408" s="3">
        <v>46198</v>
      </c>
      <c r="L2408" s="3">
        <v>46202</v>
      </c>
      <c r="M2408" s="1" t="s">
        <v>6400</v>
      </c>
      <c r="N2408" s="1" t="s">
        <v>6399</v>
      </c>
    </row>
    <row r="2409" spans="1:14" s="1" customFormat="1" x14ac:dyDescent="0.35">
      <c r="A2409" s="1" t="s">
        <v>5171</v>
      </c>
      <c r="B2409" s="1" t="s">
        <v>4201</v>
      </c>
      <c r="C2409" s="1" t="s">
        <v>4275</v>
      </c>
      <c r="D2409" s="1" t="s">
        <v>6398</v>
      </c>
      <c r="E2409" s="1" t="str">
        <f>"1005"</f>
        <v>1005</v>
      </c>
      <c r="F2409" s="1" t="s">
        <v>94</v>
      </c>
      <c r="G2409" s="1" t="s">
        <v>95</v>
      </c>
      <c r="H2409" s="1" t="s">
        <v>16</v>
      </c>
      <c r="I2409" s="4" t="str">
        <f>"20"</f>
        <v>20</v>
      </c>
      <c r="J2409" s="2" t="str">
        <f>"50"</f>
        <v>50</v>
      </c>
      <c r="K2409" s="3">
        <v>46148</v>
      </c>
      <c r="L2409" s="3">
        <v>46202</v>
      </c>
      <c r="M2409" s="1" t="s">
        <v>6397</v>
      </c>
      <c r="N2409" s="1" t="s">
        <v>6396</v>
      </c>
    </row>
    <row r="2410" spans="1:14" s="1" customFormat="1" x14ac:dyDescent="0.35">
      <c r="A2410" s="1" t="s">
        <v>5171</v>
      </c>
      <c r="B2410" s="1" t="s">
        <v>4201</v>
      </c>
      <c r="C2410" s="1" t="s">
        <v>4308</v>
      </c>
      <c r="D2410" s="1" t="s">
        <v>6395</v>
      </c>
      <c r="E2410" s="1" t="str">
        <f>"8145"</f>
        <v>8145</v>
      </c>
      <c r="F2410" s="1" t="s">
        <v>408</v>
      </c>
      <c r="G2410" s="1" t="s">
        <v>409</v>
      </c>
      <c r="H2410" s="1" t="s">
        <v>16</v>
      </c>
      <c r="I2410" s="4" t="str">
        <f>"1"</f>
        <v>1</v>
      </c>
      <c r="J2410" s="2" t="str">
        <f>"12000"</f>
        <v>12000</v>
      </c>
      <c r="K2410" s="3">
        <v>46172</v>
      </c>
      <c r="L2410" s="3">
        <v>46202</v>
      </c>
      <c r="M2410" s="1" t="s">
        <v>6394</v>
      </c>
      <c r="N2410" s="1" t="s">
        <v>6393</v>
      </c>
    </row>
    <row r="2411" spans="1:14" s="1" customFormat="1" x14ac:dyDescent="0.35">
      <c r="A2411" s="1" t="s">
        <v>5171</v>
      </c>
      <c r="B2411" s="1" t="s">
        <v>4201</v>
      </c>
      <c r="C2411" s="1" t="s">
        <v>4417</v>
      </c>
      <c r="D2411" s="1" t="s">
        <v>6392</v>
      </c>
      <c r="E2411" s="1" t="str">
        <f>"5855"</f>
        <v>5855</v>
      </c>
      <c r="F2411" s="1" t="str">
        <f>"016036141"</f>
        <v>016036141</v>
      </c>
      <c r="G2411" s="1" t="s">
        <v>1379</v>
      </c>
      <c r="H2411" s="1" t="s">
        <v>16</v>
      </c>
      <c r="I2411" s="4" t="str">
        <f>"5"</f>
        <v>5</v>
      </c>
      <c r="J2411" s="2" t="str">
        <f>"26000"</f>
        <v>26000</v>
      </c>
      <c r="K2411" s="3">
        <v>46154</v>
      </c>
      <c r="L2411" s="3">
        <v>46202</v>
      </c>
      <c r="M2411" s="1" t="s">
        <v>6391</v>
      </c>
      <c r="N2411" s="1" t="s">
        <v>6390</v>
      </c>
    </row>
    <row r="2412" spans="1:14" s="1" customFormat="1" x14ac:dyDescent="0.35">
      <c r="A2412" s="1" t="s">
        <v>0</v>
      </c>
      <c r="B2412" s="1" t="s">
        <v>4201</v>
      </c>
      <c r="C2412" s="1" t="s">
        <v>4275</v>
      </c>
      <c r="D2412" s="1" t="s">
        <v>6389</v>
      </c>
      <c r="E2412" s="1" t="str">
        <f>"2310"</f>
        <v>2310</v>
      </c>
      <c r="F2412" s="1" t="s">
        <v>178</v>
      </c>
      <c r="G2412" s="1" t="s">
        <v>179</v>
      </c>
      <c r="H2412" s="1" t="s">
        <v>16</v>
      </c>
      <c r="I2412" s="4" t="str">
        <f>"1"</f>
        <v>1</v>
      </c>
      <c r="J2412" s="2" t="str">
        <f>"12554"</f>
        <v>12554</v>
      </c>
      <c r="K2412" s="3">
        <v>46202</v>
      </c>
      <c r="L2412" s="3">
        <v>46203</v>
      </c>
      <c r="M2412" s="1" t="s">
        <v>6388</v>
      </c>
      <c r="N2412" s="1" t="s">
        <v>6387</v>
      </c>
    </row>
    <row r="2413" spans="1:14" s="1" customFormat="1" x14ac:dyDescent="0.35">
      <c r="A2413" s="1" t="s">
        <v>5171</v>
      </c>
      <c r="B2413" s="1" t="s">
        <v>4201</v>
      </c>
      <c r="C2413" s="1" t="s">
        <v>6386</v>
      </c>
      <c r="D2413" s="1" t="s">
        <v>6385</v>
      </c>
      <c r="E2413" s="1" t="str">
        <f>"2310"</f>
        <v>2310</v>
      </c>
      <c r="F2413" s="1" t="s">
        <v>967</v>
      </c>
      <c r="G2413" s="1" t="s">
        <v>968</v>
      </c>
      <c r="H2413" s="1" t="s">
        <v>16</v>
      </c>
      <c r="I2413" s="4" t="str">
        <f>"1"</f>
        <v>1</v>
      </c>
      <c r="J2413" s="2" t="str">
        <f>"10000"</f>
        <v>10000</v>
      </c>
      <c r="K2413" s="3">
        <v>46202</v>
      </c>
      <c r="L2413" s="3">
        <v>46203</v>
      </c>
      <c r="M2413" s="1" t="s">
        <v>5469</v>
      </c>
      <c r="N2413" s="1" t="s">
        <v>6384</v>
      </c>
    </row>
    <row r="2414" spans="1:14" s="1" customFormat="1" x14ac:dyDescent="0.35">
      <c r="A2414" s="1" t="s">
        <v>5171</v>
      </c>
      <c r="B2414" s="1" t="s">
        <v>4201</v>
      </c>
      <c r="C2414" s="1" t="s">
        <v>4380</v>
      </c>
      <c r="D2414" s="1" t="s">
        <v>6383</v>
      </c>
      <c r="E2414" s="1" t="str">
        <f>"2320"</f>
        <v>2320</v>
      </c>
      <c r="F2414" s="1" t="s">
        <v>975</v>
      </c>
      <c r="G2414" s="1" t="s">
        <v>976</v>
      </c>
      <c r="H2414" s="1" t="s">
        <v>16</v>
      </c>
      <c r="I2414" s="4" t="str">
        <f>"1"</f>
        <v>1</v>
      </c>
      <c r="J2414" s="2" t="str">
        <f>"36123"</f>
        <v>36123</v>
      </c>
      <c r="K2414" s="3">
        <v>46196</v>
      </c>
      <c r="L2414" s="3">
        <v>46203</v>
      </c>
      <c r="M2414" s="1" t="s">
        <v>6382</v>
      </c>
      <c r="N2414" s="1" t="s">
        <v>6381</v>
      </c>
    </row>
    <row r="2415" spans="1:14" s="1" customFormat="1" x14ac:dyDescent="0.35">
      <c r="A2415" s="1" t="s">
        <v>5171</v>
      </c>
      <c r="B2415" s="1" t="s">
        <v>4201</v>
      </c>
      <c r="C2415" s="1" t="s">
        <v>4397</v>
      </c>
      <c r="D2415" s="1" t="s">
        <v>6380</v>
      </c>
      <c r="E2415" s="1" t="str">
        <f>"2340"</f>
        <v>2340</v>
      </c>
      <c r="F2415" s="1" t="s">
        <v>1446</v>
      </c>
      <c r="G2415" s="1" t="s">
        <v>1447</v>
      </c>
      <c r="H2415" s="1" t="s">
        <v>16</v>
      </c>
      <c r="I2415" s="4" t="str">
        <f>"1"</f>
        <v>1</v>
      </c>
      <c r="J2415" s="2" t="str">
        <f>"14799"</f>
        <v>14799</v>
      </c>
      <c r="K2415" s="3">
        <v>46197</v>
      </c>
      <c r="L2415" s="3">
        <v>46203</v>
      </c>
      <c r="M2415" s="1" t="s">
        <v>6379</v>
      </c>
      <c r="N2415" s="1" t="s">
        <v>6378</v>
      </c>
    </row>
    <row r="2416" spans="1:14" s="1" customFormat="1" x14ac:dyDescent="0.35">
      <c r="A2416" s="1" t="s">
        <v>5171</v>
      </c>
      <c r="B2416" s="1" t="s">
        <v>4201</v>
      </c>
      <c r="C2416" s="1" t="s">
        <v>4428</v>
      </c>
      <c r="D2416" s="1" t="s">
        <v>6377</v>
      </c>
      <c r="E2416" s="1" t="str">
        <f>"1550"</f>
        <v>1550</v>
      </c>
      <c r="F2416" s="1" t="str">
        <f>"016735852"</f>
        <v>016735852</v>
      </c>
      <c r="G2416" s="1" t="s">
        <v>1417</v>
      </c>
      <c r="H2416" s="1" t="s">
        <v>16</v>
      </c>
      <c r="I2416" s="4" t="str">
        <f>"1"</f>
        <v>1</v>
      </c>
      <c r="J2416" s="2">
        <v>29218.39</v>
      </c>
      <c r="K2416" s="3">
        <v>46202</v>
      </c>
      <c r="L2416" s="3">
        <v>46203</v>
      </c>
      <c r="M2416" s="1" t="s">
        <v>5167</v>
      </c>
      <c r="N2416" s="1" t="s">
        <v>6376</v>
      </c>
    </row>
    <row r="2417" spans="1:14" s="1" customFormat="1" x14ac:dyDescent="0.35">
      <c r="A2417" s="1" t="s">
        <v>5171</v>
      </c>
      <c r="B2417" s="1" t="s">
        <v>4441</v>
      </c>
      <c r="C2417" s="1" t="s">
        <v>4450</v>
      </c>
      <c r="D2417" s="1" t="s">
        <v>6375</v>
      </c>
      <c r="E2417" s="1" t="str">
        <f>"5180"</f>
        <v>5180</v>
      </c>
      <c r="F2417" s="1" t="str">
        <f>"016595598"</f>
        <v>016595598</v>
      </c>
      <c r="G2417" s="1" t="s">
        <v>6282</v>
      </c>
      <c r="H2417" s="1" t="s">
        <v>215</v>
      </c>
      <c r="I2417" s="4" t="str">
        <f>"2"</f>
        <v>2</v>
      </c>
      <c r="J2417" s="2" t="str">
        <f>"6957"</f>
        <v>6957</v>
      </c>
      <c r="K2417" s="3">
        <v>46096</v>
      </c>
      <c r="L2417" s="3">
        <v>46113</v>
      </c>
      <c r="M2417" s="1" t="s">
        <v>6374</v>
      </c>
      <c r="N2417" s="1" t="s">
        <v>6373</v>
      </c>
    </row>
    <row r="2418" spans="1:14" s="1" customFormat="1" x14ac:dyDescent="0.35">
      <c r="A2418" s="1" t="s">
        <v>5171</v>
      </c>
      <c r="B2418" s="1" t="s">
        <v>4441</v>
      </c>
      <c r="C2418" s="1" t="s">
        <v>4551</v>
      </c>
      <c r="D2418" s="1" t="s">
        <v>6372</v>
      </c>
      <c r="E2418" s="1" t="str">
        <f>"4310"</f>
        <v>4310</v>
      </c>
      <c r="F2418" s="1" t="s">
        <v>1941</v>
      </c>
      <c r="G2418" s="1" t="s">
        <v>1942</v>
      </c>
      <c r="H2418" s="1" t="s">
        <v>16</v>
      </c>
      <c r="I2418" s="4" t="str">
        <f>"1"</f>
        <v>1</v>
      </c>
      <c r="J2418" s="2" t="str">
        <f>"1746"</f>
        <v>1746</v>
      </c>
      <c r="K2418" s="3">
        <v>46111</v>
      </c>
      <c r="L2418" s="3">
        <v>46113</v>
      </c>
      <c r="M2418" s="1" t="s">
        <v>6371</v>
      </c>
      <c r="N2418" s="1" t="s">
        <v>6370</v>
      </c>
    </row>
    <row r="2419" spans="1:14" s="1" customFormat="1" x14ac:dyDescent="0.35">
      <c r="A2419" s="1" t="s">
        <v>5171</v>
      </c>
      <c r="B2419" s="1" t="s">
        <v>4441</v>
      </c>
      <c r="C2419" s="1" t="s">
        <v>4551</v>
      </c>
      <c r="D2419" s="1" t="s">
        <v>6369</v>
      </c>
      <c r="E2419" s="1" t="str">
        <f>"3805"</f>
        <v>3805</v>
      </c>
      <c r="F2419" s="1" t="s">
        <v>384</v>
      </c>
      <c r="G2419" s="1" t="s">
        <v>385</v>
      </c>
      <c r="H2419" s="1" t="s">
        <v>16</v>
      </c>
      <c r="I2419" s="4" t="str">
        <f>"1"</f>
        <v>1</v>
      </c>
      <c r="J2419" s="2" t="str">
        <f>"4000"</f>
        <v>4000</v>
      </c>
      <c r="K2419" s="3">
        <v>46111</v>
      </c>
      <c r="L2419" s="3">
        <v>46113</v>
      </c>
      <c r="M2419" s="1" t="s">
        <v>6368</v>
      </c>
      <c r="N2419" s="1" t="s">
        <v>6367</v>
      </c>
    </row>
    <row r="2420" spans="1:14" s="1" customFormat="1" x14ac:dyDescent="0.35">
      <c r="A2420" s="1" t="s">
        <v>5171</v>
      </c>
      <c r="B2420" s="1" t="s">
        <v>4441</v>
      </c>
      <c r="C2420" s="1" t="s">
        <v>4551</v>
      </c>
      <c r="D2420" s="1" t="s">
        <v>6369</v>
      </c>
      <c r="E2420" s="1" t="str">
        <f>"3805"</f>
        <v>3805</v>
      </c>
      <c r="F2420" s="1" t="s">
        <v>384</v>
      </c>
      <c r="G2420" s="1" t="s">
        <v>385</v>
      </c>
      <c r="H2420" s="1" t="s">
        <v>16</v>
      </c>
      <c r="I2420" s="4" t="str">
        <f>"1"</f>
        <v>1</v>
      </c>
      <c r="J2420" s="2" t="str">
        <f>"4000"</f>
        <v>4000</v>
      </c>
      <c r="K2420" s="3">
        <v>46111</v>
      </c>
      <c r="L2420" s="3">
        <v>46113</v>
      </c>
      <c r="M2420" s="1" t="s">
        <v>6368</v>
      </c>
      <c r="N2420" s="1" t="s">
        <v>6367</v>
      </c>
    </row>
    <row r="2421" spans="1:14" s="1" customFormat="1" x14ac:dyDescent="0.35">
      <c r="A2421" s="1" t="s">
        <v>5171</v>
      </c>
      <c r="B2421" s="1" t="s">
        <v>4441</v>
      </c>
      <c r="C2421" s="1" t="s">
        <v>4450</v>
      </c>
      <c r="D2421" s="1" t="s">
        <v>6366</v>
      </c>
      <c r="E2421" s="1" t="str">
        <f>"2330"</f>
        <v>2330</v>
      </c>
      <c r="F2421" s="1" t="str">
        <f>"012073533"</f>
        <v>012073533</v>
      </c>
      <c r="G2421" s="1" t="s">
        <v>6365</v>
      </c>
      <c r="H2421" s="1" t="s">
        <v>16</v>
      </c>
      <c r="I2421" s="4" t="str">
        <f>"1"</f>
        <v>1</v>
      </c>
      <c r="J2421" s="2" t="str">
        <f>"14423"</f>
        <v>14423</v>
      </c>
      <c r="K2421" s="3">
        <v>46103</v>
      </c>
      <c r="L2421" s="3">
        <v>46114</v>
      </c>
      <c r="M2421" s="1" t="s">
        <v>6364</v>
      </c>
      <c r="N2421" s="1" t="s">
        <v>6363</v>
      </c>
    </row>
    <row r="2422" spans="1:14" s="1" customFormat="1" x14ac:dyDescent="0.35">
      <c r="A2422" s="1" t="s">
        <v>5171</v>
      </c>
      <c r="B2422" s="1" t="s">
        <v>4441</v>
      </c>
      <c r="C2422" s="1" t="s">
        <v>4551</v>
      </c>
      <c r="D2422" s="1" t="s">
        <v>6362</v>
      </c>
      <c r="E2422" s="1" t="str">
        <f>"8140"</f>
        <v>8140</v>
      </c>
      <c r="F2422" s="1" t="str">
        <f>"009601699"</f>
        <v>009601699</v>
      </c>
      <c r="G2422" s="1" t="s">
        <v>1085</v>
      </c>
      <c r="H2422" s="1" t="s">
        <v>16</v>
      </c>
      <c r="I2422" s="4" t="str">
        <f>"1"</f>
        <v>1</v>
      </c>
      <c r="J2422" s="2">
        <v>11.1</v>
      </c>
      <c r="K2422" s="3">
        <v>46114</v>
      </c>
      <c r="L2422" s="3">
        <v>46114</v>
      </c>
      <c r="M2422" s="1" t="s">
        <v>6361</v>
      </c>
      <c r="N2422" s="1" t="s">
        <v>6360</v>
      </c>
    </row>
    <row r="2423" spans="1:14" s="1" customFormat="1" x14ac:dyDescent="0.35">
      <c r="A2423" s="1" t="s">
        <v>5171</v>
      </c>
      <c r="B2423" s="1" t="s">
        <v>4441</v>
      </c>
      <c r="C2423" s="1" t="s">
        <v>4551</v>
      </c>
      <c r="D2423" s="1" t="s">
        <v>6362</v>
      </c>
      <c r="E2423" s="1" t="str">
        <f>"8140"</f>
        <v>8140</v>
      </c>
      <c r="F2423" s="1" t="str">
        <f>"009601699"</f>
        <v>009601699</v>
      </c>
      <c r="G2423" s="1" t="s">
        <v>1085</v>
      </c>
      <c r="H2423" s="1" t="s">
        <v>16</v>
      </c>
      <c r="I2423" s="4" t="str">
        <f>"1"</f>
        <v>1</v>
      </c>
      <c r="J2423" s="2">
        <v>11.1</v>
      </c>
      <c r="K2423" s="3">
        <v>46114</v>
      </c>
      <c r="L2423" s="3">
        <v>46114</v>
      </c>
      <c r="M2423" s="1" t="s">
        <v>6361</v>
      </c>
      <c r="N2423" s="1" t="s">
        <v>6360</v>
      </c>
    </row>
    <row r="2424" spans="1:14" s="1" customFormat="1" x14ac:dyDescent="0.35">
      <c r="A2424" s="1" t="s">
        <v>0</v>
      </c>
      <c r="B2424" s="1" t="s">
        <v>4441</v>
      </c>
      <c r="C2424" s="1" t="s">
        <v>4802</v>
      </c>
      <c r="D2424" s="1" t="s">
        <v>6359</v>
      </c>
      <c r="E2424" s="1" t="str">
        <f>"5180"</f>
        <v>5180</v>
      </c>
      <c r="F2424" s="1" t="str">
        <f>"002932875"</f>
        <v>002932875</v>
      </c>
      <c r="G2424" s="1" t="s">
        <v>434</v>
      </c>
      <c r="H2424" s="1" t="s">
        <v>215</v>
      </c>
      <c r="I2424" s="4" t="str">
        <f>"1"</f>
        <v>1</v>
      </c>
      <c r="J2424" s="2" t="str">
        <f>"1251"</f>
        <v>1251</v>
      </c>
      <c r="K2424" s="3">
        <v>46115</v>
      </c>
      <c r="L2424" s="3">
        <v>46115</v>
      </c>
      <c r="M2424" s="1" t="s">
        <v>6334</v>
      </c>
      <c r="N2424" s="1" t="s">
        <v>6358</v>
      </c>
    </row>
    <row r="2425" spans="1:14" s="1" customFormat="1" x14ac:dyDescent="0.35">
      <c r="A2425" s="1" t="s">
        <v>0</v>
      </c>
      <c r="B2425" s="1" t="s">
        <v>4441</v>
      </c>
      <c r="C2425" s="1" t="s">
        <v>4802</v>
      </c>
      <c r="D2425" s="1" t="s">
        <v>6357</v>
      </c>
      <c r="E2425" s="1" t="str">
        <f>"6545"</f>
        <v>6545</v>
      </c>
      <c r="F2425" s="1" t="str">
        <f>"015841582"</f>
        <v>015841582</v>
      </c>
      <c r="G2425" s="1" t="s">
        <v>305</v>
      </c>
      <c r="H2425" s="1" t="s">
        <v>215</v>
      </c>
      <c r="I2425" s="4" t="str">
        <f>"5"</f>
        <v>5</v>
      </c>
      <c r="J2425" s="2">
        <v>103.24</v>
      </c>
      <c r="K2425" s="3">
        <v>46115</v>
      </c>
      <c r="L2425" s="3">
        <v>46115</v>
      </c>
      <c r="M2425" s="1" t="s">
        <v>6334</v>
      </c>
      <c r="N2425" s="1" t="s">
        <v>6356</v>
      </c>
    </row>
    <row r="2426" spans="1:14" s="1" customFormat="1" x14ac:dyDescent="0.35">
      <c r="A2426" s="1" t="s">
        <v>0</v>
      </c>
      <c r="B2426" s="1" t="s">
        <v>4441</v>
      </c>
      <c r="C2426" s="1" t="s">
        <v>4802</v>
      </c>
      <c r="D2426" s="1" t="s">
        <v>6355</v>
      </c>
      <c r="E2426" s="1" t="str">
        <f>"7210"</f>
        <v>7210</v>
      </c>
      <c r="F2426" s="1" t="str">
        <f>"002669736"</f>
        <v>002669736</v>
      </c>
      <c r="G2426" s="1" t="s">
        <v>1191</v>
      </c>
      <c r="H2426" s="1" t="s">
        <v>16</v>
      </c>
      <c r="I2426" s="4" t="str">
        <f>"5"</f>
        <v>5</v>
      </c>
      <c r="J2426" s="2">
        <v>93.86</v>
      </c>
      <c r="K2426" s="3">
        <v>46115</v>
      </c>
      <c r="L2426" s="3">
        <v>46115</v>
      </c>
      <c r="M2426" s="1" t="s">
        <v>6334</v>
      </c>
      <c r="N2426" s="1" t="s">
        <v>6354</v>
      </c>
    </row>
    <row r="2427" spans="1:14" s="1" customFormat="1" x14ac:dyDescent="0.35">
      <c r="A2427" s="1" t="s">
        <v>0</v>
      </c>
      <c r="B2427" s="1" t="s">
        <v>4441</v>
      </c>
      <c r="C2427" s="1" t="s">
        <v>4802</v>
      </c>
      <c r="D2427" s="1" t="s">
        <v>6353</v>
      </c>
      <c r="E2427" s="1" t="str">
        <f>"8145"</f>
        <v>8145</v>
      </c>
      <c r="F2427" s="1" t="str">
        <f>"015807511"</f>
        <v>015807511</v>
      </c>
      <c r="G2427" s="1" t="s">
        <v>423</v>
      </c>
      <c r="H2427" s="1" t="s">
        <v>16</v>
      </c>
      <c r="I2427" s="4" t="str">
        <f>"2"</f>
        <v>2</v>
      </c>
      <c r="J2427" s="2">
        <v>1642.49</v>
      </c>
      <c r="K2427" s="3">
        <v>46115</v>
      </c>
      <c r="L2427" s="3">
        <v>46115</v>
      </c>
      <c r="M2427" s="1" t="s">
        <v>6352</v>
      </c>
      <c r="N2427" s="1" t="s">
        <v>6351</v>
      </c>
    </row>
    <row r="2428" spans="1:14" s="1" customFormat="1" x14ac:dyDescent="0.35">
      <c r="A2428" s="1" t="s">
        <v>0</v>
      </c>
      <c r="B2428" s="1" t="s">
        <v>4441</v>
      </c>
      <c r="C2428" s="1" t="s">
        <v>4802</v>
      </c>
      <c r="D2428" s="1" t="s">
        <v>6350</v>
      </c>
      <c r="E2428" s="1" t="str">
        <f>"8430"</f>
        <v>8430</v>
      </c>
      <c r="F2428" s="1" t="str">
        <f>"002690098"</f>
        <v>002690098</v>
      </c>
      <c r="G2428" s="1" t="s">
        <v>6349</v>
      </c>
      <c r="H2428" s="1" t="s">
        <v>311</v>
      </c>
      <c r="I2428" s="4" t="str">
        <f>"2"</f>
        <v>2</v>
      </c>
      <c r="J2428" s="2">
        <v>71.28</v>
      </c>
      <c r="K2428" s="3">
        <v>46115</v>
      </c>
      <c r="L2428" s="3">
        <v>46115</v>
      </c>
      <c r="M2428" s="1" t="s">
        <v>6348</v>
      </c>
      <c r="N2428" s="1" t="s">
        <v>6347</v>
      </c>
    </row>
    <row r="2429" spans="1:14" s="1" customFormat="1" x14ac:dyDescent="0.35">
      <c r="A2429" s="1" t="s">
        <v>0</v>
      </c>
      <c r="B2429" s="1" t="s">
        <v>4441</v>
      </c>
      <c r="C2429" s="1" t="s">
        <v>4802</v>
      </c>
      <c r="D2429" s="1" t="s">
        <v>6346</v>
      </c>
      <c r="E2429" s="1" t="str">
        <f>"8465"</f>
        <v>8465</v>
      </c>
      <c r="F2429" s="1" t="str">
        <f>"015800981"</f>
        <v>015800981</v>
      </c>
      <c r="G2429" s="1" t="s">
        <v>529</v>
      </c>
      <c r="H2429" s="1" t="s">
        <v>16</v>
      </c>
      <c r="I2429" s="4" t="str">
        <f>"5"</f>
        <v>5</v>
      </c>
      <c r="J2429" s="2">
        <v>75.150000000000006</v>
      </c>
      <c r="K2429" s="3">
        <v>46115</v>
      </c>
      <c r="L2429" s="3">
        <v>46115</v>
      </c>
      <c r="M2429" s="1" t="s">
        <v>6345</v>
      </c>
      <c r="N2429" s="1" t="s">
        <v>6344</v>
      </c>
    </row>
    <row r="2430" spans="1:14" s="1" customFormat="1" x14ac:dyDescent="0.35">
      <c r="A2430" s="1" t="s">
        <v>0</v>
      </c>
      <c r="B2430" s="1" t="s">
        <v>4441</v>
      </c>
      <c r="C2430" s="1" t="s">
        <v>4802</v>
      </c>
      <c r="D2430" s="1" t="s">
        <v>6343</v>
      </c>
      <c r="E2430" s="1" t="str">
        <f>"8465"</f>
        <v>8465</v>
      </c>
      <c r="F2430" s="1" t="str">
        <f>"013936515"</f>
        <v>013936515</v>
      </c>
      <c r="G2430" s="1" t="s">
        <v>1095</v>
      </c>
      <c r="H2430" s="1" t="s">
        <v>16</v>
      </c>
      <c r="I2430" s="4" t="str">
        <f>"5"</f>
        <v>5</v>
      </c>
      <c r="J2430" s="2">
        <v>68.81</v>
      </c>
      <c r="K2430" s="3">
        <v>46115</v>
      </c>
      <c r="L2430" s="3">
        <v>46115</v>
      </c>
      <c r="M2430" s="1" t="s">
        <v>6334</v>
      </c>
      <c r="N2430" s="1" t="s">
        <v>6342</v>
      </c>
    </row>
    <row r="2431" spans="1:14" s="1" customFormat="1" x14ac:dyDescent="0.35">
      <c r="A2431" s="1" t="s">
        <v>0</v>
      </c>
      <c r="B2431" s="1" t="s">
        <v>4441</v>
      </c>
      <c r="C2431" s="1" t="s">
        <v>4802</v>
      </c>
      <c r="D2431" s="1" t="s">
        <v>6341</v>
      </c>
      <c r="E2431" s="1" t="str">
        <f>"8465"</f>
        <v>8465</v>
      </c>
      <c r="F2431" s="1" t="str">
        <f>"016087503"</f>
        <v>016087503</v>
      </c>
      <c r="G2431" s="1" t="s">
        <v>1249</v>
      </c>
      <c r="H2431" s="1" t="s">
        <v>16</v>
      </c>
      <c r="I2431" s="4" t="str">
        <f>"1"</f>
        <v>1</v>
      </c>
      <c r="J2431" s="2">
        <v>140.44</v>
      </c>
      <c r="K2431" s="3">
        <v>46115</v>
      </c>
      <c r="L2431" s="3">
        <v>46115</v>
      </c>
      <c r="M2431" s="1" t="s">
        <v>6340</v>
      </c>
      <c r="N2431" s="1" t="s">
        <v>6339</v>
      </c>
    </row>
    <row r="2432" spans="1:14" s="1" customFormat="1" x14ac:dyDescent="0.35">
      <c r="A2432" s="1" t="s">
        <v>0</v>
      </c>
      <c r="B2432" s="1" t="s">
        <v>4441</v>
      </c>
      <c r="C2432" s="1" t="s">
        <v>4802</v>
      </c>
      <c r="D2432" s="1" t="s">
        <v>6338</v>
      </c>
      <c r="E2432" s="1" t="str">
        <f>"8465"</f>
        <v>8465</v>
      </c>
      <c r="F2432" s="1" t="str">
        <f>"015744005"</f>
        <v>015744005</v>
      </c>
      <c r="G2432" s="1" t="s">
        <v>1240</v>
      </c>
      <c r="H2432" s="1" t="s">
        <v>16</v>
      </c>
      <c r="I2432" s="4" t="str">
        <f>"1"</f>
        <v>1</v>
      </c>
      <c r="J2432" s="2">
        <v>169.73</v>
      </c>
      <c r="K2432" s="3">
        <v>46115</v>
      </c>
      <c r="L2432" s="3">
        <v>46115</v>
      </c>
      <c r="M2432" s="1" t="s">
        <v>6337</v>
      </c>
      <c r="N2432" s="1" t="s">
        <v>6336</v>
      </c>
    </row>
    <row r="2433" spans="1:14" s="1" customFormat="1" x14ac:dyDescent="0.35">
      <c r="A2433" s="1" t="s">
        <v>0</v>
      </c>
      <c r="B2433" s="1" t="s">
        <v>4441</v>
      </c>
      <c r="C2433" s="1" t="s">
        <v>4802</v>
      </c>
      <c r="D2433" s="1" t="s">
        <v>6335</v>
      </c>
      <c r="E2433" s="1" t="str">
        <f>"8465"</f>
        <v>8465</v>
      </c>
      <c r="F2433" s="1" t="str">
        <f>"015236276"</f>
        <v>015236276</v>
      </c>
      <c r="G2433" s="1" t="s">
        <v>457</v>
      </c>
      <c r="H2433" s="1" t="s">
        <v>458</v>
      </c>
      <c r="I2433" s="4" t="str">
        <f>"5"</f>
        <v>5</v>
      </c>
      <c r="J2433" s="2">
        <v>255.8</v>
      </c>
      <c r="K2433" s="3">
        <v>46115</v>
      </c>
      <c r="L2433" s="3">
        <v>46115</v>
      </c>
      <c r="M2433" s="1" t="s">
        <v>6334</v>
      </c>
      <c r="N2433" s="1" t="s">
        <v>6333</v>
      </c>
    </row>
    <row r="2434" spans="1:14" s="1" customFormat="1" x14ac:dyDescent="0.35">
      <c r="A2434" s="1" t="s">
        <v>5171</v>
      </c>
      <c r="B2434" s="1" t="s">
        <v>4441</v>
      </c>
      <c r="C2434" s="1" t="s">
        <v>4855</v>
      </c>
      <c r="D2434" s="1" t="s">
        <v>6332</v>
      </c>
      <c r="E2434" s="1" t="str">
        <f>"2310"</f>
        <v>2310</v>
      </c>
      <c r="F2434" s="1" t="s">
        <v>178</v>
      </c>
      <c r="G2434" s="1" t="s">
        <v>179</v>
      </c>
      <c r="H2434" s="1" t="s">
        <v>16</v>
      </c>
      <c r="I2434" s="4" t="str">
        <f>"1"</f>
        <v>1</v>
      </c>
      <c r="J2434" s="2" t="str">
        <f>"24000"</f>
        <v>24000</v>
      </c>
      <c r="K2434" s="3">
        <v>46104</v>
      </c>
      <c r="L2434" s="3">
        <v>46116</v>
      </c>
      <c r="M2434" s="1" t="s">
        <v>6331</v>
      </c>
      <c r="N2434" s="1" t="s">
        <v>6330</v>
      </c>
    </row>
    <row r="2435" spans="1:14" s="1" customFormat="1" x14ac:dyDescent="0.35">
      <c r="A2435" s="1" t="s">
        <v>5171</v>
      </c>
      <c r="B2435" s="1" t="s">
        <v>4441</v>
      </c>
      <c r="C2435" s="1" t="s">
        <v>4551</v>
      </c>
      <c r="D2435" s="1" t="s">
        <v>6329</v>
      </c>
      <c r="E2435" s="1" t="str">
        <f>"6910"</f>
        <v>6910</v>
      </c>
      <c r="F2435" s="1" t="s">
        <v>1124</v>
      </c>
      <c r="G2435" s="1" t="s">
        <v>1125</v>
      </c>
      <c r="H2435" s="1" t="s">
        <v>16</v>
      </c>
      <c r="I2435" s="4" t="str">
        <f>"5"</f>
        <v>5</v>
      </c>
      <c r="J2435" s="2" t="str">
        <f>"40"</f>
        <v>40</v>
      </c>
      <c r="K2435" s="3">
        <v>46107</v>
      </c>
      <c r="L2435" s="3">
        <v>46118</v>
      </c>
      <c r="M2435" s="1" t="s">
        <v>6328</v>
      </c>
      <c r="N2435" s="1" t="s">
        <v>6327</v>
      </c>
    </row>
    <row r="2436" spans="1:14" s="1" customFormat="1" x14ac:dyDescent="0.35">
      <c r="A2436" s="1" t="s">
        <v>5171</v>
      </c>
      <c r="B2436" s="1" t="s">
        <v>4441</v>
      </c>
      <c r="C2436" s="1" t="s">
        <v>4450</v>
      </c>
      <c r="D2436" s="1" t="s">
        <v>6326</v>
      </c>
      <c r="E2436" s="1" t="str">
        <f>"8415"</f>
        <v>8415</v>
      </c>
      <c r="F2436" s="1" t="str">
        <f>"015488225"</f>
        <v>015488225</v>
      </c>
      <c r="G2436" s="1" t="s">
        <v>1529</v>
      </c>
      <c r="H2436" s="1" t="s">
        <v>16</v>
      </c>
      <c r="I2436" s="4" t="str">
        <f>"10"</f>
        <v>10</v>
      </c>
      <c r="J2436" s="2">
        <v>144.72</v>
      </c>
      <c r="K2436" s="3">
        <v>46088</v>
      </c>
      <c r="L2436" s="3">
        <v>46119</v>
      </c>
      <c r="M2436" s="1" t="s">
        <v>6325</v>
      </c>
      <c r="N2436" s="1" t="s">
        <v>6324</v>
      </c>
    </row>
    <row r="2437" spans="1:14" s="1" customFormat="1" x14ac:dyDescent="0.35">
      <c r="A2437" s="1" t="s">
        <v>5171</v>
      </c>
      <c r="B2437" s="1" t="s">
        <v>4441</v>
      </c>
      <c r="C2437" s="1" t="s">
        <v>4551</v>
      </c>
      <c r="D2437" s="1" t="s">
        <v>6323</v>
      </c>
      <c r="E2437" s="1" t="str">
        <f>"4310"</f>
        <v>4310</v>
      </c>
      <c r="F2437" s="1" t="s">
        <v>6322</v>
      </c>
      <c r="G2437" s="1" t="s">
        <v>6321</v>
      </c>
      <c r="H2437" s="1" t="s">
        <v>16</v>
      </c>
      <c r="I2437" s="4" t="str">
        <f>"1"</f>
        <v>1</v>
      </c>
      <c r="J2437" s="2" t="str">
        <f>"50000"</f>
        <v>50000</v>
      </c>
      <c r="K2437" s="3">
        <v>46107</v>
      </c>
      <c r="L2437" s="3">
        <v>46121</v>
      </c>
      <c r="M2437" s="1" t="s">
        <v>6320</v>
      </c>
      <c r="N2437" s="1" t="s">
        <v>6319</v>
      </c>
    </row>
    <row r="2438" spans="1:14" s="1" customFormat="1" x14ac:dyDescent="0.35">
      <c r="A2438" s="1" t="s">
        <v>5171</v>
      </c>
      <c r="B2438" s="1" t="s">
        <v>4441</v>
      </c>
      <c r="C2438" s="1" t="s">
        <v>6318</v>
      </c>
      <c r="D2438" s="1" t="s">
        <v>6317</v>
      </c>
      <c r="E2438" s="1" t="str">
        <f>"1550"</f>
        <v>1550</v>
      </c>
      <c r="F2438" s="1" t="str">
        <f>"016777229"</f>
        <v>016777229</v>
      </c>
      <c r="G2438" s="1" t="s">
        <v>6297</v>
      </c>
      <c r="H2438" s="1" t="s">
        <v>16</v>
      </c>
      <c r="I2438" s="4" t="str">
        <f>"4"</f>
        <v>4</v>
      </c>
      <c r="J2438" s="2">
        <v>169670.33</v>
      </c>
      <c r="K2438" s="3">
        <v>46120</v>
      </c>
      <c r="L2438" s="3">
        <v>46121</v>
      </c>
      <c r="M2438" s="1" t="s">
        <v>6316</v>
      </c>
      <c r="N2438" s="1" t="s">
        <v>6315</v>
      </c>
    </row>
    <row r="2439" spans="1:14" s="1" customFormat="1" x14ac:dyDescent="0.35">
      <c r="A2439" s="1" t="s">
        <v>5171</v>
      </c>
      <c r="B2439" s="1" t="s">
        <v>4441</v>
      </c>
      <c r="C2439" s="1" t="s">
        <v>4737</v>
      </c>
      <c r="D2439" s="1" t="s">
        <v>6314</v>
      </c>
      <c r="E2439" s="1" t="str">
        <f>"8340"</f>
        <v>8340</v>
      </c>
      <c r="F2439" s="1" t="str">
        <f>"007823232"</f>
        <v>007823232</v>
      </c>
      <c r="G2439" s="1" t="s">
        <v>1196</v>
      </c>
      <c r="H2439" s="1" t="s">
        <v>16</v>
      </c>
      <c r="I2439" s="4" t="str">
        <f>"5"</f>
        <v>5</v>
      </c>
      <c r="J2439" s="2">
        <v>4832.0200000000004</v>
      </c>
      <c r="K2439" s="3">
        <v>46117</v>
      </c>
      <c r="L2439" s="3">
        <v>46121</v>
      </c>
      <c r="M2439" s="1" t="s">
        <v>6313</v>
      </c>
      <c r="N2439" s="1" t="s">
        <v>6312</v>
      </c>
    </row>
    <row r="2440" spans="1:14" s="1" customFormat="1" x14ac:dyDescent="0.35">
      <c r="A2440" s="1" t="s">
        <v>0</v>
      </c>
      <c r="B2440" s="1" t="s">
        <v>4441</v>
      </c>
      <c r="C2440" s="1" t="s">
        <v>4548</v>
      </c>
      <c r="D2440" s="1" t="s">
        <v>6311</v>
      </c>
      <c r="E2440" s="1" t="str">
        <f>"1550"</f>
        <v>1550</v>
      </c>
      <c r="F2440" s="1" t="str">
        <f>"016642763"</f>
        <v>016642763</v>
      </c>
      <c r="G2440" s="1" t="s">
        <v>1417</v>
      </c>
      <c r="H2440" s="1" t="s">
        <v>215</v>
      </c>
      <c r="I2440" s="4" t="str">
        <f>"1"</f>
        <v>1</v>
      </c>
      <c r="J2440" s="2" t="str">
        <f>"14400"</f>
        <v>14400</v>
      </c>
      <c r="K2440" s="3">
        <v>46122</v>
      </c>
      <c r="L2440" s="3">
        <v>46122</v>
      </c>
      <c r="M2440" s="1" t="s">
        <v>6309</v>
      </c>
      <c r="N2440" s="1" t="s">
        <v>6308</v>
      </c>
    </row>
    <row r="2441" spans="1:14" s="1" customFormat="1" x14ac:dyDescent="0.35">
      <c r="A2441" s="1" t="s">
        <v>0</v>
      </c>
      <c r="B2441" s="1" t="s">
        <v>4441</v>
      </c>
      <c r="C2441" s="1" t="s">
        <v>4548</v>
      </c>
      <c r="D2441" s="1" t="s">
        <v>6310</v>
      </c>
      <c r="E2441" s="1" t="str">
        <f>"1550"</f>
        <v>1550</v>
      </c>
      <c r="F2441" s="1" t="str">
        <f>"016642763"</f>
        <v>016642763</v>
      </c>
      <c r="G2441" s="1" t="s">
        <v>1417</v>
      </c>
      <c r="H2441" s="1" t="s">
        <v>215</v>
      </c>
      <c r="I2441" s="4" t="str">
        <f>"2"</f>
        <v>2</v>
      </c>
      <c r="J2441" s="2" t="str">
        <f>"14400"</f>
        <v>14400</v>
      </c>
      <c r="K2441" s="3">
        <v>46122</v>
      </c>
      <c r="L2441" s="3">
        <v>46122</v>
      </c>
      <c r="M2441" s="1" t="s">
        <v>6309</v>
      </c>
      <c r="N2441" s="1" t="s">
        <v>6308</v>
      </c>
    </row>
    <row r="2442" spans="1:14" s="1" customFormat="1" x14ac:dyDescent="0.35">
      <c r="A2442" s="1" t="s">
        <v>5171</v>
      </c>
      <c r="B2442" s="1" t="s">
        <v>4441</v>
      </c>
      <c r="C2442" s="1" t="s">
        <v>4551</v>
      </c>
      <c r="D2442" s="1" t="s">
        <v>6307</v>
      </c>
      <c r="E2442" s="1" t="str">
        <f>"6720"</f>
        <v>6720</v>
      </c>
      <c r="F2442" s="1" t="s">
        <v>2250</v>
      </c>
      <c r="G2442" s="1" t="s">
        <v>2251</v>
      </c>
      <c r="H2442" s="1" t="s">
        <v>16</v>
      </c>
      <c r="I2442" s="4" t="str">
        <f>"1"</f>
        <v>1</v>
      </c>
      <c r="J2442" s="2">
        <v>5038.07</v>
      </c>
      <c r="K2442" s="3">
        <v>46114</v>
      </c>
      <c r="L2442" s="3">
        <v>46122</v>
      </c>
      <c r="M2442" s="1" t="s">
        <v>6306</v>
      </c>
      <c r="N2442" s="1" t="s">
        <v>6305</v>
      </c>
    </row>
    <row r="2443" spans="1:14" s="1" customFormat="1" x14ac:dyDescent="0.35">
      <c r="A2443" s="1" t="s">
        <v>5171</v>
      </c>
      <c r="B2443" s="1" t="s">
        <v>4441</v>
      </c>
      <c r="C2443" s="1" t="s">
        <v>4551</v>
      </c>
      <c r="D2443" s="1" t="s">
        <v>6304</v>
      </c>
      <c r="E2443" s="1" t="str">
        <f>"2320"</f>
        <v>2320</v>
      </c>
      <c r="F2443" s="1" t="s">
        <v>975</v>
      </c>
      <c r="G2443" s="1" t="s">
        <v>976</v>
      </c>
      <c r="H2443" s="1" t="s">
        <v>16</v>
      </c>
      <c r="I2443" s="4" t="str">
        <f>"1"</f>
        <v>1</v>
      </c>
      <c r="J2443" s="2" t="str">
        <f>"2000"</f>
        <v>2000</v>
      </c>
      <c r="K2443" s="3">
        <v>46111</v>
      </c>
      <c r="L2443" s="3">
        <v>46123</v>
      </c>
      <c r="M2443" s="1" t="s">
        <v>6303</v>
      </c>
      <c r="N2443" s="1" t="s">
        <v>6302</v>
      </c>
    </row>
    <row r="2444" spans="1:14" s="1" customFormat="1" x14ac:dyDescent="0.35">
      <c r="A2444" s="1" t="s">
        <v>5171</v>
      </c>
      <c r="B2444" s="1" t="s">
        <v>4441</v>
      </c>
      <c r="C2444" s="1" t="s">
        <v>4551</v>
      </c>
      <c r="D2444" s="1" t="s">
        <v>6301</v>
      </c>
      <c r="E2444" s="1" t="str">
        <f>"2320"</f>
        <v>2320</v>
      </c>
      <c r="F2444" s="1" t="s">
        <v>2218</v>
      </c>
      <c r="G2444" s="1" t="s">
        <v>2219</v>
      </c>
      <c r="H2444" s="1" t="s">
        <v>16</v>
      </c>
      <c r="I2444" s="4" t="str">
        <f>"1"</f>
        <v>1</v>
      </c>
      <c r="J2444" s="2" t="str">
        <f>"15000"</f>
        <v>15000</v>
      </c>
      <c r="K2444" s="3">
        <v>46111</v>
      </c>
      <c r="L2444" s="3">
        <v>46123</v>
      </c>
      <c r="M2444" s="1" t="s">
        <v>6300</v>
      </c>
      <c r="N2444" s="1" t="s">
        <v>6299</v>
      </c>
    </row>
    <row r="2445" spans="1:14" s="1" customFormat="1" x14ac:dyDescent="0.35">
      <c r="A2445" s="1" t="s">
        <v>5171</v>
      </c>
      <c r="B2445" s="1" t="s">
        <v>4441</v>
      </c>
      <c r="C2445" s="1" t="s">
        <v>4784</v>
      </c>
      <c r="D2445" s="1" t="s">
        <v>6298</v>
      </c>
      <c r="E2445" s="1" t="str">
        <f>"1550"</f>
        <v>1550</v>
      </c>
      <c r="F2445" s="1" t="str">
        <f>"016777229"</f>
        <v>016777229</v>
      </c>
      <c r="G2445" s="1" t="s">
        <v>6297</v>
      </c>
      <c r="H2445" s="1" t="s">
        <v>16</v>
      </c>
      <c r="I2445" s="4" t="str">
        <f>"3"</f>
        <v>3</v>
      </c>
      <c r="J2445" s="2">
        <v>169670.33</v>
      </c>
      <c r="K2445" s="3">
        <v>46119</v>
      </c>
      <c r="L2445" s="3">
        <v>46123</v>
      </c>
      <c r="M2445" s="1" t="s">
        <v>6296</v>
      </c>
      <c r="N2445" s="1" t="s">
        <v>6295</v>
      </c>
    </row>
    <row r="2446" spans="1:14" s="1" customFormat="1" x14ac:dyDescent="0.35">
      <c r="A2446" s="1" t="s">
        <v>5171</v>
      </c>
      <c r="B2446" s="1" t="s">
        <v>4441</v>
      </c>
      <c r="C2446" s="1" t="s">
        <v>4802</v>
      </c>
      <c r="D2446" s="1" t="s">
        <v>6294</v>
      </c>
      <c r="E2446" s="1" t="str">
        <f>"6115"</f>
        <v>6115</v>
      </c>
      <c r="F2446" s="1" t="str">
        <f>"012747387"</f>
        <v>012747387</v>
      </c>
      <c r="G2446" s="1" t="s">
        <v>1390</v>
      </c>
      <c r="H2446" s="1" t="s">
        <v>16</v>
      </c>
      <c r="I2446" s="4" t="str">
        <f>"1"</f>
        <v>1</v>
      </c>
      <c r="J2446" s="2">
        <v>12797.7</v>
      </c>
      <c r="K2446" s="3">
        <v>46122</v>
      </c>
      <c r="L2446" s="3">
        <v>46123</v>
      </c>
      <c r="M2446" s="1" t="s">
        <v>5167</v>
      </c>
      <c r="N2446" s="1" t="s">
        <v>6293</v>
      </c>
    </row>
    <row r="2447" spans="1:14" s="1" customFormat="1" x14ac:dyDescent="0.35">
      <c r="A2447" s="1" t="s">
        <v>5171</v>
      </c>
      <c r="B2447" s="1" t="s">
        <v>4441</v>
      </c>
      <c r="C2447" s="1" t="s">
        <v>4802</v>
      </c>
      <c r="D2447" s="1" t="s">
        <v>6292</v>
      </c>
      <c r="E2447" s="1" t="str">
        <f>"6230"</f>
        <v>6230</v>
      </c>
      <c r="F2447" s="1" t="str">
        <f>"002997077"</f>
        <v>002997077</v>
      </c>
      <c r="G2447" s="1" t="s">
        <v>6291</v>
      </c>
      <c r="H2447" s="1" t="s">
        <v>458</v>
      </c>
      <c r="I2447" s="4" t="str">
        <f>"1"</f>
        <v>1</v>
      </c>
      <c r="J2447" s="2" t="str">
        <f>"6657"</f>
        <v>6657</v>
      </c>
      <c r="K2447" s="3">
        <v>46122</v>
      </c>
      <c r="L2447" s="3">
        <v>46123</v>
      </c>
      <c r="M2447" s="1" t="s">
        <v>5167</v>
      </c>
      <c r="N2447" s="1" t="s">
        <v>6290</v>
      </c>
    </row>
    <row r="2448" spans="1:14" s="1" customFormat="1" x14ac:dyDescent="0.35">
      <c r="A2448" s="1" t="s">
        <v>5216</v>
      </c>
      <c r="B2448" s="1" t="s">
        <v>4441</v>
      </c>
      <c r="C2448" s="1" t="s">
        <v>4802</v>
      </c>
      <c r="D2448" s="1" t="s">
        <v>6289</v>
      </c>
      <c r="E2448" s="1" t="str">
        <f>"7830"</f>
        <v>7830</v>
      </c>
      <c r="F2448" s="1" t="s">
        <v>1867</v>
      </c>
      <c r="G2448" s="1" t="s">
        <v>1868</v>
      </c>
      <c r="H2448" s="1" t="s">
        <v>16</v>
      </c>
      <c r="I2448" s="4" t="str">
        <f>"1"</f>
        <v>1</v>
      </c>
      <c r="J2448" s="2" t="str">
        <f>"3958"</f>
        <v>3958</v>
      </c>
      <c r="K2448" s="3">
        <v>46122</v>
      </c>
      <c r="L2448" s="3">
        <v>46125</v>
      </c>
      <c r="M2448" s="1" t="s">
        <v>6285</v>
      </c>
      <c r="N2448" s="1" t="s">
        <v>6288</v>
      </c>
    </row>
    <row r="2449" spans="1:14" s="1" customFormat="1" x14ac:dyDescent="0.35">
      <c r="A2449" s="1" t="s">
        <v>5216</v>
      </c>
      <c r="B2449" s="1" t="s">
        <v>4441</v>
      </c>
      <c r="C2449" s="1" t="s">
        <v>4802</v>
      </c>
      <c r="D2449" s="1" t="s">
        <v>6287</v>
      </c>
      <c r="E2449" s="1" t="str">
        <f>"6530"</f>
        <v>6530</v>
      </c>
      <c r="F2449" s="1" t="str">
        <f>"015189854"</f>
        <v>015189854</v>
      </c>
      <c r="G2449" s="1" t="s">
        <v>6286</v>
      </c>
      <c r="H2449" s="1" t="s">
        <v>16</v>
      </c>
      <c r="I2449" s="4" t="str">
        <f>"1"</f>
        <v>1</v>
      </c>
      <c r="J2449" s="2">
        <v>11179.93</v>
      </c>
      <c r="K2449" s="3">
        <v>46122</v>
      </c>
      <c r="L2449" s="3">
        <v>46125</v>
      </c>
      <c r="M2449" s="1" t="s">
        <v>6285</v>
      </c>
      <c r="N2449" s="1" t="s">
        <v>6284</v>
      </c>
    </row>
    <row r="2450" spans="1:14" s="1" customFormat="1" x14ac:dyDescent="0.35">
      <c r="A2450" s="1" t="s">
        <v>5171</v>
      </c>
      <c r="B2450" s="1" t="s">
        <v>4441</v>
      </c>
      <c r="C2450" s="1" t="s">
        <v>4618</v>
      </c>
      <c r="D2450" s="1" t="s">
        <v>6283</v>
      </c>
      <c r="E2450" s="1" t="str">
        <f>"5180"</f>
        <v>5180</v>
      </c>
      <c r="F2450" s="1" t="str">
        <f>"016595598"</f>
        <v>016595598</v>
      </c>
      <c r="G2450" s="1" t="s">
        <v>6282</v>
      </c>
      <c r="H2450" s="1" t="s">
        <v>215</v>
      </c>
      <c r="I2450" s="4" t="str">
        <f>"2"</f>
        <v>2</v>
      </c>
      <c r="J2450" s="2" t="str">
        <f>"6957"</f>
        <v>6957</v>
      </c>
      <c r="K2450" s="3">
        <v>46123</v>
      </c>
      <c r="L2450" s="3">
        <v>46125</v>
      </c>
      <c r="M2450" s="1" t="s">
        <v>5167</v>
      </c>
      <c r="N2450" s="1" t="s">
        <v>6281</v>
      </c>
    </row>
    <row r="2451" spans="1:14" s="1" customFormat="1" x14ac:dyDescent="0.35">
      <c r="A2451" s="1" t="s">
        <v>5171</v>
      </c>
      <c r="B2451" s="1" t="s">
        <v>4441</v>
      </c>
      <c r="C2451" s="1" t="s">
        <v>4812</v>
      </c>
      <c r="D2451" s="1" t="s">
        <v>6280</v>
      </c>
      <c r="E2451" s="1" t="str">
        <f>"8115"</f>
        <v>8115</v>
      </c>
      <c r="F2451" s="1" t="str">
        <f>"001682275"</f>
        <v>001682275</v>
      </c>
      <c r="G2451" s="1" t="s">
        <v>2230</v>
      </c>
      <c r="H2451" s="1" t="s">
        <v>16</v>
      </c>
      <c r="I2451" s="4" t="str">
        <f>"1"</f>
        <v>1</v>
      </c>
      <c r="J2451" s="2" t="str">
        <f>"1324"</f>
        <v>1324</v>
      </c>
      <c r="K2451" s="3">
        <v>46062</v>
      </c>
      <c r="L2451" s="3">
        <v>46125</v>
      </c>
      <c r="M2451" s="1" t="s">
        <v>6279</v>
      </c>
      <c r="N2451" s="1" t="s">
        <v>6278</v>
      </c>
    </row>
    <row r="2452" spans="1:14" s="1" customFormat="1" x14ac:dyDescent="0.35">
      <c r="A2452" s="1" t="s">
        <v>0</v>
      </c>
      <c r="B2452" s="1" t="s">
        <v>4441</v>
      </c>
      <c r="C2452" s="1" t="s">
        <v>4450</v>
      </c>
      <c r="D2452" s="1" t="s">
        <v>6277</v>
      </c>
      <c r="E2452" s="1" t="str">
        <f>"2340"</f>
        <v>2340</v>
      </c>
      <c r="F2452" s="1" t="s">
        <v>61</v>
      </c>
      <c r="G2452" s="1" t="s">
        <v>62</v>
      </c>
      <c r="H2452" s="1" t="s">
        <v>16</v>
      </c>
      <c r="I2452" s="4" t="str">
        <f>"1"</f>
        <v>1</v>
      </c>
      <c r="J2452" s="2" t="str">
        <f>"15900"</f>
        <v>15900</v>
      </c>
      <c r="K2452" s="3">
        <v>46123</v>
      </c>
      <c r="L2452" s="3">
        <v>46126</v>
      </c>
      <c r="M2452" s="1" t="s">
        <v>6276</v>
      </c>
      <c r="N2452" s="1" t="s">
        <v>6262</v>
      </c>
    </row>
    <row r="2453" spans="1:14" s="1" customFormat="1" x14ac:dyDescent="0.35">
      <c r="A2453" s="1" t="s">
        <v>5171</v>
      </c>
      <c r="B2453" s="1" t="s">
        <v>4441</v>
      </c>
      <c r="C2453" s="1" t="s">
        <v>6275</v>
      </c>
      <c r="D2453" s="1" t="s">
        <v>6274</v>
      </c>
      <c r="E2453" s="1" t="str">
        <f>"5855"</f>
        <v>5855</v>
      </c>
      <c r="F2453" s="1" t="str">
        <f>"015330555"</f>
        <v>015330555</v>
      </c>
      <c r="G2453" s="1" t="s">
        <v>462</v>
      </c>
      <c r="H2453" s="1" t="s">
        <v>16</v>
      </c>
      <c r="I2453" s="4" t="str">
        <f>"2"</f>
        <v>2</v>
      </c>
      <c r="J2453" s="2" t="str">
        <f>"1800"</f>
        <v>1800</v>
      </c>
      <c r="K2453" s="3">
        <v>46125</v>
      </c>
      <c r="L2453" s="3">
        <v>46126</v>
      </c>
      <c r="M2453" s="1" t="s">
        <v>5167</v>
      </c>
      <c r="N2453" s="1" t="s">
        <v>6273</v>
      </c>
    </row>
    <row r="2454" spans="1:14" s="1" customFormat="1" x14ac:dyDescent="0.35">
      <c r="A2454" s="1" t="s">
        <v>5171</v>
      </c>
      <c r="B2454" s="1" t="s">
        <v>4441</v>
      </c>
      <c r="C2454" s="1" t="s">
        <v>5776</v>
      </c>
      <c r="D2454" s="1" t="s">
        <v>6272</v>
      </c>
      <c r="E2454" s="1" t="str">
        <f>"5180"</f>
        <v>5180</v>
      </c>
      <c r="F2454" s="1" t="str">
        <f>"015595981"</f>
        <v>015595981</v>
      </c>
      <c r="G2454" s="1" t="s">
        <v>1076</v>
      </c>
      <c r="H2454" s="1" t="s">
        <v>215</v>
      </c>
      <c r="I2454" s="4" t="str">
        <f>"1"</f>
        <v>1</v>
      </c>
      <c r="J2454" s="2" t="str">
        <f>"1774"</f>
        <v>1774</v>
      </c>
      <c r="K2454" s="3">
        <v>46074</v>
      </c>
      <c r="L2454" s="3">
        <v>46127</v>
      </c>
      <c r="M2454" s="1" t="s">
        <v>6271</v>
      </c>
      <c r="N2454" s="1" t="s">
        <v>6270</v>
      </c>
    </row>
    <row r="2455" spans="1:14" s="1" customFormat="1" x14ac:dyDescent="0.35">
      <c r="A2455" s="1" t="s">
        <v>5230</v>
      </c>
      <c r="B2455" s="1" t="s">
        <v>4441</v>
      </c>
      <c r="C2455" s="1" t="s">
        <v>4618</v>
      </c>
      <c r="D2455" s="1" t="s">
        <v>6269</v>
      </c>
      <c r="E2455" s="1" t="str">
        <f>"5180"</f>
        <v>5180</v>
      </c>
      <c r="F2455" s="1" t="str">
        <f>"015595981"</f>
        <v>015595981</v>
      </c>
      <c r="G2455" s="1" t="s">
        <v>1076</v>
      </c>
      <c r="H2455" s="1" t="s">
        <v>215</v>
      </c>
      <c r="I2455" s="4" t="str">
        <f>"1"</f>
        <v>1</v>
      </c>
      <c r="J2455" s="2" t="str">
        <f>"1774"</f>
        <v>1774</v>
      </c>
      <c r="K2455" s="3">
        <v>46128</v>
      </c>
      <c r="L2455" s="3">
        <v>46128</v>
      </c>
      <c r="N2455" s="1" t="s">
        <v>4650</v>
      </c>
    </row>
    <row r="2456" spans="1:14" s="1" customFormat="1" x14ac:dyDescent="0.35">
      <c r="A2456" s="1" t="s">
        <v>5171</v>
      </c>
      <c r="B2456" s="1" t="s">
        <v>4441</v>
      </c>
      <c r="C2456" s="1" t="s">
        <v>4442</v>
      </c>
      <c r="D2456" s="1" t="s">
        <v>6268</v>
      </c>
      <c r="E2456" s="1" t="str">
        <f>"4240"</f>
        <v>4240</v>
      </c>
      <c r="F2456" s="1" t="str">
        <f>"015475933"</f>
        <v>015475933</v>
      </c>
      <c r="G2456" s="1" t="s">
        <v>6267</v>
      </c>
      <c r="H2456" s="1" t="s">
        <v>16</v>
      </c>
      <c r="I2456" s="4" t="str">
        <f>"21"</f>
        <v>21</v>
      </c>
      <c r="J2456" s="2">
        <v>59.03</v>
      </c>
      <c r="K2456" s="3">
        <v>46125</v>
      </c>
      <c r="L2456" s="3">
        <v>46128</v>
      </c>
      <c r="M2456" s="1" t="s">
        <v>6266</v>
      </c>
      <c r="N2456" s="1" t="s">
        <v>6265</v>
      </c>
    </row>
    <row r="2457" spans="1:14" s="1" customFormat="1" x14ac:dyDescent="0.35">
      <c r="A2457" s="1" t="s">
        <v>5171</v>
      </c>
      <c r="B2457" s="1" t="s">
        <v>4441</v>
      </c>
      <c r="C2457" s="1" t="s">
        <v>4450</v>
      </c>
      <c r="D2457" s="1" t="s">
        <v>6264</v>
      </c>
      <c r="E2457" s="1" t="str">
        <f>"2340"</f>
        <v>2340</v>
      </c>
      <c r="F2457" s="1" t="s">
        <v>61</v>
      </c>
      <c r="G2457" s="1" t="s">
        <v>62</v>
      </c>
      <c r="H2457" s="1" t="s">
        <v>16</v>
      </c>
      <c r="I2457" s="4" t="str">
        <f>"1"</f>
        <v>1</v>
      </c>
      <c r="J2457" s="2" t="str">
        <f>"15900"</f>
        <v>15900</v>
      </c>
      <c r="K2457" s="3">
        <v>46123</v>
      </c>
      <c r="L2457" s="3">
        <v>46128</v>
      </c>
      <c r="M2457" s="1" t="s">
        <v>6263</v>
      </c>
      <c r="N2457" s="1" t="s">
        <v>6262</v>
      </c>
    </row>
    <row r="2458" spans="1:14" s="1" customFormat="1" x14ac:dyDescent="0.35">
      <c r="A2458" s="1" t="s">
        <v>5171</v>
      </c>
      <c r="B2458" s="1" t="s">
        <v>4441</v>
      </c>
      <c r="C2458" s="1" t="s">
        <v>4551</v>
      </c>
      <c r="D2458" s="1" t="s">
        <v>6261</v>
      </c>
      <c r="E2458" s="1" t="str">
        <f>"6115"</f>
        <v>6115</v>
      </c>
      <c r="F2458" s="1" t="s">
        <v>1106</v>
      </c>
      <c r="G2458" s="1" t="s">
        <v>1107</v>
      </c>
      <c r="H2458" s="1" t="s">
        <v>16</v>
      </c>
      <c r="I2458" s="4" t="str">
        <f>"2"</f>
        <v>2</v>
      </c>
      <c r="J2458" s="2" t="str">
        <f>"5372"</f>
        <v>5372</v>
      </c>
      <c r="K2458" s="3">
        <v>46122</v>
      </c>
      <c r="L2458" s="3">
        <v>46128</v>
      </c>
      <c r="M2458" s="1" t="s">
        <v>6260</v>
      </c>
      <c r="N2458" s="1" t="s">
        <v>6259</v>
      </c>
    </row>
    <row r="2459" spans="1:14" s="1" customFormat="1" x14ac:dyDescent="0.35">
      <c r="A2459" s="1" t="s">
        <v>5171</v>
      </c>
      <c r="B2459" s="1" t="s">
        <v>4441</v>
      </c>
      <c r="C2459" s="1" t="s">
        <v>4581</v>
      </c>
      <c r="D2459" s="1" t="s">
        <v>6258</v>
      </c>
      <c r="E2459" s="1" t="str">
        <f>"2320"</f>
        <v>2320</v>
      </c>
      <c r="F2459" s="1" t="str">
        <f>"014473888"</f>
        <v>014473888</v>
      </c>
      <c r="G2459" s="1" t="s">
        <v>271</v>
      </c>
      <c r="H2459" s="1" t="s">
        <v>16</v>
      </c>
      <c r="I2459" s="4" t="str">
        <f>"1"</f>
        <v>1</v>
      </c>
      <c r="J2459" s="2" t="str">
        <f>"149600"</f>
        <v>149600</v>
      </c>
      <c r="K2459" s="3">
        <v>46104</v>
      </c>
      <c r="L2459" s="3">
        <v>46128</v>
      </c>
      <c r="M2459" s="1" t="s">
        <v>6257</v>
      </c>
      <c r="N2459" s="1" t="s">
        <v>6256</v>
      </c>
    </row>
    <row r="2460" spans="1:14" s="1" customFormat="1" x14ac:dyDescent="0.35">
      <c r="A2460" s="1" t="s">
        <v>5171</v>
      </c>
      <c r="B2460" s="1" t="s">
        <v>4441</v>
      </c>
      <c r="C2460" s="1" t="s">
        <v>4618</v>
      </c>
      <c r="D2460" s="1" t="s">
        <v>6255</v>
      </c>
      <c r="E2460" s="1" t="str">
        <f>"8460"</f>
        <v>8460</v>
      </c>
      <c r="F2460" s="1" t="s">
        <v>1740</v>
      </c>
      <c r="G2460" s="1" t="s">
        <v>1741</v>
      </c>
      <c r="H2460" s="1" t="s">
        <v>16</v>
      </c>
      <c r="I2460" s="4" t="str">
        <f>"1"</f>
        <v>1</v>
      </c>
      <c r="J2460" s="2">
        <v>335.8</v>
      </c>
      <c r="K2460" s="3">
        <v>46123</v>
      </c>
      <c r="L2460" s="3">
        <v>46128</v>
      </c>
      <c r="M2460" s="1" t="s">
        <v>6254</v>
      </c>
      <c r="N2460" s="1" t="s">
        <v>6253</v>
      </c>
    </row>
    <row r="2461" spans="1:14" s="1" customFormat="1" x14ac:dyDescent="0.35">
      <c r="A2461" s="1" t="s">
        <v>5171</v>
      </c>
      <c r="B2461" s="1" t="s">
        <v>4441</v>
      </c>
      <c r="C2461" s="1" t="s">
        <v>4618</v>
      </c>
      <c r="D2461" s="1" t="s">
        <v>6252</v>
      </c>
      <c r="E2461" s="1" t="str">
        <f>"6115"</f>
        <v>6115</v>
      </c>
      <c r="F2461" s="1" t="s">
        <v>1106</v>
      </c>
      <c r="G2461" s="1" t="s">
        <v>1107</v>
      </c>
      <c r="H2461" s="1" t="s">
        <v>16</v>
      </c>
      <c r="I2461" s="4" t="str">
        <f>"2"</f>
        <v>2</v>
      </c>
      <c r="J2461" s="2" t="str">
        <f>"5372"</f>
        <v>5372</v>
      </c>
      <c r="K2461" s="3">
        <v>46123</v>
      </c>
      <c r="L2461" s="3">
        <v>46128</v>
      </c>
      <c r="M2461" s="1" t="s">
        <v>6251</v>
      </c>
      <c r="N2461" s="1" t="s">
        <v>6250</v>
      </c>
    </row>
    <row r="2462" spans="1:14" s="1" customFormat="1" x14ac:dyDescent="0.35">
      <c r="A2462" s="1" t="s">
        <v>5171</v>
      </c>
      <c r="B2462" s="1" t="s">
        <v>4441</v>
      </c>
      <c r="C2462" s="1" t="s">
        <v>4618</v>
      </c>
      <c r="D2462" s="1" t="s">
        <v>6249</v>
      </c>
      <c r="E2462" s="1" t="str">
        <f>"5180"</f>
        <v>5180</v>
      </c>
      <c r="F2462" s="1" t="str">
        <f>"016595021"</f>
        <v>016595021</v>
      </c>
      <c r="G2462" s="1" t="s">
        <v>3119</v>
      </c>
      <c r="H2462" s="1" t="s">
        <v>215</v>
      </c>
      <c r="I2462" s="4" t="str">
        <f>"1"</f>
        <v>1</v>
      </c>
      <c r="J2462" s="2">
        <v>17611.71</v>
      </c>
      <c r="K2462" s="3">
        <v>46127</v>
      </c>
      <c r="L2462" s="3">
        <v>46128</v>
      </c>
      <c r="M2462" s="1" t="s">
        <v>5167</v>
      </c>
      <c r="N2462" s="1" t="s">
        <v>6248</v>
      </c>
    </row>
    <row r="2463" spans="1:14" s="1" customFormat="1" x14ac:dyDescent="0.35">
      <c r="A2463" s="1" t="s">
        <v>5171</v>
      </c>
      <c r="B2463" s="1" t="s">
        <v>4441</v>
      </c>
      <c r="C2463" s="1" t="s">
        <v>4737</v>
      </c>
      <c r="D2463" s="1" t="s">
        <v>6247</v>
      </c>
      <c r="E2463" s="1" t="str">
        <f>"2340"</f>
        <v>2340</v>
      </c>
      <c r="F2463" s="1" t="s">
        <v>2548</v>
      </c>
      <c r="G2463" s="1" t="s">
        <v>2549</v>
      </c>
      <c r="H2463" s="1" t="s">
        <v>16</v>
      </c>
      <c r="I2463" s="4" t="str">
        <f>"1"</f>
        <v>1</v>
      </c>
      <c r="J2463" s="2" t="str">
        <f>"5604"</f>
        <v>5604</v>
      </c>
      <c r="K2463" s="3">
        <v>45976</v>
      </c>
      <c r="L2463" s="3">
        <v>46128</v>
      </c>
      <c r="M2463" s="1" t="s">
        <v>6246</v>
      </c>
      <c r="N2463" s="1" t="s">
        <v>6245</v>
      </c>
    </row>
    <row r="2464" spans="1:14" s="1" customFormat="1" x14ac:dyDescent="0.35">
      <c r="A2464" s="1" t="s">
        <v>5171</v>
      </c>
      <c r="B2464" s="1" t="s">
        <v>4441</v>
      </c>
      <c r="C2464" s="1" t="s">
        <v>4737</v>
      </c>
      <c r="D2464" s="1" t="s">
        <v>6244</v>
      </c>
      <c r="E2464" s="1" t="str">
        <f>"2330"</f>
        <v>2330</v>
      </c>
      <c r="F2464" s="1" t="str">
        <f>"013875443"</f>
        <v>013875443</v>
      </c>
      <c r="G2464" s="1" t="s">
        <v>979</v>
      </c>
      <c r="H2464" s="1" t="s">
        <v>16</v>
      </c>
      <c r="I2464" s="4" t="str">
        <f>"1"</f>
        <v>1</v>
      </c>
      <c r="J2464" s="2" t="str">
        <f>"9535"</f>
        <v>9535</v>
      </c>
      <c r="K2464" s="3">
        <v>46105</v>
      </c>
      <c r="L2464" s="3">
        <v>46128</v>
      </c>
      <c r="M2464" s="1" t="s">
        <v>6243</v>
      </c>
      <c r="N2464" s="1" t="s">
        <v>6242</v>
      </c>
    </row>
    <row r="2465" spans="1:14" s="1" customFormat="1" x14ac:dyDescent="0.35">
      <c r="A2465" s="1" t="s">
        <v>5171</v>
      </c>
      <c r="B2465" s="1" t="s">
        <v>4441</v>
      </c>
      <c r="C2465" s="1" t="s">
        <v>4737</v>
      </c>
      <c r="D2465" s="1" t="s">
        <v>6241</v>
      </c>
      <c r="E2465" s="1" t="str">
        <f>"7025"</f>
        <v>7025</v>
      </c>
      <c r="F2465" s="1" t="s">
        <v>4571</v>
      </c>
      <c r="G2465" s="1" t="s">
        <v>4572</v>
      </c>
      <c r="H2465" s="1" t="s">
        <v>16</v>
      </c>
      <c r="I2465" s="4" t="str">
        <f>"3"</f>
        <v>3</v>
      </c>
      <c r="J2465" s="2" t="str">
        <f>"127"</f>
        <v>127</v>
      </c>
      <c r="K2465" s="3">
        <v>46105</v>
      </c>
      <c r="L2465" s="3">
        <v>46128</v>
      </c>
      <c r="M2465" s="1" t="s">
        <v>6240</v>
      </c>
      <c r="N2465" s="1" t="s">
        <v>6239</v>
      </c>
    </row>
    <row r="2466" spans="1:14" s="1" customFormat="1" x14ac:dyDescent="0.35">
      <c r="A2466" s="1" t="s">
        <v>5171</v>
      </c>
      <c r="B2466" s="1" t="s">
        <v>4441</v>
      </c>
      <c r="C2466" s="1" t="s">
        <v>4791</v>
      </c>
      <c r="D2466" s="1" t="s">
        <v>6238</v>
      </c>
      <c r="E2466" s="1" t="str">
        <f>"6545"</f>
        <v>6545</v>
      </c>
      <c r="F2466" s="1" t="str">
        <f>"015392732"</f>
        <v>015392732</v>
      </c>
      <c r="G2466" s="1" t="s">
        <v>305</v>
      </c>
      <c r="H2466" s="1" t="s">
        <v>215</v>
      </c>
      <c r="I2466" s="4" t="str">
        <f>"5"</f>
        <v>5</v>
      </c>
      <c r="J2466" s="2">
        <v>446.17</v>
      </c>
      <c r="K2466" s="3">
        <v>46084</v>
      </c>
      <c r="L2466" s="3">
        <v>46128</v>
      </c>
      <c r="M2466" s="1" t="s">
        <v>6237</v>
      </c>
      <c r="N2466" s="1" t="s">
        <v>6236</v>
      </c>
    </row>
    <row r="2467" spans="1:14" s="1" customFormat="1" x14ac:dyDescent="0.35">
      <c r="A2467" s="1" t="s">
        <v>5171</v>
      </c>
      <c r="B2467" s="1" t="s">
        <v>4441</v>
      </c>
      <c r="C2467" s="1" t="s">
        <v>4551</v>
      </c>
      <c r="D2467" s="1" t="s">
        <v>6235</v>
      </c>
      <c r="E2467" s="1" t="str">
        <f>"6730"</f>
        <v>6730</v>
      </c>
      <c r="F2467" s="1" t="s">
        <v>6121</v>
      </c>
      <c r="G2467" s="1" t="s">
        <v>6120</v>
      </c>
      <c r="H2467" s="1" t="s">
        <v>16</v>
      </c>
      <c r="I2467" s="4" t="str">
        <f>"1"</f>
        <v>1</v>
      </c>
      <c r="J2467" s="2">
        <v>209.99</v>
      </c>
      <c r="K2467" s="3">
        <v>46107</v>
      </c>
      <c r="L2467" s="3">
        <v>46129</v>
      </c>
      <c r="M2467" s="1" t="s">
        <v>6234</v>
      </c>
      <c r="N2467" s="1" t="s">
        <v>6233</v>
      </c>
    </row>
    <row r="2468" spans="1:14" s="1" customFormat="1" x14ac:dyDescent="0.35">
      <c r="A2468" s="1" t="s">
        <v>5171</v>
      </c>
      <c r="B2468" s="1" t="s">
        <v>4441</v>
      </c>
      <c r="C2468" s="1" t="s">
        <v>4591</v>
      </c>
      <c r="D2468" s="1" t="s">
        <v>6232</v>
      </c>
      <c r="E2468" s="1" t="str">
        <f>"3431"</f>
        <v>3431</v>
      </c>
      <c r="F2468" s="1" t="s">
        <v>4301</v>
      </c>
      <c r="G2468" s="1" t="s">
        <v>4302</v>
      </c>
      <c r="H2468" s="1" t="s">
        <v>16</v>
      </c>
      <c r="I2468" s="4" t="str">
        <f>"1"</f>
        <v>1</v>
      </c>
      <c r="J2468" s="2" t="str">
        <f>"1103"</f>
        <v>1103</v>
      </c>
      <c r="K2468" s="3">
        <v>46104</v>
      </c>
      <c r="L2468" s="3">
        <v>46129</v>
      </c>
      <c r="M2468" s="1" t="s">
        <v>6231</v>
      </c>
      <c r="N2468" s="1" t="s">
        <v>6230</v>
      </c>
    </row>
    <row r="2469" spans="1:14" s="1" customFormat="1" x14ac:dyDescent="0.35">
      <c r="A2469" s="1" t="s">
        <v>5171</v>
      </c>
      <c r="B2469" s="1" t="s">
        <v>4441</v>
      </c>
      <c r="C2469" s="1" t="s">
        <v>4591</v>
      </c>
      <c r="D2469" s="1" t="s">
        <v>6229</v>
      </c>
      <c r="E2469" s="1" t="str">
        <f>"2530"</f>
        <v>2530</v>
      </c>
      <c r="F2469" s="1" t="str">
        <f>"015004619"</f>
        <v>015004619</v>
      </c>
      <c r="G2469" s="1" t="s">
        <v>1454</v>
      </c>
      <c r="H2469" s="1" t="s">
        <v>1168</v>
      </c>
      <c r="I2469" s="4" t="str">
        <f>"4"</f>
        <v>4</v>
      </c>
      <c r="J2469" s="2" t="str">
        <f>"3629"</f>
        <v>3629</v>
      </c>
      <c r="K2469" s="3">
        <v>46114</v>
      </c>
      <c r="L2469" s="3">
        <v>46129</v>
      </c>
      <c r="M2469" s="1" t="s">
        <v>6228</v>
      </c>
      <c r="N2469" s="1" t="s">
        <v>6227</v>
      </c>
    </row>
    <row r="2470" spans="1:14" s="1" customFormat="1" x14ac:dyDescent="0.35">
      <c r="A2470" s="1" t="s">
        <v>5171</v>
      </c>
      <c r="B2470" s="1" t="s">
        <v>4441</v>
      </c>
      <c r="C2470" s="1" t="s">
        <v>4618</v>
      </c>
      <c r="D2470" s="1" t="s">
        <v>6226</v>
      </c>
      <c r="E2470" s="1" t="str">
        <f>"8460"</f>
        <v>8460</v>
      </c>
      <c r="F2470" s="1" t="s">
        <v>6225</v>
      </c>
      <c r="G2470" s="1" t="s">
        <v>6224</v>
      </c>
      <c r="H2470" s="1" t="s">
        <v>16</v>
      </c>
      <c r="I2470" s="4" t="str">
        <f>"8"</f>
        <v>8</v>
      </c>
      <c r="J2470" s="2" t="str">
        <f>"95"</f>
        <v>95</v>
      </c>
      <c r="K2470" s="3">
        <v>46122</v>
      </c>
      <c r="L2470" s="3">
        <v>46129</v>
      </c>
      <c r="M2470" s="1" t="s">
        <v>6223</v>
      </c>
      <c r="N2470" s="1" t="s">
        <v>6222</v>
      </c>
    </row>
    <row r="2471" spans="1:14" s="1" customFormat="1" x14ac:dyDescent="0.35">
      <c r="A2471" s="1" t="s">
        <v>5171</v>
      </c>
      <c r="B2471" s="1" t="s">
        <v>4441</v>
      </c>
      <c r="C2471" s="1" t="s">
        <v>4442</v>
      </c>
      <c r="D2471" s="1" t="s">
        <v>6221</v>
      </c>
      <c r="E2471" s="1" t="str">
        <f>"3895"</f>
        <v>3895</v>
      </c>
      <c r="F2471" s="1" t="s">
        <v>107</v>
      </c>
      <c r="G2471" s="1" t="s">
        <v>108</v>
      </c>
      <c r="H2471" s="1" t="s">
        <v>16</v>
      </c>
      <c r="I2471" s="4" t="str">
        <f>"1"</f>
        <v>1</v>
      </c>
      <c r="J2471" s="2" t="str">
        <f>"53560"</f>
        <v>53560</v>
      </c>
      <c r="K2471" s="3">
        <v>46129</v>
      </c>
      <c r="L2471" s="3">
        <v>46130</v>
      </c>
      <c r="M2471" s="1" t="s">
        <v>5167</v>
      </c>
      <c r="N2471" s="1" t="s">
        <v>6220</v>
      </c>
    </row>
    <row r="2472" spans="1:14" s="1" customFormat="1" x14ac:dyDescent="0.35">
      <c r="A2472" s="1" t="s">
        <v>5171</v>
      </c>
      <c r="B2472" s="1" t="s">
        <v>4441</v>
      </c>
      <c r="C2472" s="1" t="s">
        <v>4551</v>
      </c>
      <c r="D2472" s="1" t="s">
        <v>6219</v>
      </c>
      <c r="E2472" s="1" t="str">
        <f>"2330"</f>
        <v>2330</v>
      </c>
      <c r="F2472" s="1" t="s">
        <v>70</v>
      </c>
      <c r="G2472" s="1" t="s">
        <v>71</v>
      </c>
      <c r="H2472" s="1" t="s">
        <v>16</v>
      </c>
      <c r="I2472" s="4" t="str">
        <f>"1"</f>
        <v>1</v>
      </c>
      <c r="J2472" s="2" t="str">
        <f>"4500"</f>
        <v>4500</v>
      </c>
      <c r="K2472" s="3">
        <v>46118</v>
      </c>
      <c r="L2472" s="3">
        <v>46130</v>
      </c>
      <c r="M2472" s="1" t="s">
        <v>6218</v>
      </c>
      <c r="N2472" s="1" t="s">
        <v>6217</v>
      </c>
    </row>
    <row r="2473" spans="1:14" s="1" customFormat="1" x14ac:dyDescent="0.35">
      <c r="A2473" s="1" t="s">
        <v>5171</v>
      </c>
      <c r="B2473" s="1" t="s">
        <v>4441</v>
      </c>
      <c r="C2473" s="1" t="s">
        <v>4737</v>
      </c>
      <c r="D2473" s="1" t="s">
        <v>6216</v>
      </c>
      <c r="E2473" s="1" t="str">
        <f>"6115"</f>
        <v>6115</v>
      </c>
      <c r="F2473" s="1" t="str">
        <f>"003688200"</f>
        <v>003688200</v>
      </c>
      <c r="G2473" s="1" t="s">
        <v>6172</v>
      </c>
      <c r="H2473" s="1" t="s">
        <v>16</v>
      </c>
      <c r="I2473" s="4" t="str">
        <f>"1"</f>
        <v>1</v>
      </c>
      <c r="J2473" s="2" t="str">
        <f>"8589"</f>
        <v>8589</v>
      </c>
      <c r="K2473" s="3">
        <v>46117</v>
      </c>
      <c r="L2473" s="3">
        <v>46130</v>
      </c>
      <c r="M2473" s="1" t="s">
        <v>6215</v>
      </c>
      <c r="N2473" s="1" t="s">
        <v>6214</v>
      </c>
    </row>
    <row r="2474" spans="1:14" s="1" customFormat="1" x14ac:dyDescent="0.35">
      <c r="A2474" s="1" t="s">
        <v>5171</v>
      </c>
      <c r="B2474" s="1" t="s">
        <v>4441</v>
      </c>
      <c r="C2474" s="1" t="s">
        <v>4812</v>
      </c>
      <c r="D2474" s="1" t="s">
        <v>6213</v>
      </c>
      <c r="E2474" s="1" t="str">
        <f>"5120"</f>
        <v>5120</v>
      </c>
      <c r="F2474" s="1" t="s">
        <v>6212</v>
      </c>
      <c r="G2474" s="1" t="s">
        <v>6211</v>
      </c>
      <c r="H2474" s="1" t="s">
        <v>16</v>
      </c>
      <c r="I2474" s="4" t="str">
        <f>"3"</f>
        <v>3</v>
      </c>
      <c r="J2474" s="2">
        <v>178.36</v>
      </c>
      <c r="K2474" s="3">
        <v>46129</v>
      </c>
      <c r="L2474" s="3">
        <v>46130</v>
      </c>
      <c r="M2474" s="1" t="s">
        <v>5167</v>
      </c>
      <c r="N2474" s="1" t="s">
        <v>6210</v>
      </c>
    </row>
    <row r="2475" spans="1:14" s="1" customFormat="1" x14ac:dyDescent="0.35">
      <c r="A2475" s="1" t="s">
        <v>5171</v>
      </c>
      <c r="B2475" s="1" t="s">
        <v>4441</v>
      </c>
      <c r="C2475" s="1" t="s">
        <v>4855</v>
      </c>
      <c r="D2475" s="1" t="s">
        <v>6209</v>
      </c>
      <c r="E2475" s="1" t="str">
        <f>"2310"</f>
        <v>2310</v>
      </c>
      <c r="F2475" s="1" t="str">
        <f>"011350996"</f>
        <v>011350996</v>
      </c>
      <c r="G2475" s="1" t="s">
        <v>1489</v>
      </c>
      <c r="H2475" s="1" t="s">
        <v>16</v>
      </c>
      <c r="I2475" s="4" t="str">
        <f>"1"</f>
        <v>1</v>
      </c>
      <c r="J2475" s="2" t="str">
        <f>"80000"</f>
        <v>80000</v>
      </c>
      <c r="K2475" s="3">
        <v>46118</v>
      </c>
      <c r="L2475" s="3">
        <v>46130</v>
      </c>
      <c r="M2475" s="1" t="s">
        <v>6208</v>
      </c>
      <c r="N2475" s="1" t="s">
        <v>6207</v>
      </c>
    </row>
    <row r="2476" spans="1:14" s="1" customFormat="1" x14ac:dyDescent="0.35">
      <c r="A2476" s="1" t="s">
        <v>0</v>
      </c>
      <c r="B2476" s="1" t="s">
        <v>4441</v>
      </c>
      <c r="C2476" s="1" t="s">
        <v>4442</v>
      </c>
      <c r="D2476" s="1" t="s">
        <v>6206</v>
      </c>
      <c r="E2476" s="1" t="str">
        <f>"3825"</f>
        <v>3825</v>
      </c>
      <c r="F2476" s="1" t="s">
        <v>134</v>
      </c>
      <c r="G2476" s="1" t="s">
        <v>135</v>
      </c>
      <c r="H2476" s="1" t="s">
        <v>16</v>
      </c>
      <c r="I2476" s="4" t="str">
        <f>"1"</f>
        <v>1</v>
      </c>
      <c r="J2476" s="2" t="str">
        <f>"3000"</f>
        <v>3000</v>
      </c>
      <c r="K2476" s="3">
        <v>46129</v>
      </c>
      <c r="L2476" s="3">
        <v>46131</v>
      </c>
      <c r="M2476" s="1" t="s">
        <v>6205</v>
      </c>
      <c r="N2476" s="1" t="s">
        <v>6204</v>
      </c>
    </row>
    <row r="2477" spans="1:14" s="1" customFormat="1" x14ac:dyDescent="0.35">
      <c r="A2477" s="1" t="s">
        <v>0</v>
      </c>
      <c r="B2477" s="1" t="s">
        <v>4441</v>
      </c>
      <c r="C2477" s="1" t="s">
        <v>4442</v>
      </c>
      <c r="D2477" s="1" t="s">
        <v>6203</v>
      </c>
      <c r="E2477" s="1" t="str">
        <f>"2320"</f>
        <v>2320</v>
      </c>
      <c r="F2477" s="1" t="s">
        <v>975</v>
      </c>
      <c r="G2477" s="1" t="s">
        <v>976</v>
      </c>
      <c r="H2477" s="1" t="s">
        <v>16</v>
      </c>
      <c r="I2477" s="4" t="str">
        <f>"1"</f>
        <v>1</v>
      </c>
      <c r="J2477" s="2" t="str">
        <f>"58000"</f>
        <v>58000</v>
      </c>
      <c r="K2477" s="3">
        <v>46129</v>
      </c>
      <c r="L2477" s="3">
        <v>46131</v>
      </c>
      <c r="M2477" s="1" t="s">
        <v>6202</v>
      </c>
      <c r="N2477" s="1" t="s">
        <v>6201</v>
      </c>
    </row>
    <row r="2478" spans="1:14" s="1" customFormat="1" x14ac:dyDescent="0.35">
      <c r="A2478" s="1" t="s">
        <v>0</v>
      </c>
      <c r="B2478" s="1" t="s">
        <v>4441</v>
      </c>
      <c r="C2478" s="1" t="s">
        <v>4442</v>
      </c>
      <c r="D2478" s="1" t="s">
        <v>6200</v>
      </c>
      <c r="E2478" s="1" t="str">
        <f>"2320"</f>
        <v>2320</v>
      </c>
      <c r="F2478" s="1" t="s">
        <v>975</v>
      </c>
      <c r="G2478" s="1" t="s">
        <v>976</v>
      </c>
      <c r="H2478" s="1" t="s">
        <v>16</v>
      </c>
      <c r="I2478" s="4" t="str">
        <f>"1"</f>
        <v>1</v>
      </c>
      <c r="J2478" s="2" t="str">
        <f>"121000"</f>
        <v>121000</v>
      </c>
      <c r="K2478" s="3">
        <v>46129</v>
      </c>
      <c r="L2478" s="3">
        <v>46131</v>
      </c>
      <c r="M2478" s="1" t="s">
        <v>6199</v>
      </c>
      <c r="N2478" s="1" t="s">
        <v>6123</v>
      </c>
    </row>
    <row r="2479" spans="1:14" s="1" customFormat="1" x14ac:dyDescent="0.35">
      <c r="A2479" s="1" t="s">
        <v>0</v>
      </c>
      <c r="B2479" s="1" t="s">
        <v>4441</v>
      </c>
      <c r="C2479" s="1" t="s">
        <v>4442</v>
      </c>
      <c r="D2479" s="1" t="s">
        <v>6198</v>
      </c>
      <c r="E2479" s="1" t="str">
        <f>"2320"</f>
        <v>2320</v>
      </c>
      <c r="F2479" s="1" t="str">
        <f>"013142912"</f>
        <v>013142912</v>
      </c>
      <c r="G2479" s="1" t="s">
        <v>3486</v>
      </c>
      <c r="H2479" s="1" t="s">
        <v>16</v>
      </c>
      <c r="I2479" s="4" t="str">
        <f>"1"</f>
        <v>1</v>
      </c>
      <c r="J2479" s="2" t="str">
        <f>"134000"</f>
        <v>134000</v>
      </c>
      <c r="K2479" s="3">
        <v>46129</v>
      </c>
      <c r="L2479" s="3">
        <v>46131</v>
      </c>
      <c r="M2479" s="1" t="s">
        <v>6197</v>
      </c>
      <c r="N2479" s="1" t="s">
        <v>6196</v>
      </c>
    </row>
    <row r="2480" spans="1:14" s="1" customFormat="1" x14ac:dyDescent="0.35">
      <c r="A2480" s="1" t="s">
        <v>0</v>
      </c>
      <c r="B2480" s="1" t="s">
        <v>4441</v>
      </c>
      <c r="C2480" s="1" t="s">
        <v>4797</v>
      </c>
      <c r="D2480" s="1" t="s">
        <v>6195</v>
      </c>
      <c r="E2480" s="1" t="str">
        <f>"5836"</f>
        <v>5836</v>
      </c>
      <c r="F2480" s="1" t="s">
        <v>5356</v>
      </c>
      <c r="G2480" s="1" t="s">
        <v>5355</v>
      </c>
      <c r="H2480" s="1" t="s">
        <v>16</v>
      </c>
      <c r="I2480" s="4" t="str">
        <f>"1"</f>
        <v>1</v>
      </c>
      <c r="J2480" s="2" t="str">
        <f>"385"</f>
        <v>385</v>
      </c>
      <c r="K2480" s="3">
        <v>46129</v>
      </c>
      <c r="L2480" s="3">
        <v>46131</v>
      </c>
      <c r="M2480" s="1" t="s">
        <v>6194</v>
      </c>
      <c r="N2480" s="1" t="s">
        <v>6193</v>
      </c>
    </row>
    <row r="2481" spans="1:14" s="1" customFormat="1" x14ac:dyDescent="0.35">
      <c r="A2481" s="1" t="s">
        <v>0</v>
      </c>
      <c r="B2481" s="1" t="s">
        <v>4441</v>
      </c>
      <c r="C2481" s="1" t="s">
        <v>4797</v>
      </c>
      <c r="D2481" s="1" t="s">
        <v>6192</v>
      </c>
      <c r="E2481" s="1" t="str">
        <f>"3950"</f>
        <v>3950</v>
      </c>
      <c r="F2481" s="1" t="str">
        <f>"012820167"</f>
        <v>012820167</v>
      </c>
      <c r="G2481" s="1" t="s">
        <v>1404</v>
      </c>
      <c r="H2481" s="1" t="s">
        <v>16</v>
      </c>
      <c r="I2481" s="4" t="str">
        <f>"1"</f>
        <v>1</v>
      </c>
      <c r="J2481" s="2">
        <v>946.38</v>
      </c>
      <c r="K2481" s="3">
        <v>46129</v>
      </c>
      <c r="L2481" s="3">
        <v>46131</v>
      </c>
      <c r="M2481" s="1" t="s">
        <v>6191</v>
      </c>
      <c r="N2481" s="1" t="s">
        <v>6190</v>
      </c>
    </row>
    <row r="2482" spans="1:14" s="1" customFormat="1" x14ac:dyDescent="0.35">
      <c r="A2482" s="1" t="s">
        <v>5171</v>
      </c>
      <c r="B2482" s="1" t="s">
        <v>4441</v>
      </c>
      <c r="C2482" s="1" t="s">
        <v>4450</v>
      </c>
      <c r="D2482" s="1" t="s">
        <v>6189</v>
      </c>
      <c r="E2482" s="1" t="str">
        <f>"7830"</f>
        <v>7830</v>
      </c>
      <c r="F2482" s="1" t="s">
        <v>6188</v>
      </c>
      <c r="G2482" s="1" t="s">
        <v>6187</v>
      </c>
      <c r="H2482" s="1" t="s">
        <v>16</v>
      </c>
      <c r="I2482" s="4" t="str">
        <f>"1"</f>
        <v>1</v>
      </c>
      <c r="J2482" s="2" t="str">
        <f>"150"</f>
        <v>150</v>
      </c>
      <c r="K2482" s="3">
        <v>46123</v>
      </c>
      <c r="L2482" s="3">
        <v>46132</v>
      </c>
      <c r="M2482" s="1" t="s">
        <v>6186</v>
      </c>
      <c r="N2482" s="1" t="s">
        <v>6185</v>
      </c>
    </row>
    <row r="2483" spans="1:14" s="1" customFormat="1" x14ac:dyDescent="0.35">
      <c r="A2483" s="1" t="s">
        <v>5171</v>
      </c>
      <c r="B2483" s="1" t="s">
        <v>4441</v>
      </c>
      <c r="C2483" s="1" t="s">
        <v>4551</v>
      </c>
      <c r="D2483" s="1" t="s">
        <v>6184</v>
      </c>
      <c r="E2483" s="1" t="str">
        <f>"2320"</f>
        <v>2320</v>
      </c>
      <c r="F2483" s="1" t="str">
        <f>"012157631"</f>
        <v>012157631</v>
      </c>
      <c r="G2483" s="1" t="s">
        <v>360</v>
      </c>
      <c r="H2483" s="1" t="s">
        <v>16</v>
      </c>
      <c r="I2483" s="4" t="str">
        <f>"1"</f>
        <v>1</v>
      </c>
      <c r="J2483" s="2" t="str">
        <f>"33082"</f>
        <v>33082</v>
      </c>
      <c r="K2483" s="3">
        <v>46109</v>
      </c>
      <c r="L2483" s="3">
        <v>46132</v>
      </c>
      <c r="M2483" s="1" t="s">
        <v>6183</v>
      </c>
      <c r="N2483" s="1" t="s">
        <v>6182</v>
      </c>
    </row>
    <row r="2484" spans="1:14" s="1" customFormat="1" x14ac:dyDescent="0.35">
      <c r="A2484" s="1" t="s">
        <v>5171</v>
      </c>
      <c r="B2484" s="1" t="s">
        <v>4441</v>
      </c>
      <c r="C2484" s="1" t="s">
        <v>4581</v>
      </c>
      <c r="D2484" s="1" t="s">
        <v>6181</v>
      </c>
      <c r="E2484" s="1" t="str">
        <f>"2320"</f>
        <v>2320</v>
      </c>
      <c r="F2484" s="1" t="str">
        <f>"015303843"</f>
        <v>015303843</v>
      </c>
      <c r="G2484" s="1" t="s">
        <v>271</v>
      </c>
      <c r="H2484" s="1" t="s">
        <v>16</v>
      </c>
      <c r="I2484" s="4" t="str">
        <f>"1"</f>
        <v>1</v>
      </c>
      <c r="J2484" s="2" t="str">
        <f>"218378"</f>
        <v>218378</v>
      </c>
      <c r="K2484" s="3">
        <v>46104</v>
      </c>
      <c r="L2484" s="3">
        <v>46132</v>
      </c>
      <c r="M2484" s="1" t="s">
        <v>6180</v>
      </c>
      <c r="N2484" s="1" t="s">
        <v>6179</v>
      </c>
    </row>
    <row r="2485" spans="1:14" s="1" customFormat="1" x14ac:dyDescent="0.35">
      <c r="A2485" s="1" t="s">
        <v>5171</v>
      </c>
      <c r="B2485" s="1" t="s">
        <v>4441</v>
      </c>
      <c r="C2485" s="1" t="s">
        <v>4784</v>
      </c>
      <c r="D2485" s="1" t="s">
        <v>6178</v>
      </c>
      <c r="E2485" s="1" t="str">
        <f>"1940"</f>
        <v>1940</v>
      </c>
      <c r="F2485" s="1" t="s">
        <v>1503</v>
      </c>
      <c r="G2485" s="1" t="s">
        <v>1504</v>
      </c>
      <c r="H2485" s="1" t="s">
        <v>16</v>
      </c>
      <c r="I2485" s="4" t="str">
        <f>"1"</f>
        <v>1</v>
      </c>
      <c r="J2485" s="2" t="str">
        <f>"2500"</f>
        <v>2500</v>
      </c>
      <c r="K2485" s="3">
        <v>46131</v>
      </c>
      <c r="L2485" s="3">
        <v>46132</v>
      </c>
      <c r="M2485" s="1" t="s">
        <v>6177</v>
      </c>
      <c r="N2485" s="1" t="s">
        <v>6127</v>
      </c>
    </row>
    <row r="2486" spans="1:14" s="1" customFormat="1" x14ac:dyDescent="0.35">
      <c r="A2486" s="1" t="s">
        <v>5171</v>
      </c>
      <c r="B2486" s="1" t="s">
        <v>4441</v>
      </c>
      <c r="C2486" s="1" t="s">
        <v>4784</v>
      </c>
      <c r="D2486" s="1" t="s">
        <v>6178</v>
      </c>
      <c r="E2486" s="1" t="str">
        <f>"1940"</f>
        <v>1940</v>
      </c>
      <c r="F2486" s="1" t="s">
        <v>1503</v>
      </c>
      <c r="G2486" s="1" t="s">
        <v>1504</v>
      </c>
      <c r="H2486" s="1" t="s">
        <v>16</v>
      </c>
      <c r="I2486" s="4" t="str">
        <f>"1"</f>
        <v>1</v>
      </c>
      <c r="J2486" s="2" t="str">
        <f>"2500"</f>
        <v>2500</v>
      </c>
      <c r="K2486" s="3">
        <v>46131</v>
      </c>
      <c r="L2486" s="3">
        <v>46132</v>
      </c>
      <c r="M2486" s="1" t="s">
        <v>6177</v>
      </c>
      <c r="N2486" s="1" t="s">
        <v>6127</v>
      </c>
    </row>
    <row r="2487" spans="1:14" s="1" customFormat="1" x14ac:dyDescent="0.35">
      <c r="A2487" s="1" t="s">
        <v>5171</v>
      </c>
      <c r="B2487" s="1" t="s">
        <v>4441</v>
      </c>
      <c r="C2487" s="1" t="s">
        <v>4450</v>
      </c>
      <c r="D2487" s="1" t="s">
        <v>6176</v>
      </c>
      <c r="E2487" s="1" t="str">
        <f>"2330"</f>
        <v>2330</v>
      </c>
      <c r="F2487" s="1" t="s">
        <v>70</v>
      </c>
      <c r="G2487" s="1" t="s">
        <v>71</v>
      </c>
      <c r="H2487" s="1" t="s">
        <v>16</v>
      </c>
      <c r="I2487" s="4" t="str">
        <f>"1"</f>
        <v>1</v>
      </c>
      <c r="J2487" s="2" t="str">
        <f>"6699"</f>
        <v>6699</v>
      </c>
      <c r="K2487" s="3">
        <v>46130</v>
      </c>
      <c r="L2487" s="3">
        <v>46133</v>
      </c>
      <c r="M2487" s="1" t="s">
        <v>6175</v>
      </c>
      <c r="N2487" s="1" t="s">
        <v>6174</v>
      </c>
    </row>
    <row r="2488" spans="1:14" s="1" customFormat="1" x14ac:dyDescent="0.35">
      <c r="A2488" s="1" t="s">
        <v>5171</v>
      </c>
      <c r="B2488" s="1" t="s">
        <v>4441</v>
      </c>
      <c r="C2488" s="1" t="s">
        <v>4737</v>
      </c>
      <c r="D2488" s="1" t="s">
        <v>6173</v>
      </c>
      <c r="E2488" s="1" t="str">
        <f>"6115"</f>
        <v>6115</v>
      </c>
      <c r="F2488" s="1" t="str">
        <f>"003688200"</f>
        <v>003688200</v>
      </c>
      <c r="G2488" s="1" t="s">
        <v>6172</v>
      </c>
      <c r="H2488" s="1" t="s">
        <v>16</v>
      </c>
      <c r="I2488" s="4" t="str">
        <f>"1"</f>
        <v>1</v>
      </c>
      <c r="J2488" s="2" t="str">
        <f>"8589"</f>
        <v>8589</v>
      </c>
      <c r="K2488" s="3">
        <v>46117</v>
      </c>
      <c r="L2488" s="3">
        <v>46133</v>
      </c>
      <c r="M2488" s="1" t="s">
        <v>6171</v>
      </c>
      <c r="N2488" s="1" t="s">
        <v>6170</v>
      </c>
    </row>
    <row r="2489" spans="1:14" s="1" customFormat="1" x14ac:dyDescent="0.35">
      <c r="A2489" s="1" t="s">
        <v>5171</v>
      </c>
      <c r="B2489" s="1" t="s">
        <v>4441</v>
      </c>
      <c r="C2489" s="1" t="s">
        <v>4855</v>
      </c>
      <c r="D2489" s="1" t="s">
        <v>6169</v>
      </c>
      <c r="E2489" s="1" t="str">
        <f>"8150"</f>
        <v>8150</v>
      </c>
      <c r="F2489" s="1" t="str">
        <f>"015929855"</f>
        <v>015929855</v>
      </c>
      <c r="G2489" s="1" t="s">
        <v>6168</v>
      </c>
      <c r="H2489" s="1" t="s">
        <v>16</v>
      </c>
      <c r="I2489" s="4" t="str">
        <f>"1"</f>
        <v>1</v>
      </c>
      <c r="J2489" s="2" t="str">
        <f>"9684"</f>
        <v>9684</v>
      </c>
      <c r="K2489" s="3">
        <v>46132</v>
      </c>
      <c r="L2489" s="3">
        <v>46133</v>
      </c>
      <c r="M2489" s="1" t="s">
        <v>5167</v>
      </c>
      <c r="N2489" s="1" t="s">
        <v>4867</v>
      </c>
    </row>
    <row r="2490" spans="1:14" s="1" customFormat="1" x14ac:dyDescent="0.35">
      <c r="A2490" s="1" t="s">
        <v>5171</v>
      </c>
      <c r="B2490" s="1" t="s">
        <v>4441</v>
      </c>
      <c r="C2490" s="1" t="s">
        <v>4855</v>
      </c>
      <c r="D2490" s="1" t="s">
        <v>6167</v>
      </c>
      <c r="E2490" s="1" t="str">
        <f>"8145"</f>
        <v>8145</v>
      </c>
      <c r="F2490" s="1" t="s">
        <v>408</v>
      </c>
      <c r="G2490" s="1" t="s">
        <v>409</v>
      </c>
      <c r="H2490" s="1" t="s">
        <v>16</v>
      </c>
      <c r="I2490" s="4" t="str">
        <f>"1"</f>
        <v>1</v>
      </c>
      <c r="J2490" s="2" t="str">
        <f>"4350"</f>
        <v>4350</v>
      </c>
      <c r="K2490" s="3">
        <v>46132</v>
      </c>
      <c r="L2490" s="3">
        <v>46133</v>
      </c>
      <c r="M2490" s="1" t="s">
        <v>5167</v>
      </c>
      <c r="N2490" s="1" t="s">
        <v>4867</v>
      </c>
    </row>
    <row r="2491" spans="1:14" s="1" customFormat="1" x14ac:dyDescent="0.35">
      <c r="A2491" s="1" t="s">
        <v>5171</v>
      </c>
      <c r="B2491" s="1" t="s">
        <v>4441</v>
      </c>
      <c r="C2491" s="1" t="s">
        <v>4855</v>
      </c>
      <c r="D2491" s="1" t="s">
        <v>6166</v>
      </c>
      <c r="E2491" s="1" t="str">
        <f>"8145"</f>
        <v>8145</v>
      </c>
      <c r="F2491" s="1" t="s">
        <v>408</v>
      </c>
      <c r="G2491" s="1" t="s">
        <v>409</v>
      </c>
      <c r="H2491" s="1" t="s">
        <v>16</v>
      </c>
      <c r="I2491" s="4" t="str">
        <f>"1"</f>
        <v>1</v>
      </c>
      <c r="J2491" s="2" t="str">
        <f>"4350"</f>
        <v>4350</v>
      </c>
      <c r="K2491" s="3">
        <v>46132</v>
      </c>
      <c r="L2491" s="3">
        <v>46133</v>
      </c>
      <c r="M2491" s="1" t="s">
        <v>5167</v>
      </c>
      <c r="N2491" s="1" t="s">
        <v>4867</v>
      </c>
    </row>
    <row r="2492" spans="1:14" s="1" customFormat="1" x14ac:dyDescent="0.35">
      <c r="A2492" s="1" t="s">
        <v>5171</v>
      </c>
      <c r="B2492" s="1" t="s">
        <v>4441</v>
      </c>
      <c r="C2492" s="1" t="s">
        <v>4450</v>
      </c>
      <c r="D2492" s="1" t="s">
        <v>6165</v>
      </c>
      <c r="E2492" s="1" t="str">
        <f>"8115"</f>
        <v>8115</v>
      </c>
      <c r="F2492" s="1" t="str">
        <f>"001682275"</f>
        <v>001682275</v>
      </c>
      <c r="G2492" s="1" t="s">
        <v>2230</v>
      </c>
      <c r="H2492" s="1" t="s">
        <v>16</v>
      </c>
      <c r="I2492" s="4" t="str">
        <f>"1"</f>
        <v>1</v>
      </c>
      <c r="J2492" s="2" t="str">
        <f>"1324"</f>
        <v>1324</v>
      </c>
      <c r="K2492" s="3">
        <v>46123</v>
      </c>
      <c r="L2492" s="3">
        <v>46134</v>
      </c>
      <c r="M2492" s="1" t="s">
        <v>6164</v>
      </c>
      <c r="N2492" s="1" t="s">
        <v>6163</v>
      </c>
    </row>
    <row r="2493" spans="1:14" s="1" customFormat="1" x14ac:dyDescent="0.35">
      <c r="A2493" s="1" t="s">
        <v>5171</v>
      </c>
      <c r="B2493" s="1" t="s">
        <v>4441</v>
      </c>
      <c r="C2493" s="1" t="s">
        <v>4618</v>
      </c>
      <c r="D2493" s="1" t="s">
        <v>6162</v>
      </c>
      <c r="E2493" s="1" t="str">
        <f>"8145"</f>
        <v>8145</v>
      </c>
      <c r="F2493" s="1" t="s">
        <v>1879</v>
      </c>
      <c r="G2493" s="1" t="s">
        <v>1880</v>
      </c>
      <c r="H2493" s="1" t="s">
        <v>16</v>
      </c>
      <c r="I2493" s="4" t="str">
        <f>"3"</f>
        <v>3</v>
      </c>
      <c r="J2493" s="2" t="str">
        <f>"445"</f>
        <v>445</v>
      </c>
      <c r="K2493" s="3">
        <v>46133</v>
      </c>
      <c r="L2493" s="3">
        <v>46134</v>
      </c>
      <c r="M2493" s="1" t="s">
        <v>6161</v>
      </c>
      <c r="N2493" s="1" t="s">
        <v>6160</v>
      </c>
    </row>
    <row r="2494" spans="1:14" s="1" customFormat="1" x14ac:dyDescent="0.35">
      <c r="A2494" s="1" t="s">
        <v>5171</v>
      </c>
      <c r="B2494" s="1" t="s">
        <v>4441</v>
      </c>
      <c r="C2494" s="1" t="s">
        <v>4855</v>
      </c>
      <c r="D2494" s="1" t="s">
        <v>6159</v>
      </c>
      <c r="E2494" s="1" t="str">
        <f>"3895"</f>
        <v>3895</v>
      </c>
      <c r="F2494" s="1" t="s">
        <v>107</v>
      </c>
      <c r="G2494" s="1" t="s">
        <v>108</v>
      </c>
      <c r="H2494" s="1" t="s">
        <v>16</v>
      </c>
      <c r="I2494" s="4" t="str">
        <f>"1"</f>
        <v>1</v>
      </c>
      <c r="J2494" s="2" t="str">
        <f>"11760"</f>
        <v>11760</v>
      </c>
      <c r="K2494" s="3">
        <v>46130</v>
      </c>
      <c r="L2494" s="3">
        <v>46134</v>
      </c>
      <c r="M2494" s="1" t="s">
        <v>6158</v>
      </c>
      <c r="N2494" s="1" t="s">
        <v>6157</v>
      </c>
    </row>
    <row r="2495" spans="1:14" s="1" customFormat="1" x14ac:dyDescent="0.35">
      <c r="A2495" s="1" t="s">
        <v>5171</v>
      </c>
      <c r="B2495" s="1" t="s">
        <v>4441</v>
      </c>
      <c r="C2495" s="1" t="s">
        <v>4450</v>
      </c>
      <c r="D2495" s="1" t="s">
        <v>6156</v>
      </c>
      <c r="E2495" s="1" t="str">
        <f>"3805"</f>
        <v>3805</v>
      </c>
      <c r="F2495" s="1" t="s">
        <v>384</v>
      </c>
      <c r="G2495" s="1" t="s">
        <v>385</v>
      </c>
      <c r="H2495" s="1" t="s">
        <v>16</v>
      </c>
      <c r="I2495" s="4" t="str">
        <f>"1"</f>
        <v>1</v>
      </c>
      <c r="J2495" s="2" t="str">
        <f>"96000"</f>
        <v>96000</v>
      </c>
      <c r="K2495" s="3">
        <v>46130</v>
      </c>
      <c r="L2495" s="3">
        <v>46135</v>
      </c>
      <c r="M2495" s="1" t="s">
        <v>6155</v>
      </c>
      <c r="N2495" s="1" t="s">
        <v>6154</v>
      </c>
    </row>
    <row r="2496" spans="1:14" s="1" customFormat="1" x14ac:dyDescent="0.35">
      <c r="A2496" s="1" t="s">
        <v>5171</v>
      </c>
      <c r="B2496" s="1" t="s">
        <v>4441</v>
      </c>
      <c r="C2496" s="1" t="s">
        <v>4613</v>
      </c>
      <c r="D2496" s="1" t="s">
        <v>6153</v>
      </c>
      <c r="E2496" s="1" t="str">
        <f>"5855"</f>
        <v>5855</v>
      </c>
      <c r="F2496" s="1" t="str">
        <f>"015777174"</f>
        <v>015777174</v>
      </c>
      <c r="G2496" s="1" t="s">
        <v>1366</v>
      </c>
      <c r="H2496" s="1" t="s">
        <v>16</v>
      </c>
      <c r="I2496" s="4" t="str">
        <f>"3"</f>
        <v>3</v>
      </c>
      <c r="J2496" s="2" t="str">
        <f>"1791"</f>
        <v>1791</v>
      </c>
      <c r="K2496" s="3">
        <v>46132</v>
      </c>
      <c r="L2496" s="3">
        <v>46135</v>
      </c>
      <c r="M2496" s="1" t="s">
        <v>6152</v>
      </c>
      <c r="N2496" s="1" t="s">
        <v>6151</v>
      </c>
    </row>
    <row r="2497" spans="1:14" s="1" customFormat="1" x14ac:dyDescent="0.35">
      <c r="A2497" s="1" t="s">
        <v>5171</v>
      </c>
      <c r="B2497" s="1" t="s">
        <v>4441</v>
      </c>
      <c r="C2497" s="1" t="s">
        <v>4737</v>
      </c>
      <c r="D2497" s="1" t="s">
        <v>6150</v>
      </c>
      <c r="E2497" s="1" t="str">
        <f>"3805"</f>
        <v>3805</v>
      </c>
      <c r="F2497" s="1" t="s">
        <v>384</v>
      </c>
      <c r="G2497" s="1" t="s">
        <v>385</v>
      </c>
      <c r="H2497" s="1" t="s">
        <v>16</v>
      </c>
      <c r="I2497" s="4" t="str">
        <f>"1"</f>
        <v>1</v>
      </c>
      <c r="J2497" s="2" t="str">
        <f>"96000"</f>
        <v>96000</v>
      </c>
      <c r="K2497" s="3">
        <v>46130</v>
      </c>
      <c r="L2497" s="3">
        <v>46135</v>
      </c>
      <c r="M2497" s="1" t="s">
        <v>6149</v>
      </c>
      <c r="N2497" s="1" t="s">
        <v>6148</v>
      </c>
    </row>
    <row r="2498" spans="1:14" s="1" customFormat="1" x14ac:dyDescent="0.35">
      <c r="A2498" s="1" t="s">
        <v>5171</v>
      </c>
      <c r="B2498" s="1" t="s">
        <v>4441</v>
      </c>
      <c r="C2498" s="1" t="s">
        <v>4791</v>
      </c>
      <c r="D2498" s="1" t="s">
        <v>6147</v>
      </c>
      <c r="E2498" s="1" t="str">
        <f>"5180"</f>
        <v>5180</v>
      </c>
      <c r="F2498" s="1" t="str">
        <f>"015595981"</f>
        <v>015595981</v>
      </c>
      <c r="G2498" s="1" t="s">
        <v>1076</v>
      </c>
      <c r="H2498" s="1" t="s">
        <v>215</v>
      </c>
      <c r="I2498" s="4" t="str">
        <f>"1"</f>
        <v>1</v>
      </c>
      <c r="J2498" s="2" t="str">
        <f>"1774"</f>
        <v>1774</v>
      </c>
      <c r="K2498" s="3">
        <v>46133</v>
      </c>
      <c r="L2498" s="3">
        <v>46135</v>
      </c>
      <c r="M2498" s="1" t="s">
        <v>6146</v>
      </c>
      <c r="N2498" s="1" t="s">
        <v>6145</v>
      </c>
    </row>
    <row r="2499" spans="1:14" s="1" customFormat="1" x14ac:dyDescent="0.35">
      <c r="A2499" s="1" t="s">
        <v>5171</v>
      </c>
      <c r="B2499" s="1" t="s">
        <v>4441</v>
      </c>
      <c r="C2499" s="1" t="s">
        <v>4855</v>
      </c>
      <c r="D2499" s="1" t="s">
        <v>6144</v>
      </c>
      <c r="E2499" s="1" t="str">
        <f>"3805"</f>
        <v>3805</v>
      </c>
      <c r="F2499" s="1" t="s">
        <v>384</v>
      </c>
      <c r="G2499" s="1" t="s">
        <v>385</v>
      </c>
      <c r="H2499" s="1" t="s">
        <v>16</v>
      </c>
      <c r="I2499" s="4" t="str">
        <f>"1"</f>
        <v>1</v>
      </c>
      <c r="J2499" s="2" t="str">
        <f>"96000"</f>
        <v>96000</v>
      </c>
      <c r="K2499" s="3">
        <v>46130</v>
      </c>
      <c r="L2499" s="3">
        <v>46135</v>
      </c>
      <c r="M2499" s="1" t="s">
        <v>6143</v>
      </c>
      <c r="N2499" s="1" t="s">
        <v>6142</v>
      </c>
    </row>
    <row r="2500" spans="1:14" s="1" customFormat="1" x14ac:dyDescent="0.35">
      <c r="A2500" s="1" t="s">
        <v>5171</v>
      </c>
      <c r="B2500" s="1" t="s">
        <v>4441</v>
      </c>
      <c r="C2500" s="1" t="s">
        <v>4450</v>
      </c>
      <c r="D2500" s="1" t="s">
        <v>6141</v>
      </c>
      <c r="E2500" s="1" t="str">
        <f>"2530"</f>
        <v>2530</v>
      </c>
      <c r="F2500" s="1" t="str">
        <f>"015004619"</f>
        <v>015004619</v>
      </c>
      <c r="G2500" s="1" t="s">
        <v>1454</v>
      </c>
      <c r="H2500" s="1" t="s">
        <v>1168</v>
      </c>
      <c r="I2500" s="4" t="str">
        <f>"4"</f>
        <v>4</v>
      </c>
      <c r="J2500" s="2" t="str">
        <f>"3629"</f>
        <v>3629</v>
      </c>
      <c r="K2500" s="3">
        <v>46132</v>
      </c>
      <c r="L2500" s="3">
        <v>46136</v>
      </c>
      <c r="M2500" s="1" t="s">
        <v>6140</v>
      </c>
      <c r="N2500" s="1" t="s">
        <v>6139</v>
      </c>
    </row>
    <row r="2501" spans="1:14" s="1" customFormat="1" x14ac:dyDescent="0.35">
      <c r="A2501" s="1" t="s">
        <v>5171</v>
      </c>
      <c r="B2501" s="1" t="s">
        <v>4441</v>
      </c>
      <c r="C2501" s="1" t="s">
        <v>4618</v>
      </c>
      <c r="D2501" s="1" t="s">
        <v>6138</v>
      </c>
      <c r="E2501" s="1" t="str">
        <f>"4910"</f>
        <v>4910</v>
      </c>
      <c r="F2501" s="1" t="s">
        <v>1655</v>
      </c>
      <c r="G2501" s="1" t="s">
        <v>1656</v>
      </c>
      <c r="H2501" s="1" t="s">
        <v>16</v>
      </c>
      <c r="I2501" s="4" t="str">
        <f>"1"</f>
        <v>1</v>
      </c>
      <c r="J2501" s="2">
        <v>4778.6899999999996</v>
      </c>
      <c r="K2501" s="3">
        <v>46132</v>
      </c>
      <c r="L2501" s="3">
        <v>46136</v>
      </c>
      <c r="M2501" s="1" t="s">
        <v>6137</v>
      </c>
      <c r="N2501" s="1" t="s">
        <v>6136</v>
      </c>
    </row>
    <row r="2502" spans="1:14" s="1" customFormat="1" x14ac:dyDescent="0.35">
      <c r="A2502" s="1" t="s">
        <v>5171</v>
      </c>
      <c r="B2502" s="1" t="s">
        <v>4441</v>
      </c>
      <c r="C2502" s="1" t="s">
        <v>4450</v>
      </c>
      <c r="D2502" s="1" t="s">
        <v>6135</v>
      </c>
      <c r="E2502" s="1" t="str">
        <f>"7830"</f>
        <v>7830</v>
      </c>
      <c r="F2502" s="1" t="s">
        <v>14</v>
      </c>
      <c r="G2502" s="1" t="s">
        <v>15</v>
      </c>
      <c r="H2502" s="1" t="s">
        <v>16</v>
      </c>
      <c r="I2502" s="4" t="str">
        <f>"1"</f>
        <v>1</v>
      </c>
      <c r="J2502" s="2">
        <v>17920.97</v>
      </c>
      <c r="K2502" s="3">
        <v>46123</v>
      </c>
      <c r="L2502" s="3">
        <v>46137</v>
      </c>
      <c r="M2502" s="1" t="s">
        <v>6134</v>
      </c>
      <c r="N2502" s="1" t="s">
        <v>6133</v>
      </c>
    </row>
    <row r="2503" spans="1:14" s="1" customFormat="1" x14ac:dyDescent="0.35">
      <c r="A2503" s="1" t="s">
        <v>5171</v>
      </c>
      <c r="B2503" s="1" t="s">
        <v>4441</v>
      </c>
      <c r="C2503" s="1" t="s">
        <v>4551</v>
      </c>
      <c r="D2503" s="1" t="s">
        <v>6132</v>
      </c>
      <c r="E2503" s="1" t="str">
        <f>"7830"</f>
        <v>7830</v>
      </c>
      <c r="F2503" s="1" t="s">
        <v>14</v>
      </c>
      <c r="G2503" s="1" t="s">
        <v>15</v>
      </c>
      <c r="H2503" s="1" t="s">
        <v>16</v>
      </c>
      <c r="I2503" s="4" t="str">
        <f>"1"</f>
        <v>1</v>
      </c>
      <c r="J2503" s="2">
        <v>17920.97</v>
      </c>
      <c r="K2503" s="3">
        <v>46125</v>
      </c>
      <c r="L2503" s="3">
        <v>46137</v>
      </c>
      <c r="M2503" s="1" t="s">
        <v>6131</v>
      </c>
      <c r="N2503" s="1" t="s">
        <v>6130</v>
      </c>
    </row>
    <row r="2504" spans="1:14" s="1" customFormat="1" x14ac:dyDescent="0.35">
      <c r="A2504" s="1" t="s">
        <v>5171</v>
      </c>
      <c r="B2504" s="1" t="s">
        <v>4441</v>
      </c>
      <c r="C2504" s="1" t="s">
        <v>4784</v>
      </c>
      <c r="D2504" s="1" t="s">
        <v>6129</v>
      </c>
      <c r="E2504" s="1" t="str">
        <f>"1940"</f>
        <v>1940</v>
      </c>
      <c r="F2504" s="1" t="s">
        <v>1503</v>
      </c>
      <c r="G2504" s="1" t="s">
        <v>1504</v>
      </c>
      <c r="H2504" s="1" t="s">
        <v>16</v>
      </c>
      <c r="I2504" s="4" t="str">
        <f>"1"</f>
        <v>1</v>
      </c>
      <c r="J2504" s="2" t="str">
        <f>"2500"</f>
        <v>2500</v>
      </c>
      <c r="K2504" s="3">
        <v>46131</v>
      </c>
      <c r="L2504" s="3">
        <v>46137</v>
      </c>
      <c r="M2504" s="1" t="s">
        <v>6128</v>
      </c>
      <c r="N2504" s="1" t="s">
        <v>6127</v>
      </c>
    </row>
    <row r="2505" spans="1:14" s="1" customFormat="1" x14ac:dyDescent="0.35">
      <c r="A2505" s="1" t="s">
        <v>5216</v>
      </c>
      <c r="B2505" s="1" t="s">
        <v>4441</v>
      </c>
      <c r="C2505" s="1" t="s">
        <v>4618</v>
      </c>
      <c r="D2505" s="1" t="s">
        <v>6126</v>
      </c>
      <c r="E2505" s="1" t="str">
        <f>"6720"</f>
        <v>6720</v>
      </c>
      <c r="F2505" s="1" t="s">
        <v>2250</v>
      </c>
      <c r="G2505" s="1" t="s">
        <v>2251</v>
      </c>
      <c r="H2505" s="1" t="s">
        <v>16</v>
      </c>
      <c r="I2505" s="4" t="str">
        <f>"1"</f>
        <v>1</v>
      </c>
      <c r="J2505" s="2" t="str">
        <f>"1365"</f>
        <v>1365</v>
      </c>
      <c r="K2505" s="3">
        <v>46139</v>
      </c>
      <c r="L2505" s="3">
        <v>46139</v>
      </c>
      <c r="N2505" s="1" t="s">
        <v>6116</v>
      </c>
    </row>
    <row r="2506" spans="1:14" s="1" customFormat="1" x14ac:dyDescent="0.35">
      <c r="A2506" s="1" t="s">
        <v>5171</v>
      </c>
      <c r="B2506" s="1" t="s">
        <v>4441</v>
      </c>
      <c r="C2506" s="1" t="s">
        <v>4442</v>
      </c>
      <c r="D2506" s="1" t="s">
        <v>6125</v>
      </c>
      <c r="E2506" s="1" t="str">
        <f>"2320"</f>
        <v>2320</v>
      </c>
      <c r="F2506" s="1" t="s">
        <v>975</v>
      </c>
      <c r="G2506" s="1" t="s">
        <v>976</v>
      </c>
      <c r="H2506" s="1" t="s">
        <v>16</v>
      </c>
      <c r="I2506" s="4" t="str">
        <f>"1"</f>
        <v>1</v>
      </c>
      <c r="J2506" s="2" t="str">
        <f>"121000"</f>
        <v>121000</v>
      </c>
      <c r="K2506" s="3">
        <v>46129</v>
      </c>
      <c r="L2506" s="3">
        <v>46139</v>
      </c>
      <c r="M2506" s="1" t="s">
        <v>6124</v>
      </c>
      <c r="N2506" s="1" t="s">
        <v>6123</v>
      </c>
    </row>
    <row r="2507" spans="1:14" s="1" customFormat="1" x14ac:dyDescent="0.35">
      <c r="A2507" s="1" t="s">
        <v>5171</v>
      </c>
      <c r="B2507" s="1" t="s">
        <v>4441</v>
      </c>
      <c r="C2507" s="1" t="s">
        <v>4551</v>
      </c>
      <c r="D2507" s="1" t="s">
        <v>6122</v>
      </c>
      <c r="E2507" s="1" t="str">
        <f>"6730"</f>
        <v>6730</v>
      </c>
      <c r="F2507" s="1" t="s">
        <v>6121</v>
      </c>
      <c r="G2507" s="1" t="s">
        <v>6120</v>
      </c>
      <c r="H2507" s="1" t="s">
        <v>16</v>
      </c>
      <c r="I2507" s="4" t="str">
        <f>"1"</f>
        <v>1</v>
      </c>
      <c r="J2507" s="2">
        <v>89.95</v>
      </c>
      <c r="K2507" s="3">
        <v>46136</v>
      </c>
      <c r="L2507" s="3">
        <v>46139</v>
      </c>
      <c r="M2507" s="1" t="s">
        <v>6119</v>
      </c>
      <c r="N2507" s="1" t="s">
        <v>6118</v>
      </c>
    </row>
    <row r="2508" spans="1:14" s="1" customFormat="1" x14ac:dyDescent="0.35">
      <c r="A2508" s="1" t="s">
        <v>5171</v>
      </c>
      <c r="B2508" s="1" t="s">
        <v>4441</v>
      </c>
      <c r="C2508" s="1" t="s">
        <v>4618</v>
      </c>
      <c r="D2508" s="1" t="s">
        <v>6117</v>
      </c>
      <c r="E2508" s="1" t="str">
        <f>"6720"</f>
        <v>6720</v>
      </c>
      <c r="F2508" s="1" t="s">
        <v>2250</v>
      </c>
      <c r="G2508" s="1" t="s">
        <v>2251</v>
      </c>
      <c r="H2508" s="1" t="s">
        <v>16</v>
      </c>
      <c r="I2508" s="4" t="str">
        <f>"1"</f>
        <v>1</v>
      </c>
      <c r="J2508" s="2" t="str">
        <f>"1365"</f>
        <v>1365</v>
      </c>
      <c r="K2508" s="3">
        <v>46139</v>
      </c>
      <c r="L2508" s="3">
        <v>46139</v>
      </c>
      <c r="N2508" s="1" t="s">
        <v>6116</v>
      </c>
    </row>
    <row r="2509" spans="1:14" s="1" customFormat="1" x14ac:dyDescent="0.35">
      <c r="A2509" s="1" t="s">
        <v>5171</v>
      </c>
      <c r="B2509" s="1" t="s">
        <v>4441</v>
      </c>
      <c r="C2509" s="1" t="s">
        <v>4737</v>
      </c>
      <c r="D2509" s="1" t="s">
        <v>6115</v>
      </c>
      <c r="E2509" s="1" t="str">
        <f>"2320"</f>
        <v>2320</v>
      </c>
      <c r="F2509" s="1" t="str">
        <f>"015959568"</f>
        <v>015959568</v>
      </c>
      <c r="G2509" s="1" t="s">
        <v>5404</v>
      </c>
      <c r="H2509" s="1" t="s">
        <v>16</v>
      </c>
      <c r="I2509" s="4" t="str">
        <f>"1"</f>
        <v>1</v>
      </c>
      <c r="J2509" s="2" t="str">
        <f>"31613"</f>
        <v>31613</v>
      </c>
      <c r="K2509" s="3">
        <v>46130</v>
      </c>
      <c r="L2509" s="3">
        <v>46140</v>
      </c>
      <c r="M2509" s="1" t="s">
        <v>6114</v>
      </c>
      <c r="N2509" s="1" t="s">
        <v>6113</v>
      </c>
    </row>
    <row r="2510" spans="1:14" s="1" customFormat="1" x14ac:dyDescent="0.35">
      <c r="A2510" s="1" t="s">
        <v>5171</v>
      </c>
      <c r="B2510" s="1" t="s">
        <v>4441</v>
      </c>
      <c r="C2510" s="1" t="s">
        <v>5776</v>
      </c>
      <c r="D2510" s="1" t="s">
        <v>6112</v>
      </c>
      <c r="E2510" s="1" t="str">
        <f>"5855"</f>
        <v>5855</v>
      </c>
      <c r="F2510" s="1" t="str">
        <f>"016910312"</f>
        <v>016910312</v>
      </c>
      <c r="G2510" s="1" t="s">
        <v>1817</v>
      </c>
      <c r="H2510" s="1" t="s">
        <v>16</v>
      </c>
      <c r="I2510" s="4" t="str">
        <f>"1"</f>
        <v>1</v>
      </c>
      <c r="J2510" s="2">
        <v>2665.55</v>
      </c>
      <c r="K2510" s="3">
        <v>46139</v>
      </c>
      <c r="L2510" s="3">
        <v>46140</v>
      </c>
      <c r="M2510" s="1" t="s">
        <v>5167</v>
      </c>
      <c r="N2510" s="1" t="s">
        <v>6111</v>
      </c>
    </row>
    <row r="2511" spans="1:14" s="1" customFormat="1" x14ac:dyDescent="0.35">
      <c r="A2511" s="1" t="s">
        <v>5171</v>
      </c>
      <c r="B2511" s="1" t="s">
        <v>4441</v>
      </c>
      <c r="C2511" s="1" t="s">
        <v>4855</v>
      </c>
      <c r="D2511" s="1" t="s">
        <v>6110</v>
      </c>
      <c r="E2511" s="1" t="str">
        <f>"2320"</f>
        <v>2320</v>
      </c>
      <c r="F2511" s="1" t="str">
        <f>"015959568"</f>
        <v>015959568</v>
      </c>
      <c r="G2511" s="1" t="s">
        <v>5404</v>
      </c>
      <c r="H2511" s="1" t="s">
        <v>16</v>
      </c>
      <c r="I2511" s="4" t="str">
        <f>"1"</f>
        <v>1</v>
      </c>
      <c r="J2511" s="2" t="str">
        <f>"31613"</f>
        <v>31613</v>
      </c>
      <c r="K2511" s="3">
        <v>46130</v>
      </c>
      <c r="L2511" s="3">
        <v>46140</v>
      </c>
      <c r="M2511" s="1" t="s">
        <v>6109</v>
      </c>
      <c r="N2511" s="1" t="s">
        <v>6108</v>
      </c>
    </row>
    <row r="2512" spans="1:14" s="1" customFormat="1" x14ac:dyDescent="0.35">
      <c r="A2512" s="1" t="s">
        <v>5171</v>
      </c>
      <c r="B2512" s="1" t="s">
        <v>4441</v>
      </c>
      <c r="C2512" s="1" t="s">
        <v>4855</v>
      </c>
      <c r="D2512" s="1" t="s">
        <v>6107</v>
      </c>
      <c r="E2512" s="1" t="str">
        <f>"2320"</f>
        <v>2320</v>
      </c>
      <c r="F2512" s="1" t="str">
        <f>"010907892"</f>
        <v>010907892</v>
      </c>
      <c r="G2512" s="1" t="s">
        <v>271</v>
      </c>
      <c r="H2512" s="1" t="s">
        <v>16</v>
      </c>
      <c r="I2512" s="4" t="str">
        <f>"1"</f>
        <v>1</v>
      </c>
      <c r="J2512" s="2" t="str">
        <f>"23000"</f>
        <v>23000</v>
      </c>
      <c r="K2512" s="3">
        <v>46137</v>
      </c>
      <c r="L2512" s="3">
        <v>46140</v>
      </c>
      <c r="M2512" s="1" t="s">
        <v>6106</v>
      </c>
      <c r="N2512" s="1" t="s">
        <v>6105</v>
      </c>
    </row>
    <row r="2513" spans="1:14" s="1" customFormat="1" x14ac:dyDescent="0.35">
      <c r="A2513" s="1" t="s">
        <v>5171</v>
      </c>
      <c r="B2513" s="1" t="s">
        <v>4441</v>
      </c>
      <c r="C2513" s="1" t="s">
        <v>4551</v>
      </c>
      <c r="D2513" s="1" t="s">
        <v>6104</v>
      </c>
      <c r="E2513" s="1" t="str">
        <f>"7830"</f>
        <v>7830</v>
      </c>
      <c r="F2513" s="1" t="str">
        <f>"016751851"</f>
        <v>016751851</v>
      </c>
      <c r="G2513" s="1" t="s">
        <v>2066</v>
      </c>
      <c r="H2513" s="1" t="s">
        <v>16</v>
      </c>
      <c r="I2513" s="4" t="str">
        <f>"1"</f>
        <v>1</v>
      </c>
      <c r="J2513" s="2" t="str">
        <f>"2585"</f>
        <v>2585</v>
      </c>
      <c r="K2513" s="3">
        <v>46138</v>
      </c>
      <c r="L2513" s="3">
        <v>46141</v>
      </c>
      <c r="M2513" s="1" t="s">
        <v>6103</v>
      </c>
      <c r="N2513" s="1" t="s">
        <v>6102</v>
      </c>
    </row>
    <row r="2514" spans="1:14" s="1" customFormat="1" x14ac:dyDescent="0.35">
      <c r="A2514" s="1" t="s">
        <v>5171</v>
      </c>
      <c r="B2514" s="1" t="s">
        <v>4441</v>
      </c>
      <c r="C2514" s="1" t="s">
        <v>4618</v>
      </c>
      <c r="D2514" s="1" t="s">
        <v>6101</v>
      </c>
      <c r="E2514" s="1" t="str">
        <f>"6910"</f>
        <v>6910</v>
      </c>
      <c r="F2514" s="1" t="s">
        <v>1124</v>
      </c>
      <c r="G2514" s="1" t="s">
        <v>1125</v>
      </c>
      <c r="H2514" s="1" t="s">
        <v>16</v>
      </c>
      <c r="I2514" s="4" t="str">
        <f>"2"</f>
        <v>2</v>
      </c>
      <c r="J2514" s="2">
        <v>6665.7</v>
      </c>
      <c r="K2514" s="3">
        <v>46136</v>
      </c>
      <c r="L2514" s="3">
        <v>46141</v>
      </c>
      <c r="M2514" s="1" t="s">
        <v>6100</v>
      </c>
      <c r="N2514" s="1" t="s">
        <v>4667</v>
      </c>
    </row>
    <row r="2515" spans="1:14" s="1" customFormat="1" x14ac:dyDescent="0.35">
      <c r="A2515" s="1" t="s">
        <v>5171</v>
      </c>
      <c r="B2515" s="1" t="s">
        <v>4441</v>
      </c>
      <c r="C2515" s="1" t="s">
        <v>6099</v>
      </c>
      <c r="D2515" s="1" t="s">
        <v>6098</v>
      </c>
      <c r="E2515" s="1" t="str">
        <f>"6115"</f>
        <v>6115</v>
      </c>
      <c r="F2515" s="1" t="str">
        <f>"013172136"</f>
        <v>013172136</v>
      </c>
      <c r="G2515" s="1" t="s">
        <v>224</v>
      </c>
      <c r="H2515" s="1" t="s">
        <v>16</v>
      </c>
      <c r="I2515" s="4" t="str">
        <f>"1"</f>
        <v>1</v>
      </c>
      <c r="J2515" s="2" t="str">
        <f>"28521"</f>
        <v>28521</v>
      </c>
      <c r="K2515" s="3">
        <v>46132</v>
      </c>
      <c r="L2515" s="3">
        <v>46142</v>
      </c>
      <c r="M2515" s="1" t="s">
        <v>6097</v>
      </c>
      <c r="N2515" s="1" t="s">
        <v>6096</v>
      </c>
    </row>
    <row r="2516" spans="1:14" s="1" customFormat="1" x14ac:dyDescent="0.35">
      <c r="A2516" s="1" t="s">
        <v>5216</v>
      </c>
      <c r="B2516" s="1" t="s">
        <v>4441</v>
      </c>
      <c r="C2516" s="1" t="s">
        <v>4784</v>
      </c>
      <c r="D2516" s="1" t="s">
        <v>6095</v>
      </c>
      <c r="E2516" s="1" t="str">
        <f>"1550"</f>
        <v>1550</v>
      </c>
      <c r="F2516" s="1" t="str">
        <f>"016311619"</f>
        <v>016311619</v>
      </c>
      <c r="G2516" s="1" t="s">
        <v>203</v>
      </c>
      <c r="H2516" s="1" t="s">
        <v>16</v>
      </c>
      <c r="I2516" s="4" t="str">
        <f>"2"</f>
        <v>2</v>
      </c>
      <c r="J2516" s="2" t="str">
        <f>"38373"</f>
        <v>38373</v>
      </c>
      <c r="K2516" s="3">
        <v>46137</v>
      </c>
      <c r="L2516" s="3">
        <v>46143</v>
      </c>
      <c r="M2516" s="1" t="s">
        <v>6093</v>
      </c>
      <c r="N2516" s="1" t="s">
        <v>6092</v>
      </c>
    </row>
    <row r="2517" spans="1:14" s="1" customFormat="1" x14ac:dyDescent="0.35">
      <c r="A2517" s="1" t="s">
        <v>5216</v>
      </c>
      <c r="B2517" s="1" t="s">
        <v>4441</v>
      </c>
      <c r="C2517" s="1" t="s">
        <v>4784</v>
      </c>
      <c r="D2517" s="1" t="s">
        <v>6094</v>
      </c>
      <c r="E2517" s="1" t="str">
        <f>"1550"</f>
        <v>1550</v>
      </c>
      <c r="F2517" s="1" t="str">
        <f>"016311619"</f>
        <v>016311619</v>
      </c>
      <c r="G2517" s="1" t="s">
        <v>203</v>
      </c>
      <c r="H2517" s="1" t="s">
        <v>16</v>
      </c>
      <c r="I2517" s="4" t="str">
        <f>"2"</f>
        <v>2</v>
      </c>
      <c r="J2517" s="2" t="str">
        <f>"38373"</f>
        <v>38373</v>
      </c>
      <c r="K2517" s="3">
        <v>46137</v>
      </c>
      <c r="L2517" s="3">
        <v>46143</v>
      </c>
      <c r="M2517" s="1" t="s">
        <v>6093</v>
      </c>
      <c r="N2517" s="1" t="s">
        <v>6092</v>
      </c>
    </row>
    <row r="2518" spans="1:14" s="1" customFormat="1" x14ac:dyDescent="0.35">
      <c r="A2518" s="1" t="s">
        <v>5171</v>
      </c>
      <c r="B2518" s="1" t="s">
        <v>4441</v>
      </c>
      <c r="C2518" s="1" t="s">
        <v>4450</v>
      </c>
      <c r="D2518" s="1" t="s">
        <v>6091</v>
      </c>
      <c r="E2518" s="1" t="str">
        <f>"5805"</f>
        <v>5805</v>
      </c>
      <c r="F2518" s="1" t="s">
        <v>6090</v>
      </c>
      <c r="G2518" s="1" t="s">
        <v>6089</v>
      </c>
      <c r="H2518" s="1" t="s">
        <v>16</v>
      </c>
      <c r="I2518" s="4" t="str">
        <f>"7"</f>
        <v>7</v>
      </c>
      <c r="J2518" s="2">
        <v>601.96</v>
      </c>
      <c r="K2518" s="3">
        <v>46140</v>
      </c>
      <c r="L2518" s="3">
        <v>46143</v>
      </c>
      <c r="M2518" s="1" t="s">
        <v>6088</v>
      </c>
      <c r="N2518" s="1" t="s">
        <v>6087</v>
      </c>
    </row>
    <row r="2519" spans="1:14" s="1" customFormat="1" x14ac:dyDescent="0.35">
      <c r="A2519" s="1" t="s">
        <v>5171</v>
      </c>
      <c r="B2519" s="1" t="s">
        <v>4441</v>
      </c>
      <c r="C2519" s="1" t="s">
        <v>4450</v>
      </c>
      <c r="D2519" s="1" t="s">
        <v>6086</v>
      </c>
      <c r="E2519" s="1" t="str">
        <f>"2320"</f>
        <v>2320</v>
      </c>
      <c r="F2519" s="1" t="str">
        <f>"005802954"</f>
        <v>005802954</v>
      </c>
      <c r="G2519" s="1" t="s">
        <v>271</v>
      </c>
      <c r="H2519" s="1" t="s">
        <v>16</v>
      </c>
      <c r="I2519" s="4" t="str">
        <f>"1"</f>
        <v>1</v>
      </c>
      <c r="J2519" s="2">
        <v>47279.54</v>
      </c>
      <c r="K2519" s="3">
        <v>46130</v>
      </c>
      <c r="L2519" s="3">
        <v>46144</v>
      </c>
      <c r="M2519" s="1" t="s">
        <v>6085</v>
      </c>
      <c r="N2519" s="1" t="s">
        <v>6084</v>
      </c>
    </row>
    <row r="2520" spans="1:14" s="1" customFormat="1" x14ac:dyDescent="0.35">
      <c r="A2520" s="1" t="s">
        <v>5171</v>
      </c>
      <c r="B2520" s="1" t="s">
        <v>4441</v>
      </c>
      <c r="C2520" s="1" t="s">
        <v>4450</v>
      </c>
      <c r="D2520" s="1" t="s">
        <v>6083</v>
      </c>
      <c r="E2520" s="1" t="str">
        <f>"2340"</f>
        <v>2340</v>
      </c>
      <c r="F2520" s="1" t="s">
        <v>535</v>
      </c>
      <c r="G2520" s="1" t="s">
        <v>536</v>
      </c>
      <c r="H2520" s="1" t="s">
        <v>16</v>
      </c>
      <c r="I2520" s="4" t="str">
        <f>"2"</f>
        <v>2</v>
      </c>
      <c r="J2520" s="2" t="str">
        <f>"6000"</f>
        <v>6000</v>
      </c>
      <c r="K2520" s="3">
        <v>46109</v>
      </c>
      <c r="L2520" s="3">
        <v>46146</v>
      </c>
      <c r="M2520" s="1" t="s">
        <v>6082</v>
      </c>
      <c r="N2520" s="1" t="s">
        <v>6081</v>
      </c>
    </row>
    <row r="2521" spans="1:14" s="1" customFormat="1" x14ac:dyDescent="0.35">
      <c r="A2521" s="1" t="s">
        <v>5171</v>
      </c>
      <c r="B2521" s="1" t="s">
        <v>4441</v>
      </c>
      <c r="C2521" s="1" t="s">
        <v>4450</v>
      </c>
      <c r="D2521" s="1" t="s">
        <v>6080</v>
      </c>
      <c r="E2521" s="1" t="str">
        <f>"8430"</f>
        <v>8430</v>
      </c>
      <c r="F2521" s="1" t="str">
        <f>"016758548"</f>
        <v>016758548</v>
      </c>
      <c r="G2521" s="1" t="s">
        <v>898</v>
      </c>
      <c r="H2521" s="1" t="s">
        <v>311</v>
      </c>
      <c r="I2521" s="4" t="str">
        <f>"1"</f>
        <v>1</v>
      </c>
      <c r="J2521" s="2">
        <v>164.15</v>
      </c>
      <c r="K2521" s="3">
        <v>46134</v>
      </c>
      <c r="L2521" s="3">
        <v>46146</v>
      </c>
      <c r="M2521" s="1" t="s">
        <v>6079</v>
      </c>
      <c r="N2521" s="1" t="s">
        <v>6078</v>
      </c>
    </row>
    <row r="2522" spans="1:14" s="1" customFormat="1" x14ac:dyDescent="0.35">
      <c r="A2522" s="1" t="s">
        <v>5171</v>
      </c>
      <c r="B2522" s="1" t="s">
        <v>4441</v>
      </c>
      <c r="C2522" s="1" t="s">
        <v>4450</v>
      </c>
      <c r="D2522" s="1" t="s">
        <v>6077</v>
      </c>
      <c r="E2522" s="1" t="str">
        <f>"8430"</f>
        <v>8430</v>
      </c>
      <c r="F2522" s="1" t="str">
        <f>"016758516"</f>
        <v>016758516</v>
      </c>
      <c r="G2522" s="1" t="s">
        <v>898</v>
      </c>
      <c r="H2522" s="1" t="s">
        <v>311</v>
      </c>
      <c r="I2522" s="4" t="str">
        <f>"1"</f>
        <v>1</v>
      </c>
      <c r="J2522" s="2">
        <v>164.15</v>
      </c>
      <c r="K2522" s="3">
        <v>46134</v>
      </c>
      <c r="L2522" s="3">
        <v>46146</v>
      </c>
      <c r="M2522" s="1" t="s">
        <v>6076</v>
      </c>
      <c r="N2522" s="1" t="s">
        <v>6075</v>
      </c>
    </row>
    <row r="2523" spans="1:14" s="1" customFormat="1" x14ac:dyDescent="0.35">
      <c r="A2523" s="1" t="s">
        <v>5171</v>
      </c>
      <c r="B2523" s="1" t="s">
        <v>4441</v>
      </c>
      <c r="C2523" s="1" t="s">
        <v>4784</v>
      </c>
      <c r="D2523" s="1" t="s">
        <v>6074</v>
      </c>
      <c r="E2523" s="1" t="str">
        <f>"6115"</f>
        <v>6115</v>
      </c>
      <c r="F2523" s="1" t="s">
        <v>1106</v>
      </c>
      <c r="G2523" s="1" t="s">
        <v>1107</v>
      </c>
      <c r="H2523" s="1" t="s">
        <v>16</v>
      </c>
      <c r="I2523" s="4" t="str">
        <f>"1"</f>
        <v>1</v>
      </c>
      <c r="J2523" s="2" t="str">
        <f>"155299"</f>
        <v>155299</v>
      </c>
      <c r="K2523" s="3">
        <v>46143</v>
      </c>
      <c r="L2523" s="3">
        <v>46146</v>
      </c>
      <c r="M2523" s="1" t="s">
        <v>6073</v>
      </c>
      <c r="N2523" s="1" t="s">
        <v>6072</v>
      </c>
    </row>
    <row r="2524" spans="1:14" s="1" customFormat="1" x14ac:dyDescent="0.35">
      <c r="A2524" s="1" t="s">
        <v>5171</v>
      </c>
      <c r="B2524" s="1" t="s">
        <v>4441</v>
      </c>
      <c r="C2524" s="1" t="s">
        <v>4784</v>
      </c>
      <c r="D2524" s="1" t="s">
        <v>6074</v>
      </c>
      <c r="E2524" s="1" t="str">
        <f>"6115"</f>
        <v>6115</v>
      </c>
      <c r="F2524" s="1" t="s">
        <v>1106</v>
      </c>
      <c r="G2524" s="1" t="s">
        <v>1107</v>
      </c>
      <c r="H2524" s="1" t="s">
        <v>16</v>
      </c>
      <c r="I2524" s="4" t="str">
        <f>"1"</f>
        <v>1</v>
      </c>
      <c r="J2524" s="2" t="str">
        <f>"155299"</f>
        <v>155299</v>
      </c>
      <c r="K2524" s="3">
        <v>46143</v>
      </c>
      <c r="L2524" s="3">
        <v>46146</v>
      </c>
      <c r="M2524" s="1" t="s">
        <v>6073</v>
      </c>
      <c r="N2524" s="1" t="s">
        <v>6072</v>
      </c>
    </row>
    <row r="2525" spans="1:14" s="1" customFormat="1" x14ac:dyDescent="0.35">
      <c r="A2525" s="1" t="s">
        <v>5171</v>
      </c>
      <c r="B2525" s="1" t="s">
        <v>4441</v>
      </c>
      <c r="C2525" s="1" t="s">
        <v>4784</v>
      </c>
      <c r="D2525" s="1" t="s">
        <v>6071</v>
      </c>
      <c r="E2525" s="1" t="str">
        <f>"1550"</f>
        <v>1550</v>
      </c>
      <c r="F2525" s="1" t="s">
        <v>199</v>
      </c>
      <c r="G2525" s="1" t="s">
        <v>200</v>
      </c>
      <c r="H2525" s="1" t="s">
        <v>16</v>
      </c>
      <c r="I2525" s="4" t="str">
        <f>"1"</f>
        <v>1</v>
      </c>
      <c r="J2525" s="2">
        <v>13223.93</v>
      </c>
      <c r="K2525" s="3">
        <v>46144</v>
      </c>
      <c r="L2525" s="3">
        <v>46146</v>
      </c>
      <c r="M2525" s="1" t="s">
        <v>5469</v>
      </c>
      <c r="N2525" s="1" t="s">
        <v>6070</v>
      </c>
    </row>
    <row r="2526" spans="1:14" s="1" customFormat="1" x14ac:dyDescent="0.35">
      <c r="A2526" s="1" t="s">
        <v>5171</v>
      </c>
      <c r="B2526" s="1" t="s">
        <v>4441</v>
      </c>
      <c r="C2526" s="1" t="s">
        <v>4784</v>
      </c>
      <c r="D2526" s="1" t="s">
        <v>6069</v>
      </c>
      <c r="E2526" s="1" t="str">
        <f>"1550"</f>
        <v>1550</v>
      </c>
      <c r="F2526" s="1" t="s">
        <v>199</v>
      </c>
      <c r="G2526" s="1" t="s">
        <v>200</v>
      </c>
      <c r="H2526" s="1" t="s">
        <v>16</v>
      </c>
      <c r="I2526" s="4" t="str">
        <f>"2"</f>
        <v>2</v>
      </c>
      <c r="J2526" s="2">
        <v>12602.94</v>
      </c>
      <c r="K2526" s="3">
        <v>46144</v>
      </c>
      <c r="L2526" s="3">
        <v>46146</v>
      </c>
      <c r="M2526" s="1" t="s">
        <v>5469</v>
      </c>
      <c r="N2526" s="1" t="s">
        <v>6068</v>
      </c>
    </row>
    <row r="2527" spans="1:14" s="1" customFormat="1" x14ac:dyDescent="0.35">
      <c r="A2527" s="1" t="s">
        <v>5171</v>
      </c>
      <c r="B2527" s="1" t="s">
        <v>4441</v>
      </c>
      <c r="C2527" s="1" t="s">
        <v>4551</v>
      </c>
      <c r="D2527" s="1" t="s">
        <v>6067</v>
      </c>
      <c r="E2527" s="1" t="str">
        <f>"7830"</f>
        <v>7830</v>
      </c>
      <c r="F2527" s="1" t="s">
        <v>14</v>
      </c>
      <c r="G2527" s="1" t="s">
        <v>15</v>
      </c>
      <c r="H2527" s="1" t="s">
        <v>16</v>
      </c>
      <c r="I2527" s="4" t="str">
        <f>"1"</f>
        <v>1</v>
      </c>
      <c r="J2527" s="2" t="str">
        <f>"210"</f>
        <v>210</v>
      </c>
      <c r="K2527" s="3">
        <v>46142</v>
      </c>
      <c r="L2527" s="3">
        <v>46147</v>
      </c>
      <c r="M2527" s="1" t="s">
        <v>6066</v>
      </c>
      <c r="N2527" s="1" t="s">
        <v>6065</v>
      </c>
    </row>
    <row r="2528" spans="1:14" s="1" customFormat="1" x14ac:dyDescent="0.35">
      <c r="A2528" s="1" t="s">
        <v>5171</v>
      </c>
      <c r="B2528" s="1" t="s">
        <v>4441</v>
      </c>
      <c r="C2528" s="1" t="s">
        <v>4450</v>
      </c>
      <c r="D2528" s="1" t="s">
        <v>6064</v>
      </c>
      <c r="E2528" s="1" t="str">
        <f>"7830"</f>
        <v>7830</v>
      </c>
      <c r="F2528" s="1" t="s">
        <v>1871</v>
      </c>
      <c r="G2528" s="1" t="s">
        <v>1872</v>
      </c>
      <c r="H2528" s="1" t="s">
        <v>16</v>
      </c>
      <c r="I2528" s="4" t="str">
        <f>"1"</f>
        <v>1</v>
      </c>
      <c r="J2528" s="2">
        <v>2253.08</v>
      </c>
      <c r="K2528" s="3">
        <v>46141</v>
      </c>
      <c r="L2528" s="3">
        <v>46148</v>
      </c>
      <c r="M2528" s="1" t="s">
        <v>6063</v>
      </c>
      <c r="N2528" s="1" t="s">
        <v>6062</v>
      </c>
    </row>
    <row r="2529" spans="1:14" s="1" customFormat="1" x14ac:dyDescent="0.35">
      <c r="A2529" s="1" t="s">
        <v>5171</v>
      </c>
      <c r="B2529" s="1" t="s">
        <v>4441</v>
      </c>
      <c r="C2529" s="1" t="s">
        <v>5956</v>
      </c>
      <c r="D2529" s="1" t="s">
        <v>6061</v>
      </c>
      <c r="E2529" s="1" t="str">
        <f>"2340"</f>
        <v>2340</v>
      </c>
      <c r="F2529" s="1" t="s">
        <v>84</v>
      </c>
      <c r="G2529" s="1" t="s">
        <v>85</v>
      </c>
      <c r="H2529" s="1" t="s">
        <v>16</v>
      </c>
      <c r="I2529" s="4" t="str">
        <f>"2"</f>
        <v>2</v>
      </c>
      <c r="J2529" s="2" t="str">
        <f>"6500"</f>
        <v>6500</v>
      </c>
      <c r="K2529" s="3">
        <v>46148</v>
      </c>
      <c r="L2529" s="3">
        <v>46148</v>
      </c>
      <c r="M2529" s="1" t="s">
        <v>5167</v>
      </c>
      <c r="N2529" s="1" t="s">
        <v>6060</v>
      </c>
    </row>
    <row r="2530" spans="1:14" s="1" customFormat="1" x14ac:dyDescent="0.35">
      <c r="A2530" s="1" t="s">
        <v>5171</v>
      </c>
      <c r="B2530" s="1" t="s">
        <v>4441</v>
      </c>
      <c r="C2530" s="1" t="s">
        <v>4551</v>
      </c>
      <c r="D2530" s="1" t="s">
        <v>6059</v>
      </c>
      <c r="E2530" s="1" t="str">
        <f>"6130"</f>
        <v>6130</v>
      </c>
      <c r="F2530" s="1" t="str">
        <f>"014952839"</f>
        <v>014952839</v>
      </c>
      <c r="G2530" s="1" t="s">
        <v>227</v>
      </c>
      <c r="H2530" s="1" t="s">
        <v>16</v>
      </c>
      <c r="I2530" s="4" t="str">
        <f>"1"</f>
        <v>1</v>
      </c>
      <c r="J2530" s="2" t="str">
        <f>"4393"</f>
        <v>4393</v>
      </c>
      <c r="K2530" s="3">
        <v>46146</v>
      </c>
      <c r="L2530" s="3">
        <v>46149</v>
      </c>
      <c r="M2530" s="1" t="s">
        <v>6058</v>
      </c>
      <c r="N2530" s="1" t="s">
        <v>6057</v>
      </c>
    </row>
    <row r="2531" spans="1:14" s="1" customFormat="1" x14ac:dyDescent="0.35">
      <c r="A2531" s="1" t="s">
        <v>5171</v>
      </c>
      <c r="B2531" s="1" t="s">
        <v>4441</v>
      </c>
      <c r="C2531" s="1" t="s">
        <v>4812</v>
      </c>
      <c r="D2531" s="1" t="s">
        <v>6056</v>
      </c>
      <c r="E2531" s="1" t="str">
        <f>"7830"</f>
        <v>7830</v>
      </c>
      <c r="F2531" s="1" t="s">
        <v>14</v>
      </c>
      <c r="G2531" s="1" t="s">
        <v>15</v>
      </c>
      <c r="H2531" s="1" t="s">
        <v>16</v>
      </c>
      <c r="I2531" s="4" t="str">
        <f>"1"</f>
        <v>1</v>
      </c>
      <c r="J2531" s="2" t="str">
        <f>"1112"</f>
        <v>1112</v>
      </c>
      <c r="K2531" s="3">
        <v>46146</v>
      </c>
      <c r="L2531" s="3">
        <v>46149</v>
      </c>
      <c r="M2531" s="1" t="s">
        <v>6055</v>
      </c>
      <c r="N2531" s="1" t="s">
        <v>4852</v>
      </c>
    </row>
    <row r="2532" spans="1:14" s="1" customFormat="1" x14ac:dyDescent="0.35">
      <c r="A2532" s="1" t="s">
        <v>5171</v>
      </c>
      <c r="B2532" s="1" t="s">
        <v>4441</v>
      </c>
      <c r="C2532" s="1" t="s">
        <v>4450</v>
      </c>
      <c r="D2532" s="1" t="s">
        <v>6054</v>
      </c>
      <c r="E2532" s="1" t="str">
        <f>"7830"</f>
        <v>7830</v>
      </c>
      <c r="F2532" s="1" t="s">
        <v>14</v>
      </c>
      <c r="G2532" s="1" t="s">
        <v>15</v>
      </c>
      <c r="H2532" s="1" t="s">
        <v>16</v>
      </c>
      <c r="I2532" s="4" t="str">
        <f>"1"</f>
        <v>1</v>
      </c>
      <c r="J2532" s="2" t="str">
        <f>"400"</f>
        <v>400</v>
      </c>
      <c r="K2532" s="3">
        <v>46148</v>
      </c>
      <c r="L2532" s="3">
        <v>46151</v>
      </c>
      <c r="M2532" s="1" t="s">
        <v>6053</v>
      </c>
      <c r="N2532" s="1" t="s">
        <v>6052</v>
      </c>
    </row>
    <row r="2533" spans="1:14" s="1" customFormat="1" x14ac:dyDescent="0.35">
      <c r="A2533" s="1" t="s">
        <v>5171</v>
      </c>
      <c r="B2533" s="1" t="s">
        <v>4441</v>
      </c>
      <c r="C2533" s="1" t="s">
        <v>4450</v>
      </c>
      <c r="D2533" s="1" t="s">
        <v>6051</v>
      </c>
      <c r="E2533" s="1" t="str">
        <f>"7830"</f>
        <v>7830</v>
      </c>
      <c r="F2533" s="1" t="s">
        <v>14</v>
      </c>
      <c r="G2533" s="1" t="s">
        <v>15</v>
      </c>
      <c r="H2533" s="1" t="s">
        <v>16</v>
      </c>
      <c r="I2533" s="4" t="str">
        <f>"1"</f>
        <v>1</v>
      </c>
      <c r="J2533" s="2">
        <v>338.84</v>
      </c>
      <c r="K2533" s="3">
        <v>46148</v>
      </c>
      <c r="L2533" s="3">
        <v>46151</v>
      </c>
      <c r="M2533" s="1" t="s">
        <v>6050</v>
      </c>
      <c r="N2533" s="1" t="s">
        <v>6049</v>
      </c>
    </row>
    <row r="2534" spans="1:14" s="1" customFormat="1" x14ac:dyDescent="0.35">
      <c r="A2534" s="1" t="s">
        <v>5171</v>
      </c>
      <c r="B2534" s="1" t="s">
        <v>4441</v>
      </c>
      <c r="C2534" s="1" t="s">
        <v>4576</v>
      </c>
      <c r="D2534" s="1" t="s">
        <v>6048</v>
      </c>
      <c r="E2534" s="1" t="str">
        <f>"3750"</f>
        <v>3750</v>
      </c>
      <c r="F2534" s="1" t="s">
        <v>996</v>
      </c>
      <c r="G2534" s="1" t="s">
        <v>997</v>
      </c>
      <c r="H2534" s="1" t="s">
        <v>16</v>
      </c>
      <c r="I2534" s="4" t="str">
        <f>"1"</f>
        <v>1</v>
      </c>
      <c r="J2534" s="2">
        <v>13359.1</v>
      </c>
      <c r="K2534" s="3">
        <v>46140</v>
      </c>
      <c r="L2534" s="3">
        <v>46151</v>
      </c>
      <c r="M2534" s="1" t="s">
        <v>6047</v>
      </c>
      <c r="N2534" s="1" t="s">
        <v>6046</v>
      </c>
    </row>
    <row r="2535" spans="1:14" s="1" customFormat="1" x14ac:dyDescent="0.35">
      <c r="A2535" s="1" t="s">
        <v>5171</v>
      </c>
      <c r="B2535" s="1" t="s">
        <v>4441</v>
      </c>
      <c r="C2535" s="1" t="s">
        <v>4591</v>
      </c>
      <c r="D2535" s="1" t="s">
        <v>6045</v>
      </c>
      <c r="E2535" s="1" t="str">
        <f>"5140"</f>
        <v>5140</v>
      </c>
      <c r="F2535" s="1" t="s">
        <v>761</v>
      </c>
      <c r="G2535" s="1" t="s">
        <v>762</v>
      </c>
      <c r="H2535" s="1" t="s">
        <v>16</v>
      </c>
      <c r="I2535" s="4" t="str">
        <f>"2"</f>
        <v>2</v>
      </c>
      <c r="J2535" s="2" t="str">
        <f>"5500"</f>
        <v>5500</v>
      </c>
      <c r="K2535" s="3">
        <v>46141</v>
      </c>
      <c r="L2535" s="3">
        <v>46151</v>
      </c>
      <c r="M2535" s="1" t="s">
        <v>6044</v>
      </c>
      <c r="N2535" s="1" t="s">
        <v>6041</v>
      </c>
    </row>
    <row r="2536" spans="1:14" s="1" customFormat="1" x14ac:dyDescent="0.35">
      <c r="A2536" s="1" t="s">
        <v>5171</v>
      </c>
      <c r="B2536" s="1" t="s">
        <v>4441</v>
      </c>
      <c r="C2536" s="1" t="s">
        <v>4591</v>
      </c>
      <c r="D2536" s="1" t="s">
        <v>6043</v>
      </c>
      <c r="E2536" s="1" t="str">
        <f>"5140"</f>
        <v>5140</v>
      </c>
      <c r="F2536" s="1" t="s">
        <v>761</v>
      </c>
      <c r="G2536" s="1" t="s">
        <v>762</v>
      </c>
      <c r="H2536" s="1" t="s">
        <v>16</v>
      </c>
      <c r="I2536" s="4" t="str">
        <f>"2"</f>
        <v>2</v>
      </c>
      <c r="J2536" s="2" t="str">
        <f>"4000"</f>
        <v>4000</v>
      </c>
      <c r="K2536" s="3">
        <v>46141</v>
      </c>
      <c r="L2536" s="3">
        <v>46151</v>
      </c>
      <c r="M2536" s="1" t="s">
        <v>6042</v>
      </c>
      <c r="N2536" s="1" t="s">
        <v>6041</v>
      </c>
    </row>
    <row r="2537" spans="1:14" s="1" customFormat="1" x14ac:dyDescent="0.35">
      <c r="A2537" s="1" t="s">
        <v>5171</v>
      </c>
      <c r="B2537" s="1" t="s">
        <v>4441</v>
      </c>
      <c r="C2537" s="1" t="s">
        <v>4618</v>
      </c>
      <c r="D2537" s="1" t="s">
        <v>6040</v>
      </c>
      <c r="E2537" s="1" t="str">
        <f>"5140"</f>
        <v>5140</v>
      </c>
      <c r="F2537" s="1" t="s">
        <v>761</v>
      </c>
      <c r="G2537" s="1" t="s">
        <v>762</v>
      </c>
      <c r="H2537" s="1" t="s">
        <v>16</v>
      </c>
      <c r="I2537" s="4" t="str">
        <f>"1"</f>
        <v>1</v>
      </c>
      <c r="J2537" s="2">
        <v>5258.58</v>
      </c>
      <c r="K2537" s="3">
        <v>46138</v>
      </c>
      <c r="L2537" s="3">
        <v>46151</v>
      </c>
      <c r="M2537" s="1" t="s">
        <v>6039</v>
      </c>
      <c r="N2537" s="1" t="s">
        <v>6038</v>
      </c>
    </row>
    <row r="2538" spans="1:14" s="1" customFormat="1" x14ac:dyDescent="0.35">
      <c r="A2538" s="1" t="s">
        <v>5171</v>
      </c>
      <c r="B2538" s="1" t="s">
        <v>4441</v>
      </c>
      <c r="C2538" s="1" t="s">
        <v>4618</v>
      </c>
      <c r="D2538" s="1" t="s">
        <v>6037</v>
      </c>
      <c r="E2538" s="1" t="str">
        <f>"5140"</f>
        <v>5140</v>
      </c>
      <c r="F2538" s="1" t="s">
        <v>761</v>
      </c>
      <c r="G2538" s="1" t="s">
        <v>762</v>
      </c>
      <c r="H2538" s="1" t="s">
        <v>16</v>
      </c>
      <c r="I2538" s="4" t="str">
        <f>"1"</f>
        <v>1</v>
      </c>
      <c r="J2538" s="2" t="str">
        <f>"5500"</f>
        <v>5500</v>
      </c>
      <c r="K2538" s="3">
        <v>46141</v>
      </c>
      <c r="L2538" s="3">
        <v>46151</v>
      </c>
      <c r="M2538" s="1" t="s">
        <v>6036</v>
      </c>
      <c r="N2538" s="1" t="s">
        <v>6035</v>
      </c>
    </row>
    <row r="2539" spans="1:14" s="1" customFormat="1" x14ac:dyDescent="0.35">
      <c r="A2539" s="1" t="s">
        <v>5230</v>
      </c>
      <c r="B2539" s="1" t="s">
        <v>4441</v>
      </c>
      <c r="C2539" s="1" t="s">
        <v>4737</v>
      </c>
      <c r="D2539" s="1" t="s">
        <v>6034</v>
      </c>
      <c r="E2539" s="1" t="str">
        <f>"2340"</f>
        <v>2340</v>
      </c>
      <c r="F2539" s="1" t="s">
        <v>84</v>
      </c>
      <c r="G2539" s="1" t="s">
        <v>85</v>
      </c>
      <c r="H2539" s="1" t="s">
        <v>16</v>
      </c>
      <c r="I2539" s="4" t="str">
        <f>"1"</f>
        <v>1</v>
      </c>
      <c r="J2539" s="2" t="str">
        <f>"6494"</f>
        <v>6494</v>
      </c>
      <c r="K2539" s="3">
        <v>46152</v>
      </c>
      <c r="L2539" s="3">
        <v>46152</v>
      </c>
      <c r="N2539" s="1" t="s">
        <v>5938</v>
      </c>
    </row>
    <row r="2540" spans="1:14" s="1" customFormat="1" x14ac:dyDescent="0.35">
      <c r="A2540" s="1" t="s">
        <v>5171</v>
      </c>
      <c r="B2540" s="1" t="s">
        <v>4441</v>
      </c>
      <c r="C2540" s="1" t="s">
        <v>4581</v>
      </c>
      <c r="D2540" s="1" t="s">
        <v>6033</v>
      </c>
      <c r="E2540" s="1" t="str">
        <f>"2340"</f>
        <v>2340</v>
      </c>
      <c r="F2540" s="1" t="s">
        <v>535</v>
      </c>
      <c r="G2540" s="1" t="s">
        <v>536</v>
      </c>
      <c r="H2540" s="1" t="s">
        <v>16</v>
      </c>
      <c r="I2540" s="4" t="str">
        <f>"1"</f>
        <v>1</v>
      </c>
      <c r="J2540" s="2" t="str">
        <f>"6000"</f>
        <v>6000</v>
      </c>
      <c r="K2540" s="3">
        <v>46151</v>
      </c>
      <c r="L2540" s="3">
        <v>46152</v>
      </c>
      <c r="M2540" s="1" t="s">
        <v>5167</v>
      </c>
      <c r="N2540" s="1" t="s">
        <v>6032</v>
      </c>
    </row>
    <row r="2541" spans="1:14" s="1" customFormat="1" x14ac:dyDescent="0.35">
      <c r="A2541" s="1" t="s">
        <v>5171</v>
      </c>
      <c r="B2541" s="1" t="s">
        <v>4441</v>
      </c>
      <c r="C2541" s="1" t="s">
        <v>4709</v>
      </c>
      <c r="D2541" s="1" t="s">
        <v>6031</v>
      </c>
      <c r="E2541" s="1" t="str">
        <f>"8465"</f>
        <v>8465</v>
      </c>
      <c r="F2541" s="1" t="str">
        <f>"015472694"</f>
        <v>015472694</v>
      </c>
      <c r="G2541" s="1" t="s">
        <v>644</v>
      </c>
      <c r="H2541" s="1" t="s">
        <v>16</v>
      </c>
      <c r="I2541" s="4" t="str">
        <f>"1"</f>
        <v>1</v>
      </c>
      <c r="J2541" s="2">
        <v>96.33</v>
      </c>
      <c r="K2541" s="3">
        <v>46144</v>
      </c>
      <c r="L2541" s="3">
        <v>46152</v>
      </c>
      <c r="M2541" s="1" t="s">
        <v>6030</v>
      </c>
      <c r="N2541" s="1" t="s">
        <v>4727</v>
      </c>
    </row>
    <row r="2542" spans="1:14" s="1" customFormat="1" x14ac:dyDescent="0.35">
      <c r="A2542" s="1" t="s">
        <v>5171</v>
      </c>
      <c r="B2542" s="1" t="s">
        <v>4441</v>
      </c>
      <c r="C2542" s="1" t="s">
        <v>4709</v>
      </c>
      <c r="D2542" s="1" t="s">
        <v>6029</v>
      </c>
      <c r="E2542" s="1" t="str">
        <f>"8465"</f>
        <v>8465</v>
      </c>
      <c r="F2542" s="1" t="str">
        <f>"013980687"</f>
        <v>013980687</v>
      </c>
      <c r="G2542" s="1" t="s">
        <v>644</v>
      </c>
      <c r="H2542" s="1" t="s">
        <v>16</v>
      </c>
      <c r="I2542" s="4" t="str">
        <f>"60"</f>
        <v>60</v>
      </c>
      <c r="J2542" s="2">
        <v>65.8</v>
      </c>
      <c r="K2542" s="3">
        <v>46144</v>
      </c>
      <c r="L2542" s="3">
        <v>46152</v>
      </c>
      <c r="M2542" s="1" t="s">
        <v>6028</v>
      </c>
      <c r="N2542" s="1" t="s">
        <v>4727</v>
      </c>
    </row>
    <row r="2543" spans="1:14" s="1" customFormat="1" x14ac:dyDescent="0.35">
      <c r="A2543" s="1" t="s">
        <v>5171</v>
      </c>
      <c r="B2543" s="1" t="s">
        <v>4441</v>
      </c>
      <c r="C2543" s="1" t="s">
        <v>4709</v>
      </c>
      <c r="D2543" s="1" t="s">
        <v>6027</v>
      </c>
      <c r="E2543" s="1" t="str">
        <f>"8465"</f>
        <v>8465</v>
      </c>
      <c r="F2543" s="1" t="str">
        <f>"015472694"</f>
        <v>015472694</v>
      </c>
      <c r="G2543" s="1" t="s">
        <v>644</v>
      </c>
      <c r="H2543" s="1" t="s">
        <v>16</v>
      </c>
      <c r="I2543" s="4" t="str">
        <f>"6"</f>
        <v>6</v>
      </c>
      <c r="J2543" s="2">
        <v>96.33</v>
      </c>
      <c r="K2543" s="3">
        <v>46144</v>
      </c>
      <c r="L2543" s="3">
        <v>46152</v>
      </c>
      <c r="M2543" s="1" t="s">
        <v>6026</v>
      </c>
      <c r="N2543" s="1" t="s">
        <v>4727</v>
      </c>
    </row>
    <row r="2544" spans="1:14" s="1" customFormat="1" x14ac:dyDescent="0.35">
      <c r="A2544" s="1" t="s">
        <v>5171</v>
      </c>
      <c r="B2544" s="1" t="s">
        <v>4441</v>
      </c>
      <c r="C2544" s="1" t="s">
        <v>4709</v>
      </c>
      <c r="D2544" s="1" t="s">
        <v>6025</v>
      </c>
      <c r="E2544" s="1" t="str">
        <f>"8465"</f>
        <v>8465</v>
      </c>
      <c r="F2544" s="1" t="str">
        <f>"015472694"</f>
        <v>015472694</v>
      </c>
      <c r="G2544" s="1" t="s">
        <v>644</v>
      </c>
      <c r="H2544" s="1" t="s">
        <v>16</v>
      </c>
      <c r="I2544" s="4" t="str">
        <f>"2"</f>
        <v>2</v>
      </c>
      <c r="J2544" s="2">
        <v>96.33</v>
      </c>
      <c r="K2544" s="3">
        <v>46144</v>
      </c>
      <c r="L2544" s="3">
        <v>46152</v>
      </c>
      <c r="M2544" s="1" t="s">
        <v>6024</v>
      </c>
      <c r="N2544" s="1" t="s">
        <v>4727</v>
      </c>
    </row>
    <row r="2545" spans="1:14" s="1" customFormat="1" x14ac:dyDescent="0.35">
      <c r="A2545" s="1" t="s">
        <v>5171</v>
      </c>
      <c r="B2545" s="1" t="s">
        <v>4441</v>
      </c>
      <c r="C2545" s="1" t="s">
        <v>4709</v>
      </c>
      <c r="D2545" s="1" t="s">
        <v>6023</v>
      </c>
      <c r="E2545" s="1" t="str">
        <f>"8465"</f>
        <v>8465</v>
      </c>
      <c r="F2545" s="1" t="str">
        <f>"013980687"</f>
        <v>013980687</v>
      </c>
      <c r="G2545" s="1" t="s">
        <v>644</v>
      </c>
      <c r="H2545" s="1" t="s">
        <v>16</v>
      </c>
      <c r="I2545" s="4" t="str">
        <f>"60"</f>
        <v>60</v>
      </c>
      <c r="J2545" s="2">
        <v>65.8</v>
      </c>
      <c r="K2545" s="3">
        <v>46144</v>
      </c>
      <c r="L2545" s="3">
        <v>46152</v>
      </c>
      <c r="M2545" s="1" t="s">
        <v>6022</v>
      </c>
      <c r="N2545" s="1" t="s">
        <v>4727</v>
      </c>
    </row>
    <row r="2546" spans="1:14" s="1" customFormat="1" x14ac:dyDescent="0.35">
      <c r="A2546" s="1" t="s">
        <v>5171</v>
      </c>
      <c r="B2546" s="1" t="s">
        <v>4441</v>
      </c>
      <c r="C2546" s="1" t="s">
        <v>4709</v>
      </c>
      <c r="D2546" s="1" t="s">
        <v>6021</v>
      </c>
      <c r="E2546" s="1" t="str">
        <f>"8465"</f>
        <v>8465</v>
      </c>
      <c r="F2546" s="1" t="str">
        <f>"013980687"</f>
        <v>013980687</v>
      </c>
      <c r="G2546" s="1" t="s">
        <v>644</v>
      </c>
      <c r="H2546" s="1" t="s">
        <v>16</v>
      </c>
      <c r="I2546" s="4" t="str">
        <f>"60"</f>
        <v>60</v>
      </c>
      <c r="J2546" s="2">
        <v>65.8</v>
      </c>
      <c r="K2546" s="3">
        <v>46144</v>
      </c>
      <c r="L2546" s="3">
        <v>46152</v>
      </c>
      <c r="M2546" s="1" t="s">
        <v>6020</v>
      </c>
      <c r="N2546" s="1" t="s">
        <v>4727</v>
      </c>
    </row>
    <row r="2547" spans="1:14" s="1" customFormat="1" x14ac:dyDescent="0.35">
      <c r="A2547" s="1" t="s">
        <v>5171</v>
      </c>
      <c r="B2547" s="1" t="s">
        <v>4441</v>
      </c>
      <c r="C2547" s="1" t="s">
        <v>4709</v>
      </c>
      <c r="D2547" s="1" t="s">
        <v>6019</v>
      </c>
      <c r="E2547" s="1" t="str">
        <f>"8465"</f>
        <v>8465</v>
      </c>
      <c r="F2547" s="1" t="str">
        <f>"015472694"</f>
        <v>015472694</v>
      </c>
      <c r="G2547" s="1" t="s">
        <v>644</v>
      </c>
      <c r="H2547" s="1" t="s">
        <v>16</v>
      </c>
      <c r="I2547" s="4" t="str">
        <f>"1"</f>
        <v>1</v>
      </c>
      <c r="J2547" s="2">
        <v>96.33</v>
      </c>
      <c r="K2547" s="3">
        <v>46144</v>
      </c>
      <c r="L2547" s="3">
        <v>46152</v>
      </c>
      <c r="M2547" s="1" t="s">
        <v>6018</v>
      </c>
      <c r="N2547" s="1" t="s">
        <v>4727</v>
      </c>
    </row>
    <row r="2548" spans="1:14" s="1" customFormat="1" x14ac:dyDescent="0.35">
      <c r="A2548" s="1" t="s">
        <v>5171</v>
      </c>
      <c r="B2548" s="1" t="s">
        <v>4441</v>
      </c>
      <c r="C2548" s="1" t="s">
        <v>4709</v>
      </c>
      <c r="D2548" s="1" t="s">
        <v>6017</v>
      </c>
      <c r="E2548" s="1" t="str">
        <f>"8465"</f>
        <v>8465</v>
      </c>
      <c r="F2548" s="1" t="str">
        <f>"013980687"</f>
        <v>013980687</v>
      </c>
      <c r="G2548" s="1" t="s">
        <v>644</v>
      </c>
      <c r="H2548" s="1" t="s">
        <v>16</v>
      </c>
      <c r="I2548" s="4" t="str">
        <f>"60"</f>
        <v>60</v>
      </c>
      <c r="J2548" s="2">
        <v>65.8</v>
      </c>
      <c r="K2548" s="3">
        <v>46144</v>
      </c>
      <c r="L2548" s="3">
        <v>46152</v>
      </c>
      <c r="M2548" s="1" t="s">
        <v>6016</v>
      </c>
      <c r="N2548" s="1" t="s">
        <v>4727</v>
      </c>
    </row>
    <row r="2549" spans="1:14" s="1" customFormat="1" x14ac:dyDescent="0.35">
      <c r="A2549" s="1" t="s">
        <v>5171</v>
      </c>
      <c r="B2549" s="1" t="s">
        <v>4441</v>
      </c>
      <c r="C2549" s="1" t="s">
        <v>4709</v>
      </c>
      <c r="D2549" s="1" t="s">
        <v>6015</v>
      </c>
      <c r="E2549" s="1" t="str">
        <f>"8465"</f>
        <v>8465</v>
      </c>
      <c r="F2549" s="1" t="str">
        <f>"013980687"</f>
        <v>013980687</v>
      </c>
      <c r="G2549" s="1" t="s">
        <v>644</v>
      </c>
      <c r="H2549" s="1" t="s">
        <v>16</v>
      </c>
      <c r="I2549" s="4" t="str">
        <f>"60"</f>
        <v>60</v>
      </c>
      <c r="J2549" s="2">
        <v>65.8</v>
      </c>
      <c r="K2549" s="3">
        <v>46144</v>
      </c>
      <c r="L2549" s="3">
        <v>46152</v>
      </c>
      <c r="M2549" s="1" t="s">
        <v>6014</v>
      </c>
      <c r="N2549" s="1" t="s">
        <v>4727</v>
      </c>
    </row>
    <row r="2550" spans="1:14" s="1" customFormat="1" x14ac:dyDescent="0.35">
      <c r="A2550" s="1" t="s">
        <v>5216</v>
      </c>
      <c r="B2550" s="1" t="s">
        <v>4441</v>
      </c>
      <c r="C2550" s="1" t="s">
        <v>4812</v>
      </c>
      <c r="D2550" s="1" t="s">
        <v>6013</v>
      </c>
      <c r="E2550" s="1" t="str">
        <f>"8340"</f>
        <v>8340</v>
      </c>
      <c r="F2550" s="1" t="str">
        <f>"014991803"</f>
        <v>014991803</v>
      </c>
      <c r="G2550" s="1" t="s">
        <v>6012</v>
      </c>
      <c r="H2550" s="1" t="s">
        <v>16</v>
      </c>
      <c r="I2550" s="4" t="str">
        <f>"1"</f>
        <v>1</v>
      </c>
      <c r="J2550" s="2">
        <v>87582.81</v>
      </c>
      <c r="K2550" s="3">
        <v>46150</v>
      </c>
      <c r="L2550" s="3">
        <v>46153</v>
      </c>
      <c r="M2550" s="1" t="s">
        <v>5224</v>
      </c>
      <c r="N2550" s="1" t="s">
        <v>6011</v>
      </c>
    </row>
    <row r="2551" spans="1:14" s="1" customFormat="1" x14ac:dyDescent="0.35">
      <c r="A2551" s="1" t="s">
        <v>0</v>
      </c>
      <c r="B2551" s="1" t="s">
        <v>4441</v>
      </c>
      <c r="C2551" s="1" t="s">
        <v>4613</v>
      </c>
      <c r="D2551" s="1" t="s">
        <v>6010</v>
      </c>
      <c r="E2551" s="1" t="str">
        <f>"5855"</f>
        <v>5855</v>
      </c>
      <c r="F2551" s="1" t="str">
        <f>"015345931"</f>
        <v>015345931</v>
      </c>
      <c r="G2551" s="1" t="s">
        <v>1379</v>
      </c>
      <c r="H2551" s="1" t="s">
        <v>16</v>
      </c>
      <c r="I2551" s="4" t="str">
        <f>"8"</f>
        <v>8</v>
      </c>
      <c r="J2551" s="2" t="str">
        <f>"970"</f>
        <v>970</v>
      </c>
      <c r="K2551" s="3">
        <v>46153</v>
      </c>
      <c r="L2551" s="3">
        <v>46153</v>
      </c>
      <c r="M2551" s="1" t="s">
        <v>6009</v>
      </c>
      <c r="N2551" s="1" t="s">
        <v>6008</v>
      </c>
    </row>
    <row r="2552" spans="1:14" s="1" customFormat="1" x14ac:dyDescent="0.35">
      <c r="A2552" s="1" t="s">
        <v>5171</v>
      </c>
      <c r="B2552" s="1" t="s">
        <v>4441</v>
      </c>
      <c r="C2552" s="1" t="s">
        <v>4450</v>
      </c>
      <c r="D2552" s="1" t="s">
        <v>6007</v>
      </c>
      <c r="E2552" s="1" t="str">
        <f>"5140"</f>
        <v>5140</v>
      </c>
      <c r="F2552" s="1" t="str">
        <f>"014308945"</f>
        <v>014308945</v>
      </c>
      <c r="G2552" s="1" t="s">
        <v>6006</v>
      </c>
      <c r="H2552" s="1" t="s">
        <v>16</v>
      </c>
      <c r="I2552" s="4" t="str">
        <f>"6"</f>
        <v>6</v>
      </c>
      <c r="J2552" s="2">
        <v>1109.3</v>
      </c>
      <c r="K2552" s="3">
        <v>46148</v>
      </c>
      <c r="L2552" s="3">
        <v>46155</v>
      </c>
      <c r="M2552" s="1" t="s">
        <v>6005</v>
      </c>
      <c r="N2552" s="1" t="s">
        <v>6004</v>
      </c>
    </row>
    <row r="2553" spans="1:14" s="1" customFormat="1" x14ac:dyDescent="0.35">
      <c r="A2553" s="1" t="s">
        <v>5171</v>
      </c>
      <c r="B2553" s="1" t="s">
        <v>4441</v>
      </c>
      <c r="C2553" s="1" t="s">
        <v>4450</v>
      </c>
      <c r="D2553" s="1" t="s">
        <v>6003</v>
      </c>
      <c r="E2553" s="1" t="str">
        <f>"5120"</f>
        <v>5120</v>
      </c>
      <c r="F2553" s="1" t="s">
        <v>576</v>
      </c>
      <c r="G2553" s="1" t="s">
        <v>577</v>
      </c>
      <c r="H2553" s="1" t="s">
        <v>16</v>
      </c>
      <c r="I2553" s="4" t="str">
        <f>"1"</f>
        <v>1</v>
      </c>
      <c r="J2553" s="2" t="str">
        <f>"350"</f>
        <v>350</v>
      </c>
      <c r="K2553" s="3">
        <v>46154</v>
      </c>
      <c r="L2553" s="3">
        <v>46155</v>
      </c>
      <c r="M2553" s="1" t="s">
        <v>6002</v>
      </c>
      <c r="N2553" s="1" t="s">
        <v>6001</v>
      </c>
    </row>
    <row r="2554" spans="1:14" s="1" customFormat="1" x14ac:dyDescent="0.35">
      <c r="A2554" s="1" t="s">
        <v>5171</v>
      </c>
      <c r="B2554" s="1" t="s">
        <v>4441</v>
      </c>
      <c r="C2554" s="1" t="s">
        <v>6000</v>
      </c>
      <c r="D2554" s="1" t="s">
        <v>5999</v>
      </c>
      <c r="E2554" s="1" t="str">
        <f>"2340"</f>
        <v>2340</v>
      </c>
      <c r="F2554" s="1" t="s">
        <v>2548</v>
      </c>
      <c r="G2554" s="1" t="s">
        <v>2549</v>
      </c>
      <c r="H2554" s="1" t="s">
        <v>16</v>
      </c>
      <c r="I2554" s="4" t="str">
        <f>"2"</f>
        <v>2</v>
      </c>
      <c r="J2554" s="2">
        <v>9375.1</v>
      </c>
      <c r="K2554" s="3">
        <v>46104</v>
      </c>
      <c r="L2554" s="3">
        <v>46155</v>
      </c>
      <c r="M2554" s="1" t="s">
        <v>5998</v>
      </c>
      <c r="N2554" s="1" t="s">
        <v>5997</v>
      </c>
    </row>
    <row r="2555" spans="1:14" s="1" customFormat="1" x14ac:dyDescent="0.35">
      <c r="A2555" s="1" t="s">
        <v>5171</v>
      </c>
      <c r="B2555" s="1" t="s">
        <v>4441</v>
      </c>
      <c r="C2555" s="1" t="s">
        <v>4794</v>
      </c>
      <c r="D2555" s="1" t="s">
        <v>5996</v>
      </c>
      <c r="E2555" s="1" t="str">
        <f>"1550"</f>
        <v>1550</v>
      </c>
      <c r="F2555" s="1" t="s">
        <v>199</v>
      </c>
      <c r="G2555" s="1" t="s">
        <v>200</v>
      </c>
      <c r="H2555" s="1" t="s">
        <v>16</v>
      </c>
      <c r="I2555" s="4" t="str">
        <f>"1"</f>
        <v>1</v>
      </c>
      <c r="J2555" s="2">
        <v>12827.65</v>
      </c>
      <c r="K2555" s="3">
        <v>46151</v>
      </c>
      <c r="L2555" s="3">
        <v>46155</v>
      </c>
      <c r="M2555" s="1" t="s">
        <v>5995</v>
      </c>
      <c r="N2555" s="1" t="s">
        <v>5994</v>
      </c>
    </row>
    <row r="2556" spans="1:14" s="1" customFormat="1" x14ac:dyDescent="0.35">
      <c r="A2556" s="1" t="s">
        <v>5171</v>
      </c>
      <c r="B2556" s="1" t="s">
        <v>4441</v>
      </c>
      <c r="C2556" s="1" t="s">
        <v>4709</v>
      </c>
      <c r="D2556" s="1" t="s">
        <v>5993</v>
      </c>
      <c r="E2556" s="1" t="str">
        <f>"4240"</f>
        <v>4240</v>
      </c>
      <c r="F2556" s="1" t="str">
        <f>"015475927"</f>
        <v>015475927</v>
      </c>
      <c r="G2556" s="1" t="s">
        <v>2274</v>
      </c>
      <c r="H2556" s="1" t="s">
        <v>16</v>
      </c>
      <c r="I2556" s="4" t="str">
        <f>"146"</f>
        <v>146</v>
      </c>
      <c r="J2556" s="2">
        <v>114.44</v>
      </c>
      <c r="K2556" s="3">
        <v>46144</v>
      </c>
      <c r="L2556" s="3">
        <v>46157</v>
      </c>
      <c r="M2556" s="1" t="s">
        <v>5992</v>
      </c>
      <c r="N2556" s="1" t="s">
        <v>5991</v>
      </c>
    </row>
    <row r="2557" spans="1:14" s="1" customFormat="1" x14ac:dyDescent="0.35">
      <c r="A2557" s="1" t="s">
        <v>5171</v>
      </c>
      <c r="B2557" s="1" t="s">
        <v>4441</v>
      </c>
      <c r="C2557" s="1" t="s">
        <v>4551</v>
      </c>
      <c r="D2557" s="1" t="s">
        <v>5990</v>
      </c>
      <c r="E2557" s="1" t="str">
        <f>"2330"</f>
        <v>2330</v>
      </c>
      <c r="F2557" s="1" t="s">
        <v>70</v>
      </c>
      <c r="G2557" s="1" t="s">
        <v>71</v>
      </c>
      <c r="H2557" s="1" t="s">
        <v>16</v>
      </c>
      <c r="I2557" s="4" t="str">
        <f>"3"</f>
        <v>3</v>
      </c>
      <c r="J2557" s="2" t="str">
        <f>"9295"</f>
        <v>9295</v>
      </c>
      <c r="K2557" s="3">
        <v>46146</v>
      </c>
      <c r="L2557" s="3">
        <v>46158</v>
      </c>
      <c r="M2557" s="1" t="s">
        <v>5989</v>
      </c>
      <c r="N2557" s="1" t="s">
        <v>5988</v>
      </c>
    </row>
    <row r="2558" spans="1:14" s="1" customFormat="1" x14ac:dyDescent="0.35">
      <c r="A2558" s="1" t="s">
        <v>5171</v>
      </c>
      <c r="B2558" s="1" t="s">
        <v>4441</v>
      </c>
      <c r="C2558" s="1" t="s">
        <v>4855</v>
      </c>
      <c r="D2558" s="1" t="s">
        <v>5987</v>
      </c>
      <c r="E2558" s="1" t="str">
        <f>"2330"</f>
        <v>2330</v>
      </c>
      <c r="F2558" s="1" t="s">
        <v>70</v>
      </c>
      <c r="G2558" s="1" t="s">
        <v>71</v>
      </c>
      <c r="H2558" s="1" t="s">
        <v>16</v>
      </c>
      <c r="I2558" s="4" t="str">
        <f>"3"</f>
        <v>3</v>
      </c>
      <c r="J2558" s="2" t="str">
        <f>"9295"</f>
        <v>9295</v>
      </c>
      <c r="K2558" s="3">
        <v>46144</v>
      </c>
      <c r="L2558" s="3">
        <v>46158</v>
      </c>
      <c r="M2558" s="1" t="s">
        <v>5986</v>
      </c>
      <c r="N2558" s="1" t="s">
        <v>5983</v>
      </c>
    </row>
    <row r="2559" spans="1:14" s="1" customFormat="1" x14ac:dyDescent="0.35">
      <c r="A2559" s="1" t="s">
        <v>5171</v>
      </c>
      <c r="B2559" s="1" t="s">
        <v>4441</v>
      </c>
      <c r="C2559" s="1" t="s">
        <v>4855</v>
      </c>
      <c r="D2559" s="1" t="s">
        <v>5985</v>
      </c>
      <c r="E2559" s="1" t="str">
        <f>"2330"</f>
        <v>2330</v>
      </c>
      <c r="F2559" s="1" t="s">
        <v>70</v>
      </c>
      <c r="G2559" s="1" t="s">
        <v>71</v>
      </c>
      <c r="H2559" s="1" t="s">
        <v>16</v>
      </c>
      <c r="I2559" s="4" t="str">
        <f>"1"</f>
        <v>1</v>
      </c>
      <c r="J2559" s="2" t="str">
        <f>"10000"</f>
        <v>10000</v>
      </c>
      <c r="K2559" s="3">
        <v>46144</v>
      </c>
      <c r="L2559" s="3">
        <v>46158</v>
      </c>
      <c r="M2559" s="1" t="s">
        <v>5984</v>
      </c>
      <c r="N2559" s="1" t="s">
        <v>5983</v>
      </c>
    </row>
    <row r="2560" spans="1:14" s="1" customFormat="1" x14ac:dyDescent="0.35">
      <c r="A2560" s="1" t="s">
        <v>0</v>
      </c>
      <c r="B2560" s="1" t="s">
        <v>4441</v>
      </c>
      <c r="C2560" s="1" t="s">
        <v>4812</v>
      </c>
      <c r="D2560" s="1" t="s">
        <v>5982</v>
      </c>
      <c r="E2560" s="1" t="str">
        <f>"3805"</f>
        <v>3805</v>
      </c>
      <c r="F2560" s="1" t="s">
        <v>384</v>
      </c>
      <c r="G2560" s="1" t="s">
        <v>385</v>
      </c>
      <c r="H2560" s="1" t="s">
        <v>16</v>
      </c>
      <c r="I2560" s="4" t="str">
        <f>"1"</f>
        <v>1</v>
      </c>
      <c r="J2560" s="2">
        <v>259283.8</v>
      </c>
      <c r="K2560" s="3">
        <v>46161</v>
      </c>
      <c r="L2560" s="3">
        <v>46161</v>
      </c>
      <c r="M2560" s="1" t="s">
        <v>5981</v>
      </c>
      <c r="N2560" s="1" t="s">
        <v>5980</v>
      </c>
    </row>
    <row r="2561" spans="1:14" s="1" customFormat="1" x14ac:dyDescent="0.35">
      <c r="A2561" s="1" t="s">
        <v>5171</v>
      </c>
      <c r="B2561" s="1" t="s">
        <v>4441</v>
      </c>
      <c r="C2561" s="1" t="s">
        <v>4450</v>
      </c>
      <c r="D2561" s="1" t="s">
        <v>5979</v>
      </c>
      <c r="E2561" s="1" t="str">
        <f>"4110"</f>
        <v>4110</v>
      </c>
      <c r="F2561" s="1" t="str">
        <f>"015790984"</f>
        <v>015790984</v>
      </c>
      <c r="G2561" s="1" t="s">
        <v>5978</v>
      </c>
      <c r="H2561" s="1" t="s">
        <v>16</v>
      </c>
      <c r="I2561" s="4" t="str">
        <f>"6"</f>
        <v>6</v>
      </c>
      <c r="J2561" s="2">
        <v>395.13</v>
      </c>
      <c r="K2561" s="3">
        <v>46154</v>
      </c>
      <c r="L2561" s="3">
        <v>46161</v>
      </c>
      <c r="M2561" s="1" t="s">
        <v>5977</v>
      </c>
      <c r="N2561" s="1" t="s">
        <v>5976</v>
      </c>
    </row>
    <row r="2562" spans="1:14" s="1" customFormat="1" x14ac:dyDescent="0.35">
      <c r="A2562" s="1" t="s">
        <v>5171</v>
      </c>
      <c r="B2562" s="1" t="s">
        <v>4441</v>
      </c>
      <c r="C2562" s="1" t="s">
        <v>5956</v>
      </c>
      <c r="D2562" s="1" t="s">
        <v>5975</v>
      </c>
      <c r="E2562" s="1" t="str">
        <f>"2340"</f>
        <v>2340</v>
      </c>
      <c r="F2562" s="1" t="s">
        <v>84</v>
      </c>
      <c r="G2562" s="1" t="s">
        <v>85</v>
      </c>
      <c r="H2562" s="1" t="s">
        <v>16</v>
      </c>
      <c r="I2562" s="4" t="str">
        <f>"1"</f>
        <v>1</v>
      </c>
      <c r="J2562" s="2" t="str">
        <f>"6500"</f>
        <v>6500</v>
      </c>
      <c r="K2562" s="3">
        <v>46160</v>
      </c>
      <c r="L2562" s="3">
        <v>46161</v>
      </c>
      <c r="M2562" s="1" t="s">
        <v>5974</v>
      </c>
      <c r="N2562" s="1" t="s">
        <v>5973</v>
      </c>
    </row>
    <row r="2563" spans="1:14" s="1" customFormat="1" x14ac:dyDescent="0.35">
      <c r="A2563" s="1" t="s">
        <v>5171</v>
      </c>
      <c r="B2563" s="1" t="s">
        <v>4441</v>
      </c>
      <c r="C2563" s="1" t="s">
        <v>4709</v>
      </c>
      <c r="D2563" s="1" t="s">
        <v>5972</v>
      </c>
      <c r="E2563" s="1" t="str">
        <f>"8145"</f>
        <v>8145</v>
      </c>
      <c r="F2563" s="1" t="s">
        <v>408</v>
      </c>
      <c r="G2563" s="1" t="s">
        <v>409</v>
      </c>
      <c r="H2563" s="1" t="s">
        <v>16</v>
      </c>
      <c r="I2563" s="4" t="str">
        <f>"1"</f>
        <v>1</v>
      </c>
      <c r="J2563" s="2" t="str">
        <f>"4350"</f>
        <v>4350</v>
      </c>
      <c r="K2563" s="3">
        <v>46160</v>
      </c>
      <c r="L2563" s="3">
        <v>46161</v>
      </c>
      <c r="M2563" s="1" t="s">
        <v>5167</v>
      </c>
      <c r="N2563" s="1" t="s">
        <v>4720</v>
      </c>
    </row>
    <row r="2564" spans="1:14" s="1" customFormat="1" x14ac:dyDescent="0.35">
      <c r="A2564" s="1" t="s">
        <v>5171</v>
      </c>
      <c r="B2564" s="1" t="s">
        <v>4441</v>
      </c>
      <c r="C2564" s="1" t="s">
        <v>4709</v>
      </c>
      <c r="D2564" s="1" t="s">
        <v>5971</v>
      </c>
      <c r="E2564" s="1" t="str">
        <f>"8145"</f>
        <v>8145</v>
      </c>
      <c r="F2564" s="1" t="s">
        <v>408</v>
      </c>
      <c r="G2564" s="1" t="s">
        <v>409</v>
      </c>
      <c r="H2564" s="1" t="s">
        <v>16</v>
      </c>
      <c r="I2564" s="4" t="str">
        <f>"1"</f>
        <v>1</v>
      </c>
      <c r="J2564" s="2" t="str">
        <f>"4350"</f>
        <v>4350</v>
      </c>
      <c r="K2564" s="3">
        <v>46160</v>
      </c>
      <c r="L2564" s="3">
        <v>46161</v>
      </c>
      <c r="M2564" s="1" t="s">
        <v>5167</v>
      </c>
      <c r="N2564" s="1" t="s">
        <v>4720</v>
      </c>
    </row>
    <row r="2565" spans="1:14" s="1" customFormat="1" x14ac:dyDescent="0.35">
      <c r="A2565" s="1" t="s">
        <v>5171</v>
      </c>
      <c r="B2565" s="1" t="s">
        <v>4441</v>
      </c>
      <c r="C2565" s="1" t="s">
        <v>4709</v>
      </c>
      <c r="D2565" s="1" t="s">
        <v>5970</v>
      </c>
      <c r="E2565" s="1" t="str">
        <f>"8145"</f>
        <v>8145</v>
      </c>
      <c r="F2565" s="1" t="s">
        <v>408</v>
      </c>
      <c r="G2565" s="1" t="s">
        <v>409</v>
      </c>
      <c r="H2565" s="1" t="s">
        <v>16</v>
      </c>
      <c r="I2565" s="4" t="str">
        <f>"1"</f>
        <v>1</v>
      </c>
      <c r="J2565" s="2" t="str">
        <f>"4350"</f>
        <v>4350</v>
      </c>
      <c r="K2565" s="3">
        <v>46160</v>
      </c>
      <c r="L2565" s="3">
        <v>46161</v>
      </c>
      <c r="M2565" s="1" t="s">
        <v>5167</v>
      </c>
      <c r="N2565" s="1" t="s">
        <v>4720</v>
      </c>
    </row>
    <row r="2566" spans="1:14" s="1" customFormat="1" x14ac:dyDescent="0.35">
      <c r="A2566" s="1" t="s">
        <v>5171</v>
      </c>
      <c r="B2566" s="1" t="s">
        <v>4441</v>
      </c>
      <c r="C2566" s="1" t="s">
        <v>4855</v>
      </c>
      <c r="D2566" s="1" t="s">
        <v>5969</v>
      </c>
      <c r="E2566" s="1" t="str">
        <f>"6910"</f>
        <v>6910</v>
      </c>
      <c r="F2566" s="1" t="s">
        <v>1124</v>
      </c>
      <c r="G2566" s="1" t="s">
        <v>1125</v>
      </c>
      <c r="H2566" s="1" t="s">
        <v>16</v>
      </c>
      <c r="I2566" s="4" t="str">
        <f>"1"</f>
        <v>1</v>
      </c>
      <c r="J2566" s="2" t="str">
        <f>"3760"</f>
        <v>3760</v>
      </c>
      <c r="K2566" s="3">
        <v>46097</v>
      </c>
      <c r="L2566" s="3">
        <v>46161</v>
      </c>
      <c r="M2566" s="1" t="s">
        <v>5968</v>
      </c>
      <c r="N2566" s="1" t="s">
        <v>5967</v>
      </c>
    </row>
    <row r="2567" spans="1:14" s="1" customFormat="1" x14ac:dyDescent="0.35">
      <c r="A2567" s="1" t="s">
        <v>5171</v>
      </c>
      <c r="B2567" s="1" t="s">
        <v>4441</v>
      </c>
      <c r="C2567" s="1" t="s">
        <v>4450</v>
      </c>
      <c r="D2567" s="1" t="s">
        <v>5966</v>
      </c>
      <c r="E2567" s="1" t="str">
        <f>"2330"</f>
        <v>2330</v>
      </c>
      <c r="F2567" s="1" t="s">
        <v>70</v>
      </c>
      <c r="G2567" s="1" t="s">
        <v>71</v>
      </c>
      <c r="H2567" s="1" t="s">
        <v>16</v>
      </c>
      <c r="I2567" s="4" t="str">
        <f>"1"</f>
        <v>1</v>
      </c>
      <c r="J2567" s="2" t="str">
        <f>"6699"</f>
        <v>6699</v>
      </c>
      <c r="K2567" s="3">
        <v>46158</v>
      </c>
      <c r="L2567" s="3">
        <v>46162</v>
      </c>
      <c r="M2567" s="1" t="s">
        <v>5965</v>
      </c>
      <c r="N2567" s="1" t="s">
        <v>5964</v>
      </c>
    </row>
    <row r="2568" spans="1:14" s="1" customFormat="1" x14ac:dyDescent="0.35">
      <c r="A2568" s="1" t="s">
        <v>5171</v>
      </c>
      <c r="B2568" s="1" t="s">
        <v>4441</v>
      </c>
      <c r="C2568" s="1" t="s">
        <v>4802</v>
      </c>
      <c r="D2568" s="1" t="s">
        <v>5963</v>
      </c>
      <c r="E2568" s="1" t="str">
        <f>"2360"</f>
        <v>2360</v>
      </c>
      <c r="F2568" s="1" t="str">
        <f>"015750646"</f>
        <v>015750646</v>
      </c>
      <c r="G2568" s="1" t="s">
        <v>5962</v>
      </c>
      <c r="H2568" s="1" t="s">
        <v>16</v>
      </c>
      <c r="I2568" s="4" t="str">
        <f>"1"</f>
        <v>1</v>
      </c>
      <c r="J2568" s="2" t="str">
        <f>"187312"</f>
        <v>187312</v>
      </c>
      <c r="K2568" s="3">
        <v>46115</v>
      </c>
      <c r="L2568" s="3">
        <v>46162</v>
      </c>
      <c r="M2568" s="1" t="s">
        <v>5961</v>
      </c>
      <c r="N2568" s="1" t="s">
        <v>5960</v>
      </c>
    </row>
    <row r="2569" spans="1:14" s="1" customFormat="1" x14ac:dyDescent="0.35">
      <c r="A2569" s="1" t="s">
        <v>5171</v>
      </c>
      <c r="B2569" s="1" t="s">
        <v>4441</v>
      </c>
      <c r="C2569" s="1" t="s">
        <v>4855</v>
      </c>
      <c r="D2569" s="1" t="s">
        <v>5959</v>
      </c>
      <c r="E2569" s="1" t="str">
        <f>"6115"</f>
        <v>6115</v>
      </c>
      <c r="F2569" s="1" t="s">
        <v>1106</v>
      </c>
      <c r="G2569" s="1" t="s">
        <v>1107</v>
      </c>
      <c r="H2569" s="1" t="s">
        <v>16</v>
      </c>
      <c r="I2569" s="4" t="str">
        <f>"1"</f>
        <v>1</v>
      </c>
      <c r="J2569" s="2" t="str">
        <f>"22284"</f>
        <v>22284</v>
      </c>
      <c r="K2569" s="3">
        <v>46123</v>
      </c>
      <c r="L2569" s="3">
        <v>46162</v>
      </c>
      <c r="M2569" s="1" t="s">
        <v>5958</v>
      </c>
      <c r="N2569" s="1" t="s">
        <v>5957</v>
      </c>
    </row>
    <row r="2570" spans="1:14" s="1" customFormat="1" x14ac:dyDescent="0.35">
      <c r="A2570" s="1" t="s">
        <v>5171</v>
      </c>
      <c r="B2570" s="1" t="s">
        <v>4441</v>
      </c>
      <c r="C2570" s="1" t="s">
        <v>5956</v>
      </c>
      <c r="D2570" s="1" t="s">
        <v>5955</v>
      </c>
      <c r="E2570" s="1" t="str">
        <f>"2340"</f>
        <v>2340</v>
      </c>
      <c r="F2570" s="1" t="s">
        <v>84</v>
      </c>
      <c r="G2570" s="1" t="s">
        <v>85</v>
      </c>
      <c r="H2570" s="1" t="s">
        <v>16</v>
      </c>
      <c r="I2570" s="4" t="str">
        <f>"1"</f>
        <v>1</v>
      </c>
      <c r="J2570" s="2" t="str">
        <f>"6500"</f>
        <v>6500</v>
      </c>
      <c r="K2570" s="3">
        <v>46162</v>
      </c>
      <c r="L2570" s="3">
        <v>46163</v>
      </c>
      <c r="M2570" s="1" t="s">
        <v>5954</v>
      </c>
      <c r="N2570" s="1" t="s">
        <v>5953</v>
      </c>
    </row>
    <row r="2571" spans="1:14" s="1" customFormat="1" x14ac:dyDescent="0.35">
      <c r="A2571" s="1" t="s">
        <v>5171</v>
      </c>
      <c r="B2571" s="1" t="s">
        <v>4441</v>
      </c>
      <c r="C2571" s="1" t="s">
        <v>4618</v>
      </c>
      <c r="D2571" s="1" t="s">
        <v>5952</v>
      </c>
      <c r="E2571" s="1" t="str">
        <f>"7025"</f>
        <v>7025</v>
      </c>
      <c r="F2571" s="1" t="str">
        <f>"017325569"</f>
        <v>017325569</v>
      </c>
      <c r="G2571" s="1" t="s">
        <v>2959</v>
      </c>
      <c r="H2571" s="1" t="s">
        <v>16</v>
      </c>
      <c r="I2571" s="4" t="str">
        <f>"5"</f>
        <v>5</v>
      </c>
      <c r="J2571" s="2">
        <v>1052.3800000000001</v>
      </c>
      <c r="K2571" s="3">
        <v>46122</v>
      </c>
      <c r="L2571" s="3">
        <v>46163</v>
      </c>
      <c r="M2571" s="1" t="s">
        <v>5951</v>
      </c>
      <c r="N2571" s="1" t="s">
        <v>5950</v>
      </c>
    </row>
    <row r="2572" spans="1:14" s="1" customFormat="1" x14ac:dyDescent="0.35">
      <c r="A2572" s="1" t="s">
        <v>5171</v>
      </c>
      <c r="B2572" s="1" t="s">
        <v>4441</v>
      </c>
      <c r="C2572" s="1" t="s">
        <v>4618</v>
      </c>
      <c r="D2572" s="1" t="s">
        <v>5949</v>
      </c>
      <c r="E2572" s="1" t="str">
        <f>"6910"</f>
        <v>6910</v>
      </c>
      <c r="F2572" s="1" t="s">
        <v>1124</v>
      </c>
      <c r="G2572" s="1" t="s">
        <v>1125</v>
      </c>
      <c r="H2572" s="1" t="s">
        <v>16</v>
      </c>
      <c r="I2572" s="4" t="str">
        <f>"1"</f>
        <v>1</v>
      </c>
      <c r="J2572" s="2">
        <v>6017.53</v>
      </c>
      <c r="K2572" s="3">
        <v>46136</v>
      </c>
      <c r="L2572" s="3">
        <v>46163</v>
      </c>
      <c r="M2572" s="1" t="s">
        <v>5948</v>
      </c>
      <c r="N2572" s="1" t="s">
        <v>4667</v>
      </c>
    </row>
    <row r="2573" spans="1:14" s="1" customFormat="1" x14ac:dyDescent="0.35">
      <c r="A2573" s="1" t="s">
        <v>5171</v>
      </c>
      <c r="B2573" s="1" t="s">
        <v>4441</v>
      </c>
      <c r="C2573" s="1" t="s">
        <v>4709</v>
      </c>
      <c r="D2573" s="1" t="s">
        <v>5947</v>
      </c>
      <c r="E2573" s="1" t="str">
        <f>"8145"</f>
        <v>8145</v>
      </c>
      <c r="F2573" s="1" t="s">
        <v>408</v>
      </c>
      <c r="G2573" s="1" t="s">
        <v>409</v>
      </c>
      <c r="H2573" s="1" t="s">
        <v>16</v>
      </c>
      <c r="I2573" s="4" t="str">
        <f>"1"</f>
        <v>1</v>
      </c>
      <c r="J2573" s="2" t="str">
        <f>"4350"</f>
        <v>4350</v>
      </c>
      <c r="K2573" s="3">
        <v>46160</v>
      </c>
      <c r="L2573" s="3">
        <v>46163</v>
      </c>
      <c r="M2573" s="1" t="s">
        <v>5946</v>
      </c>
      <c r="N2573" s="1" t="s">
        <v>4720</v>
      </c>
    </row>
    <row r="2574" spans="1:14" s="1" customFormat="1" x14ac:dyDescent="0.35">
      <c r="A2574" s="1" t="s">
        <v>5171</v>
      </c>
      <c r="B2574" s="1" t="s">
        <v>4441</v>
      </c>
      <c r="C2574" s="1" t="s">
        <v>4855</v>
      </c>
      <c r="D2574" s="1" t="s">
        <v>5945</v>
      </c>
      <c r="E2574" s="1" t="str">
        <f>"6530"</f>
        <v>6530</v>
      </c>
      <c r="F2574" s="1" t="s">
        <v>3855</v>
      </c>
      <c r="G2574" s="1" t="s">
        <v>3856</v>
      </c>
      <c r="H2574" s="1" t="s">
        <v>16</v>
      </c>
      <c r="I2574" s="4" t="str">
        <f>"2"</f>
        <v>2</v>
      </c>
      <c r="J2574" s="2">
        <v>16104.57</v>
      </c>
      <c r="K2574" s="3">
        <v>46144</v>
      </c>
      <c r="L2574" s="3">
        <v>46163</v>
      </c>
      <c r="M2574" s="1" t="s">
        <v>5944</v>
      </c>
      <c r="N2574" s="1" t="s">
        <v>5943</v>
      </c>
    </row>
    <row r="2575" spans="1:14" s="1" customFormat="1" x14ac:dyDescent="0.35">
      <c r="A2575" s="1" t="s">
        <v>5171</v>
      </c>
      <c r="B2575" s="1" t="s">
        <v>4441</v>
      </c>
      <c r="C2575" s="1" t="s">
        <v>4737</v>
      </c>
      <c r="D2575" s="1" t="s">
        <v>5942</v>
      </c>
      <c r="E2575" s="1" t="str">
        <f>"2340"</f>
        <v>2340</v>
      </c>
      <c r="F2575" s="1" t="s">
        <v>84</v>
      </c>
      <c r="G2575" s="1" t="s">
        <v>85</v>
      </c>
      <c r="H2575" s="1" t="s">
        <v>16</v>
      </c>
      <c r="I2575" s="4" t="str">
        <f>"1"</f>
        <v>1</v>
      </c>
      <c r="J2575" s="2" t="str">
        <f>"6494"</f>
        <v>6494</v>
      </c>
      <c r="K2575" s="3">
        <v>46152</v>
      </c>
      <c r="L2575" s="3">
        <v>46164</v>
      </c>
      <c r="M2575" s="1" t="s">
        <v>5941</v>
      </c>
      <c r="N2575" s="1" t="s">
        <v>5938</v>
      </c>
    </row>
    <row r="2576" spans="1:14" s="1" customFormat="1" x14ac:dyDescent="0.35">
      <c r="A2576" s="1" t="s">
        <v>5171</v>
      </c>
      <c r="B2576" s="1" t="s">
        <v>4441</v>
      </c>
      <c r="C2576" s="1" t="s">
        <v>4737</v>
      </c>
      <c r="D2576" s="1" t="s">
        <v>5940</v>
      </c>
      <c r="E2576" s="1" t="str">
        <f>"2340"</f>
        <v>2340</v>
      </c>
      <c r="F2576" s="1" t="s">
        <v>84</v>
      </c>
      <c r="G2576" s="1" t="s">
        <v>85</v>
      </c>
      <c r="H2576" s="1" t="s">
        <v>16</v>
      </c>
      <c r="I2576" s="4" t="str">
        <f>"1"</f>
        <v>1</v>
      </c>
      <c r="J2576" s="2" t="str">
        <f>"6494"</f>
        <v>6494</v>
      </c>
      <c r="K2576" s="3">
        <v>46152</v>
      </c>
      <c r="L2576" s="3">
        <v>46164</v>
      </c>
      <c r="M2576" s="1" t="s">
        <v>5939</v>
      </c>
      <c r="N2576" s="1" t="s">
        <v>5938</v>
      </c>
    </row>
    <row r="2577" spans="1:14" s="1" customFormat="1" x14ac:dyDescent="0.35">
      <c r="A2577" s="1" t="s">
        <v>5171</v>
      </c>
      <c r="B2577" s="1" t="s">
        <v>4441</v>
      </c>
      <c r="C2577" s="1" t="s">
        <v>4812</v>
      </c>
      <c r="D2577" s="1" t="s">
        <v>5937</v>
      </c>
      <c r="E2577" s="1" t="str">
        <f>"5140"</f>
        <v>5140</v>
      </c>
      <c r="F2577" s="1" t="s">
        <v>761</v>
      </c>
      <c r="G2577" s="1" t="s">
        <v>762</v>
      </c>
      <c r="H2577" s="1" t="s">
        <v>16</v>
      </c>
      <c r="I2577" s="4" t="str">
        <f>"2"</f>
        <v>2</v>
      </c>
      <c r="J2577" s="2">
        <v>2322.98</v>
      </c>
      <c r="K2577" s="3">
        <v>46158</v>
      </c>
      <c r="L2577" s="3">
        <v>46164</v>
      </c>
      <c r="M2577" s="1" t="s">
        <v>5936</v>
      </c>
      <c r="N2577" s="1" t="s">
        <v>5935</v>
      </c>
    </row>
    <row r="2578" spans="1:14" s="1" customFormat="1" x14ac:dyDescent="0.35">
      <c r="A2578" s="1" t="s">
        <v>5171</v>
      </c>
      <c r="B2578" s="1" t="s">
        <v>4441</v>
      </c>
      <c r="C2578" s="1" t="s">
        <v>4737</v>
      </c>
      <c r="D2578" s="1" t="s">
        <v>5934</v>
      </c>
      <c r="E2578" s="1" t="str">
        <f>"8340"</f>
        <v>8340</v>
      </c>
      <c r="F2578" s="1" t="str">
        <f>"015140578"</f>
        <v>015140578</v>
      </c>
      <c r="G2578" s="1" t="s">
        <v>4546</v>
      </c>
      <c r="H2578" s="1" t="s">
        <v>16</v>
      </c>
      <c r="I2578" s="4" t="str">
        <f>"1"</f>
        <v>1</v>
      </c>
      <c r="J2578" s="2">
        <v>170094.07999999999</v>
      </c>
      <c r="K2578" s="3">
        <v>46152</v>
      </c>
      <c r="L2578" s="3">
        <v>46165</v>
      </c>
      <c r="M2578" s="1" t="s">
        <v>5933</v>
      </c>
      <c r="N2578" s="1" t="s">
        <v>4779</v>
      </c>
    </row>
    <row r="2579" spans="1:14" s="1" customFormat="1" x14ac:dyDescent="0.35">
      <c r="A2579" s="1" t="s">
        <v>0</v>
      </c>
      <c r="B2579" s="1" t="s">
        <v>4441</v>
      </c>
      <c r="C2579" s="1" t="s">
        <v>5932</v>
      </c>
      <c r="D2579" s="1" t="s">
        <v>5931</v>
      </c>
      <c r="E2579" s="1" t="str">
        <f>"1385"</f>
        <v>1385</v>
      </c>
      <c r="F2579" s="1" t="str">
        <f>"015936219"</f>
        <v>015936219</v>
      </c>
      <c r="G2579" s="1" t="s">
        <v>1580</v>
      </c>
      <c r="H2579" s="1" t="s">
        <v>16</v>
      </c>
      <c r="I2579" s="4" t="str">
        <f>"1"</f>
        <v>1</v>
      </c>
      <c r="J2579" s="2" t="str">
        <f>"77000"</f>
        <v>77000</v>
      </c>
      <c r="K2579" s="3">
        <v>46168</v>
      </c>
      <c r="L2579" s="3">
        <v>46168</v>
      </c>
      <c r="M2579" s="1" t="s">
        <v>5930</v>
      </c>
      <c r="N2579" s="1" t="s">
        <v>5929</v>
      </c>
    </row>
    <row r="2580" spans="1:14" s="1" customFormat="1" x14ac:dyDescent="0.35">
      <c r="A2580" s="1" t="s">
        <v>0</v>
      </c>
      <c r="B2580" s="1" t="s">
        <v>4441</v>
      </c>
      <c r="C2580" s="1" t="s">
        <v>4802</v>
      </c>
      <c r="D2580" s="1" t="s">
        <v>5928</v>
      </c>
      <c r="E2580" s="1" t="str">
        <f>"8340"</f>
        <v>8340</v>
      </c>
      <c r="F2580" s="1" t="str">
        <f>"015662649"</f>
        <v>015662649</v>
      </c>
      <c r="G2580" s="1" t="s">
        <v>5927</v>
      </c>
      <c r="H2580" s="1" t="s">
        <v>16</v>
      </c>
      <c r="I2580" s="4" t="str">
        <f>"1"</f>
        <v>1</v>
      </c>
      <c r="J2580" s="2">
        <v>129900.19</v>
      </c>
      <c r="K2580" s="3">
        <v>46168</v>
      </c>
      <c r="L2580" s="3">
        <v>46168</v>
      </c>
      <c r="M2580" s="1" t="s">
        <v>5926</v>
      </c>
      <c r="N2580" s="1" t="s">
        <v>5925</v>
      </c>
    </row>
    <row r="2581" spans="1:14" s="1" customFormat="1" x14ac:dyDescent="0.35">
      <c r="A2581" s="1" t="s">
        <v>5171</v>
      </c>
      <c r="B2581" s="1" t="s">
        <v>4441</v>
      </c>
      <c r="C2581" s="1" t="s">
        <v>5918</v>
      </c>
      <c r="D2581" s="1" t="s">
        <v>5924</v>
      </c>
      <c r="E2581" s="1" t="str">
        <f>"1095"</f>
        <v>1095</v>
      </c>
      <c r="F2581" s="1" t="str">
        <f>"011977902"</f>
        <v>011977902</v>
      </c>
      <c r="G2581" s="1" t="s">
        <v>3286</v>
      </c>
      <c r="H2581" s="1" t="s">
        <v>16</v>
      </c>
      <c r="I2581" s="4" t="str">
        <f>"4"</f>
        <v>4</v>
      </c>
      <c r="J2581" s="2">
        <v>1743.75</v>
      </c>
      <c r="K2581" s="3">
        <v>46083</v>
      </c>
      <c r="L2581" s="3">
        <v>46169</v>
      </c>
      <c r="M2581" s="1" t="s">
        <v>5923</v>
      </c>
      <c r="N2581" s="1" t="s">
        <v>5915</v>
      </c>
    </row>
    <row r="2582" spans="1:14" s="1" customFormat="1" x14ac:dyDescent="0.35">
      <c r="A2582" s="1" t="s">
        <v>5171</v>
      </c>
      <c r="B2582" s="1" t="s">
        <v>4441</v>
      </c>
      <c r="C2582" s="1" t="s">
        <v>5918</v>
      </c>
      <c r="D2582" s="1" t="s">
        <v>5922</v>
      </c>
      <c r="E2582" s="1" t="str">
        <f>"1095"</f>
        <v>1095</v>
      </c>
      <c r="F2582" s="1" t="str">
        <f>"012169295"</f>
        <v>012169295</v>
      </c>
      <c r="G2582" s="1" t="s">
        <v>2010</v>
      </c>
      <c r="H2582" s="1" t="s">
        <v>16</v>
      </c>
      <c r="I2582" s="4" t="str">
        <f>"2"</f>
        <v>2</v>
      </c>
      <c r="J2582" s="2">
        <v>537.73</v>
      </c>
      <c r="K2582" s="3">
        <v>46083</v>
      </c>
      <c r="L2582" s="3">
        <v>46169</v>
      </c>
      <c r="M2582" s="1" t="s">
        <v>5921</v>
      </c>
      <c r="N2582" s="1" t="s">
        <v>5915</v>
      </c>
    </row>
    <row r="2583" spans="1:14" s="1" customFormat="1" x14ac:dyDescent="0.35">
      <c r="A2583" s="1" t="s">
        <v>5171</v>
      </c>
      <c r="B2583" s="1" t="s">
        <v>4441</v>
      </c>
      <c r="C2583" s="1" t="s">
        <v>5918</v>
      </c>
      <c r="D2583" s="1" t="s">
        <v>5920</v>
      </c>
      <c r="E2583" s="1" t="str">
        <f>"1095"</f>
        <v>1095</v>
      </c>
      <c r="F2583" s="1" t="str">
        <f>"015717367"</f>
        <v>015717367</v>
      </c>
      <c r="G2583" s="1" t="s">
        <v>2010</v>
      </c>
      <c r="H2583" s="1" t="s">
        <v>16</v>
      </c>
      <c r="I2583" s="4" t="str">
        <f>"1"</f>
        <v>1</v>
      </c>
      <c r="J2583" s="2">
        <v>1240.19</v>
      </c>
      <c r="K2583" s="3">
        <v>46083</v>
      </c>
      <c r="L2583" s="3">
        <v>46169</v>
      </c>
      <c r="M2583" s="1" t="s">
        <v>5919</v>
      </c>
      <c r="N2583" s="1" t="s">
        <v>5915</v>
      </c>
    </row>
    <row r="2584" spans="1:14" s="1" customFormat="1" x14ac:dyDescent="0.35">
      <c r="A2584" s="1" t="s">
        <v>5171</v>
      </c>
      <c r="B2584" s="1" t="s">
        <v>4441</v>
      </c>
      <c r="C2584" s="1" t="s">
        <v>5918</v>
      </c>
      <c r="D2584" s="1" t="s">
        <v>5917</v>
      </c>
      <c r="E2584" s="1" t="str">
        <f>"1095"</f>
        <v>1095</v>
      </c>
      <c r="F2584" s="1" t="str">
        <f>"015652809"</f>
        <v>015652809</v>
      </c>
      <c r="G2584" s="1" t="s">
        <v>3286</v>
      </c>
      <c r="H2584" s="1" t="s">
        <v>16</v>
      </c>
      <c r="I2584" s="4" t="str">
        <f>"1"</f>
        <v>1</v>
      </c>
      <c r="J2584" s="2">
        <v>971.5</v>
      </c>
      <c r="K2584" s="3">
        <v>46083</v>
      </c>
      <c r="L2584" s="3">
        <v>46169</v>
      </c>
      <c r="M2584" s="1" t="s">
        <v>5916</v>
      </c>
      <c r="N2584" s="1" t="s">
        <v>5915</v>
      </c>
    </row>
    <row r="2585" spans="1:14" s="1" customFormat="1" x14ac:dyDescent="0.35">
      <c r="A2585" s="1" t="s">
        <v>5171</v>
      </c>
      <c r="B2585" s="1" t="s">
        <v>4441</v>
      </c>
      <c r="C2585" s="1" t="s">
        <v>4737</v>
      </c>
      <c r="D2585" s="1" t="s">
        <v>5914</v>
      </c>
      <c r="E2585" s="1" t="str">
        <f>"8340"</f>
        <v>8340</v>
      </c>
      <c r="F2585" s="1" t="str">
        <f>"016919539"</f>
        <v>016919539</v>
      </c>
      <c r="G2585" s="1" t="s">
        <v>253</v>
      </c>
      <c r="H2585" s="1" t="s">
        <v>16</v>
      </c>
      <c r="I2585" s="4" t="str">
        <f>"3"</f>
        <v>3</v>
      </c>
      <c r="J2585" s="2">
        <v>21085.08</v>
      </c>
      <c r="K2585" s="3">
        <v>46160</v>
      </c>
      <c r="L2585" s="3">
        <v>46169</v>
      </c>
      <c r="M2585" s="1" t="s">
        <v>5913</v>
      </c>
      <c r="N2585" s="1" t="s">
        <v>5912</v>
      </c>
    </row>
    <row r="2586" spans="1:14" s="1" customFormat="1" x14ac:dyDescent="0.35">
      <c r="A2586" s="1" t="s">
        <v>5171</v>
      </c>
      <c r="B2586" s="1" t="s">
        <v>4441</v>
      </c>
      <c r="C2586" s="1" t="s">
        <v>4548</v>
      </c>
      <c r="D2586" s="1" t="s">
        <v>5911</v>
      </c>
      <c r="E2586" s="1" t="str">
        <f>"2340"</f>
        <v>2340</v>
      </c>
      <c r="F2586" s="1" t="s">
        <v>84</v>
      </c>
      <c r="G2586" s="1" t="s">
        <v>85</v>
      </c>
      <c r="H2586" s="1" t="s">
        <v>16</v>
      </c>
      <c r="I2586" s="4" t="str">
        <f>"1"</f>
        <v>1</v>
      </c>
      <c r="J2586" s="2" t="str">
        <f>"6500"</f>
        <v>6500</v>
      </c>
      <c r="K2586" s="3">
        <v>46169</v>
      </c>
      <c r="L2586" s="3">
        <v>46170</v>
      </c>
      <c r="M2586" s="1" t="s">
        <v>5167</v>
      </c>
      <c r="N2586" s="1" t="s">
        <v>5910</v>
      </c>
    </row>
    <row r="2587" spans="1:14" s="1" customFormat="1" x14ac:dyDescent="0.35">
      <c r="A2587" s="1" t="s">
        <v>5171</v>
      </c>
      <c r="B2587" s="1" t="s">
        <v>4441</v>
      </c>
      <c r="C2587" s="1" t="s">
        <v>4709</v>
      </c>
      <c r="D2587" s="1" t="s">
        <v>5909</v>
      </c>
      <c r="E2587" s="1" t="str">
        <f>"7730"</f>
        <v>7730</v>
      </c>
      <c r="F2587" s="1" t="s">
        <v>5902</v>
      </c>
      <c r="G2587" s="1" t="s">
        <v>5901</v>
      </c>
      <c r="H2587" s="1" t="s">
        <v>16</v>
      </c>
      <c r="I2587" s="4" t="str">
        <f>"1"</f>
        <v>1</v>
      </c>
      <c r="J2587" s="2" t="str">
        <f>"485"</f>
        <v>485</v>
      </c>
      <c r="K2587" s="3">
        <v>46165</v>
      </c>
      <c r="L2587" s="3">
        <v>46171</v>
      </c>
      <c r="M2587" s="1" t="s">
        <v>5908</v>
      </c>
      <c r="N2587" s="1" t="s">
        <v>5907</v>
      </c>
    </row>
    <row r="2588" spans="1:14" s="1" customFormat="1" x14ac:dyDescent="0.35">
      <c r="A2588" s="1" t="s">
        <v>5171</v>
      </c>
      <c r="B2588" s="1" t="s">
        <v>4441</v>
      </c>
      <c r="C2588" s="1" t="s">
        <v>4737</v>
      </c>
      <c r="D2588" s="1" t="s">
        <v>5906</v>
      </c>
      <c r="E2588" s="1" t="str">
        <f>"7021"</f>
        <v>7021</v>
      </c>
      <c r="F2588" s="1" t="str">
        <f>"016835695"</f>
        <v>016835695</v>
      </c>
      <c r="G2588" s="1" t="s">
        <v>4767</v>
      </c>
      <c r="H2588" s="1" t="s">
        <v>16</v>
      </c>
      <c r="I2588" s="4" t="str">
        <f>"1"</f>
        <v>1</v>
      </c>
      <c r="J2588" s="2">
        <v>651.4</v>
      </c>
      <c r="K2588" s="3">
        <v>46167</v>
      </c>
      <c r="L2588" s="3">
        <v>46171</v>
      </c>
      <c r="M2588" s="1" t="s">
        <v>5905</v>
      </c>
      <c r="N2588" s="1" t="s">
        <v>5904</v>
      </c>
    </row>
    <row r="2589" spans="1:14" s="1" customFormat="1" x14ac:dyDescent="0.35">
      <c r="A2589" s="1" t="s">
        <v>5171</v>
      </c>
      <c r="B2589" s="1" t="s">
        <v>4441</v>
      </c>
      <c r="C2589" s="1" t="s">
        <v>4812</v>
      </c>
      <c r="D2589" s="1" t="s">
        <v>5903</v>
      </c>
      <c r="E2589" s="1" t="str">
        <f>"7730"</f>
        <v>7730</v>
      </c>
      <c r="F2589" s="1" t="s">
        <v>5902</v>
      </c>
      <c r="G2589" s="1" t="s">
        <v>5901</v>
      </c>
      <c r="H2589" s="1" t="s">
        <v>16</v>
      </c>
      <c r="I2589" s="4" t="str">
        <f>"1"</f>
        <v>1</v>
      </c>
      <c r="J2589" s="2" t="str">
        <f>"485"</f>
        <v>485</v>
      </c>
      <c r="K2589" s="3">
        <v>46165</v>
      </c>
      <c r="L2589" s="3">
        <v>46171</v>
      </c>
      <c r="M2589" s="1" t="s">
        <v>5900</v>
      </c>
      <c r="N2589" s="1" t="s">
        <v>5899</v>
      </c>
    </row>
    <row r="2590" spans="1:14" s="1" customFormat="1" x14ac:dyDescent="0.35">
      <c r="A2590" s="1" t="s">
        <v>5171</v>
      </c>
      <c r="B2590" s="1" t="s">
        <v>4441</v>
      </c>
      <c r="C2590" s="1" t="s">
        <v>4802</v>
      </c>
      <c r="D2590" s="1" t="s">
        <v>5898</v>
      </c>
      <c r="E2590" s="1" t="str">
        <f>"6115"</f>
        <v>6115</v>
      </c>
      <c r="F2590" s="1" t="str">
        <f>"012747387"</f>
        <v>012747387</v>
      </c>
      <c r="G2590" s="1" t="s">
        <v>1390</v>
      </c>
      <c r="H2590" s="1" t="s">
        <v>16</v>
      </c>
      <c r="I2590" s="4" t="str">
        <f>"1"</f>
        <v>1</v>
      </c>
      <c r="J2590" s="2">
        <v>12797.7</v>
      </c>
      <c r="K2590" s="3">
        <v>46168</v>
      </c>
      <c r="L2590" s="3">
        <v>46172</v>
      </c>
      <c r="M2590" s="1" t="s">
        <v>5897</v>
      </c>
      <c r="N2590" s="1" t="s">
        <v>5896</v>
      </c>
    </row>
    <row r="2591" spans="1:14" s="1" customFormat="1" x14ac:dyDescent="0.35">
      <c r="A2591" s="1" t="s">
        <v>0</v>
      </c>
      <c r="B2591" s="1" t="s">
        <v>4441</v>
      </c>
      <c r="C2591" s="1" t="s">
        <v>4802</v>
      </c>
      <c r="D2591" s="1" t="s">
        <v>5895</v>
      </c>
      <c r="E2591" s="1" t="str">
        <f>"2340"</f>
        <v>2340</v>
      </c>
      <c r="F2591" s="1" t="str">
        <f>"010919004"</f>
        <v>010919004</v>
      </c>
      <c r="G2591" s="1" t="s">
        <v>5894</v>
      </c>
      <c r="H2591" s="1" t="s">
        <v>16</v>
      </c>
      <c r="I2591" s="4" t="str">
        <f>"1"</f>
        <v>1</v>
      </c>
      <c r="J2591" s="2" t="str">
        <f>"2072"</f>
        <v>2072</v>
      </c>
      <c r="K2591" s="3">
        <v>46172</v>
      </c>
      <c r="L2591" s="3">
        <v>46174</v>
      </c>
      <c r="M2591" s="1" t="s">
        <v>5893</v>
      </c>
      <c r="N2591" s="1" t="s">
        <v>5892</v>
      </c>
    </row>
    <row r="2592" spans="1:14" s="1" customFormat="1" x14ac:dyDescent="0.35">
      <c r="A2592" s="1" t="s">
        <v>5171</v>
      </c>
      <c r="B2592" s="1" t="s">
        <v>4441</v>
      </c>
      <c r="C2592" s="1" t="s">
        <v>4450</v>
      </c>
      <c r="D2592" s="1" t="s">
        <v>5891</v>
      </c>
      <c r="E2592" s="1" t="str">
        <f>"2330"</f>
        <v>2330</v>
      </c>
      <c r="F2592" s="1" t="s">
        <v>70</v>
      </c>
      <c r="G2592" s="1" t="s">
        <v>71</v>
      </c>
      <c r="H2592" s="1" t="s">
        <v>16</v>
      </c>
      <c r="I2592" s="4" t="str">
        <f>"1"</f>
        <v>1</v>
      </c>
      <c r="J2592" s="2" t="str">
        <f>"7000"</f>
        <v>7000</v>
      </c>
      <c r="K2592" s="3">
        <v>46172</v>
      </c>
      <c r="L2592" s="3">
        <v>46174</v>
      </c>
      <c r="M2592" s="1" t="s">
        <v>5890</v>
      </c>
      <c r="N2592" s="1" t="s">
        <v>5889</v>
      </c>
    </row>
    <row r="2593" spans="1:14" s="1" customFormat="1" x14ac:dyDescent="0.35">
      <c r="A2593" s="1" t="s">
        <v>5171</v>
      </c>
      <c r="B2593" s="1" t="s">
        <v>4441</v>
      </c>
      <c r="C2593" s="1" t="s">
        <v>4450</v>
      </c>
      <c r="D2593" s="1" t="s">
        <v>5891</v>
      </c>
      <c r="E2593" s="1" t="str">
        <f>"2330"</f>
        <v>2330</v>
      </c>
      <c r="F2593" s="1" t="s">
        <v>70</v>
      </c>
      <c r="G2593" s="1" t="s">
        <v>71</v>
      </c>
      <c r="H2593" s="1" t="s">
        <v>16</v>
      </c>
      <c r="I2593" s="4" t="str">
        <f>"1"</f>
        <v>1</v>
      </c>
      <c r="J2593" s="2" t="str">
        <f>"7000"</f>
        <v>7000</v>
      </c>
      <c r="K2593" s="3">
        <v>46172</v>
      </c>
      <c r="L2593" s="3">
        <v>46174</v>
      </c>
      <c r="M2593" s="1" t="s">
        <v>5890</v>
      </c>
      <c r="N2593" s="1" t="s">
        <v>5889</v>
      </c>
    </row>
    <row r="2594" spans="1:14" s="1" customFormat="1" x14ac:dyDescent="0.35">
      <c r="A2594" s="1" t="s">
        <v>5171</v>
      </c>
      <c r="B2594" s="1" t="s">
        <v>4441</v>
      </c>
      <c r="C2594" s="1" t="s">
        <v>4548</v>
      </c>
      <c r="D2594" s="1" t="s">
        <v>5888</v>
      </c>
      <c r="E2594" s="1" t="str">
        <f>"2330"</f>
        <v>2330</v>
      </c>
      <c r="F2594" s="1" t="s">
        <v>70</v>
      </c>
      <c r="G2594" s="1" t="s">
        <v>71</v>
      </c>
      <c r="H2594" s="1" t="s">
        <v>16</v>
      </c>
      <c r="I2594" s="4" t="str">
        <f>"1"</f>
        <v>1</v>
      </c>
      <c r="J2594" s="2" t="str">
        <f>"7000"</f>
        <v>7000</v>
      </c>
      <c r="K2594" s="3">
        <v>46173</v>
      </c>
      <c r="L2594" s="3">
        <v>46174</v>
      </c>
      <c r="M2594" s="1" t="s">
        <v>5887</v>
      </c>
      <c r="N2594" s="1" t="s">
        <v>5886</v>
      </c>
    </row>
    <row r="2595" spans="1:14" s="1" customFormat="1" x14ac:dyDescent="0.35">
      <c r="A2595" s="1" t="s">
        <v>5171</v>
      </c>
      <c r="B2595" s="1" t="s">
        <v>4441</v>
      </c>
      <c r="C2595" s="1" t="s">
        <v>4548</v>
      </c>
      <c r="D2595" s="1" t="s">
        <v>5888</v>
      </c>
      <c r="E2595" s="1" t="str">
        <f>"2330"</f>
        <v>2330</v>
      </c>
      <c r="F2595" s="1" t="s">
        <v>70</v>
      </c>
      <c r="G2595" s="1" t="s">
        <v>71</v>
      </c>
      <c r="H2595" s="1" t="s">
        <v>16</v>
      </c>
      <c r="I2595" s="4" t="str">
        <f>"1"</f>
        <v>1</v>
      </c>
      <c r="J2595" s="2" t="str">
        <f>"7000"</f>
        <v>7000</v>
      </c>
      <c r="K2595" s="3">
        <v>46173</v>
      </c>
      <c r="L2595" s="3">
        <v>46174</v>
      </c>
      <c r="M2595" s="1" t="s">
        <v>5887</v>
      </c>
      <c r="N2595" s="1" t="s">
        <v>5886</v>
      </c>
    </row>
    <row r="2596" spans="1:14" s="1" customFormat="1" x14ac:dyDescent="0.35">
      <c r="A2596" s="1" t="s">
        <v>5171</v>
      </c>
      <c r="B2596" s="1" t="s">
        <v>4441</v>
      </c>
      <c r="C2596" s="1" t="s">
        <v>4709</v>
      </c>
      <c r="D2596" s="1" t="s">
        <v>5885</v>
      </c>
      <c r="E2596" s="1" t="str">
        <f>"3510"</f>
        <v>3510</v>
      </c>
      <c r="F2596" s="1" t="s">
        <v>3763</v>
      </c>
      <c r="G2596" s="1" t="s">
        <v>3764</v>
      </c>
      <c r="H2596" s="1" t="s">
        <v>16</v>
      </c>
      <c r="I2596" s="4" t="str">
        <f>"5"</f>
        <v>5</v>
      </c>
      <c r="J2596" s="2">
        <v>461.68</v>
      </c>
      <c r="K2596" s="3">
        <v>46144</v>
      </c>
      <c r="L2596" s="3">
        <v>46174</v>
      </c>
      <c r="M2596" s="1" t="s">
        <v>5884</v>
      </c>
      <c r="N2596" s="1" t="s">
        <v>5883</v>
      </c>
    </row>
    <row r="2597" spans="1:14" s="1" customFormat="1" x14ac:dyDescent="0.35">
      <c r="A2597" s="1" t="s">
        <v>5171</v>
      </c>
      <c r="B2597" s="1" t="s">
        <v>4441</v>
      </c>
      <c r="C2597" s="1" t="s">
        <v>4709</v>
      </c>
      <c r="D2597" s="1" t="s">
        <v>5882</v>
      </c>
      <c r="E2597" s="1" t="str">
        <f>"2330"</f>
        <v>2330</v>
      </c>
      <c r="F2597" s="1" t="s">
        <v>70</v>
      </c>
      <c r="G2597" s="1" t="s">
        <v>71</v>
      </c>
      <c r="H2597" s="1" t="s">
        <v>16</v>
      </c>
      <c r="I2597" s="4" t="str">
        <f>"1"</f>
        <v>1</v>
      </c>
      <c r="J2597" s="2" t="str">
        <f>"7000"</f>
        <v>7000</v>
      </c>
      <c r="K2597" s="3">
        <v>46173</v>
      </c>
      <c r="L2597" s="3">
        <v>46174</v>
      </c>
      <c r="M2597" s="1" t="s">
        <v>5881</v>
      </c>
      <c r="N2597" s="1" t="s">
        <v>5880</v>
      </c>
    </row>
    <row r="2598" spans="1:14" s="1" customFormat="1" x14ac:dyDescent="0.35">
      <c r="A2598" s="1" t="s">
        <v>5171</v>
      </c>
      <c r="B2598" s="1" t="s">
        <v>4441</v>
      </c>
      <c r="C2598" s="1" t="s">
        <v>4709</v>
      </c>
      <c r="D2598" s="1" t="s">
        <v>5882</v>
      </c>
      <c r="E2598" s="1" t="str">
        <f>"2330"</f>
        <v>2330</v>
      </c>
      <c r="F2598" s="1" t="s">
        <v>70</v>
      </c>
      <c r="G2598" s="1" t="s">
        <v>71</v>
      </c>
      <c r="H2598" s="1" t="s">
        <v>16</v>
      </c>
      <c r="I2598" s="4" t="str">
        <f>"1"</f>
        <v>1</v>
      </c>
      <c r="J2598" s="2" t="str">
        <f>"7000"</f>
        <v>7000</v>
      </c>
      <c r="K2598" s="3">
        <v>46173</v>
      </c>
      <c r="L2598" s="3">
        <v>46174</v>
      </c>
      <c r="M2598" s="1" t="s">
        <v>5881</v>
      </c>
      <c r="N2598" s="1" t="s">
        <v>5880</v>
      </c>
    </row>
    <row r="2599" spans="1:14" s="1" customFormat="1" x14ac:dyDescent="0.35">
      <c r="A2599" s="1" t="s">
        <v>5171</v>
      </c>
      <c r="B2599" s="1" t="s">
        <v>4441</v>
      </c>
      <c r="C2599" s="1" t="s">
        <v>4737</v>
      </c>
      <c r="D2599" s="1" t="s">
        <v>5879</v>
      </c>
      <c r="E2599" s="1" t="str">
        <f>"2330"</f>
        <v>2330</v>
      </c>
      <c r="F2599" s="1" t="s">
        <v>70</v>
      </c>
      <c r="G2599" s="1" t="s">
        <v>71</v>
      </c>
      <c r="H2599" s="1" t="s">
        <v>16</v>
      </c>
      <c r="I2599" s="4" t="str">
        <f>"1"</f>
        <v>1</v>
      </c>
      <c r="J2599" s="2" t="str">
        <f>"7000"</f>
        <v>7000</v>
      </c>
      <c r="K2599" s="3">
        <v>46173</v>
      </c>
      <c r="L2599" s="3">
        <v>46174</v>
      </c>
      <c r="M2599" s="1" t="s">
        <v>5878</v>
      </c>
      <c r="N2599" s="1" t="s">
        <v>5877</v>
      </c>
    </row>
    <row r="2600" spans="1:14" s="1" customFormat="1" x14ac:dyDescent="0.35">
      <c r="A2600" s="1" t="s">
        <v>5171</v>
      </c>
      <c r="B2600" s="1" t="s">
        <v>4441</v>
      </c>
      <c r="C2600" s="1" t="s">
        <v>4737</v>
      </c>
      <c r="D2600" s="1" t="s">
        <v>5879</v>
      </c>
      <c r="E2600" s="1" t="str">
        <f>"2330"</f>
        <v>2330</v>
      </c>
      <c r="F2600" s="1" t="s">
        <v>70</v>
      </c>
      <c r="G2600" s="1" t="s">
        <v>71</v>
      </c>
      <c r="H2600" s="1" t="s">
        <v>16</v>
      </c>
      <c r="I2600" s="4" t="str">
        <f>"1"</f>
        <v>1</v>
      </c>
      <c r="J2600" s="2" t="str">
        <f>"7000"</f>
        <v>7000</v>
      </c>
      <c r="K2600" s="3">
        <v>46173</v>
      </c>
      <c r="L2600" s="3">
        <v>46174</v>
      </c>
      <c r="M2600" s="1" t="s">
        <v>5878</v>
      </c>
      <c r="N2600" s="1" t="s">
        <v>5877</v>
      </c>
    </row>
    <row r="2601" spans="1:14" s="1" customFormat="1" x14ac:dyDescent="0.35">
      <c r="A2601" s="1" t="s">
        <v>5171</v>
      </c>
      <c r="B2601" s="1" t="s">
        <v>4441</v>
      </c>
      <c r="C2601" s="1" t="s">
        <v>4812</v>
      </c>
      <c r="D2601" s="1" t="s">
        <v>5876</v>
      </c>
      <c r="E2601" s="1" t="str">
        <f>"2330"</f>
        <v>2330</v>
      </c>
      <c r="F2601" s="1" t="s">
        <v>70</v>
      </c>
      <c r="G2601" s="1" t="s">
        <v>71</v>
      </c>
      <c r="H2601" s="1" t="s">
        <v>16</v>
      </c>
      <c r="I2601" s="4" t="str">
        <f>"1"</f>
        <v>1</v>
      </c>
      <c r="J2601" s="2" t="str">
        <f>"7000"</f>
        <v>7000</v>
      </c>
      <c r="K2601" s="3">
        <v>46173</v>
      </c>
      <c r="L2601" s="3">
        <v>46174</v>
      </c>
      <c r="M2601" s="1" t="s">
        <v>5875</v>
      </c>
      <c r="N2601" s="1" t="s">
        <v>5874</v>
      </c>
    </row>
    <row r="2602" spans="1:14" s="1" customFormat="1" x14ac:dyDescent="0.35">
      <c r="A2602" s="1" t="s">
        <v>5171</v>
      </c>
      <c r="B2602" s="1" t="s">
        <v>4441</v>
      </c>
      <c r="C2602" s="1" t="s">
        <v>4812</v>
      </c>
      <c r="D2602" s="1" t="s">
        <v>5876</v>
      </c>
      <c r="E2602" s="1" t="str">
        <f>"2330"</f>
        <v>2330</v>
      </c>
      <c r="F2602" s="1" t="s">
        <v>70</v>
      </c>
      <c r="G2602" s="1" t="s">
        <v>71</v>
      </c>
      <c r="H2602" s="1" t="s">
        <v>16</v>
      </c>
      <c r="I2602" s="4" t="str">
        <f>"1"</f>
        <v>1</v>
      </c>
      <c r="J2602" s="2" t="str">
        <f>"7000"</f>
        <v>7000</v>
      </c>
      <c r="K2602" s="3">
        <v>46173</v>
      </c>
      <c r="L2602" s="3">
        <v>46174</v>
      </c>
      <c r="M2602" s="1" t="s">
        <v>5875</v>
      </c>
      <c r="N2602" s="1" t="s">
        <v>5874</v>
      </c>
    </row>
    <row r="2603" spans="1:14" s="1" customFormat="1" x14ac:dyDescent="0.35">
      <c r="A2603" s="1" t="s">
        <v>0</v>
      </c>
      <c r="B2603" s="1" t="s">
        <v>4441</v>
      </c>
      <c r="C2603" s="1" t="s">
        <v>5853</v>
      </c>
      <c r="D2603" s="1" t="s">
        <v>5873</v>
      </c>
      <c r="E2603" s="1" t="str">
        <f>"2320"</f>
        <v>2320</v>
      </c>
      <c r="F2603" s="1" t="str">
        <f>"015402017"</f>
        <v>015402017</v>
      </c>
      <c r="G2603" s="1" t="s">
        <v>414</v>
      </c>
      <c r="H2603" s="1" t="s">
        <v>16</v>
      </c>
      <c r="I2603" s="4" t="str">
        <f>"1"</f>
        <v>1</v>
      </c>
      <c r="J2603" s="2" t="str">
        <f>"204469"</f>
        <v>204469</v>
      </c>
      <c r="K2603" s="3">
        <v>46175</v>
      </c>
      <c r="L2603" s="3">
        <v>46175</v>
      </c>
      <c r="M2603" s="1" t="s">
        <v>5870</v>
      </c>
      <c r="N2603" s="1" t="s">
        <v>5872</v>
      </c>
    </row>
    <row r="2604" spans="1:14" s="1" customFormat="1" x14ac:dyDescent="0.35">
      <c r="A2604" s="1" t="s">
        <v>0</v>
      </c>
      <c r="B2604" s="1" t="s">
        <v>4441</v>
      </c>
      <c r="C2604" s="1" t="s">
        <v>5853</v>
      </c>
      <c r="D2604" s="1" t="s">
        <v>5871</v>
      </c>
      <c r="E2604" s="1" t="str">
        <f>"2320"</f>
        <v>2320</v>
      </c>
      <c r="F2604" s="1" t="str">
        <f>"015402017"</f>
        <v>015402017</v>
      </c>
      <c r="G2604" s="1" t="s">
        <v>414</v>
      </c>
      <c r="H2604" s="1" t="s">
        <v>16</v>
      </c>
      <c r="I2604" s="4" t="str">
        <f>"1"</f>
        <v>1</v>
      </c>
      <c r="J2604" s="2" t="str">
        <f>"204469"</f>
        <v>204469</v>
      </c>
      <c r="K2604" s="3">
        <v>46175</v>
      </c>
      <c r="L2604" s="3">
        <v>46175</v>
      </c>
      <c r="M2604" s="1" t="s">
        <v>5870</v>
      </c>
      <c r="N2604" s="1" t="s">
        <v>5869</v>
      </c>
    </row>
    <row r="2605" spans="1:14" s="1" customFormat="1" x14ac:dyDescent="0.35">
      <c r="A2605" s="1" t="s">
        <v>5171</v>
      </c>
      <c r="B2605" s="1" t="s">
        <v>4441</v>
      </c>
      <c r="C2605" s="1" t="s">
        <v>4450</v>
      </c>
      <c r="D2605" s="1" t="s">
        <v>5868</v>
      </c>
      <c r="E2605" s="1" t="str">
        <f>"2340"</f>
        <v>2340</v>
      </c>
      <c r="F2605" s="1" t="s">
        <v>84</v>
      </c>
      <c r="G2605" s="1" t="s">
        <v>85</v>
      </c>
      <c r="H2605" s="1" t="s">
        <v>16</v>
      </c>
      <c r="I2605" s="4" t="str">
        <f>"1"</f>
        <v>1</v>
      </c>
      <c r="J2605" s="2">
        <v>37739.58</v>
      </c>
      <c r="K2605" s="3">
        <v>46172</v>
      </c>
      <c r="L2605" s="3">
        <v>46175</v>
      </c>
      <c r="M2605" s="1" t="s">
        <v>5867</v>
      </c>
      <c r="N2605" s="1" t="s">
        <v>5866</v>
      </c>
    </row>
    <row r="2606" spans="1:14" s="1" customFormat="1" x14ac:dyDescent="0.35">
      <c r="A2606" s="1" t="s">
        <v>5171</v>
      </c>
      <c r="B2606" s="1" t="s">
        <v>4441</v>
      </c>
      <c r="C2606" s="1" t="s">
        <v>4548</v>
      </c>
      <c r="D2606" s="1" t="s">
        <v>5865</v>
      </c>
      <c r="E2606" s="1" t="str">
        <f>"2340"</f>
        <v>2340</v>
      </c>
      <c r="F2606" s="1" t="s">
        <v>84</v>
      </c>
      <c r="G2606" s="1" t="s">
        <v>85</v>
      </c>
      <c r="H2606" s="1" t="s">
        <v>16</v>
      </c>
      <c r="I2606" s="4" t="str">
        <f>"1"</f>
        <v>1</v>
      </c>
      <c r="J2606" s="2">
        <v>37739.58</v>
      </c>
      <c r="K2606" s="3">
        <v>46173</v>
      </c>
      <c r="L2606" s="3">
        <v>46175</v>
      </c>
      <c r="M2606" s="1" t="s">
        <v>5864</v>
      </c>
      <c r="N2606" s="1" t="s">
        <v>5863</v>
      </c>
    </row>
    <row r="2607" spans="1:14" s="1" customFormat="1" x14ac:dyDescent="0.35">
      <c r="A2607" s="1" t="s">
        <v>5171</v>
      </c>
      <c r="B2607" s="1" t="s">
        <v>4441</v>
      </c>
      <c r="C2607" s="1" t="s">
        <v>5693</v>
      </c>
      <c r="D2607" s="1" t="s">
        <v>5862</v>
      </c>
      <c r="E2607" s="1" t="str">
        <f>"2340"</f>
        <v>2340</v>
      </c>
      <c r="F2607" s="1" t="s">
        <v>84</v>
      </c>
      <c r="G2607" s="1" t="s">
        <v>85</v>
      </c>
      <c r="H2607" s="1" t="s">
        <v>16</v>
      </c>
      <c r="I2607" s="4" t="str">
        <f>"1"</f>
        <v>1</v>
      </c>
      <c r="J2607" s="2">
        <v>37739.58</v>
      </c>
      <c r="K2607" s="3">
        <v>46172</v>
      </c>
      <c r="L2607" s="3">
        <v>46175</v>
      </c>
      <c r="M2607" s="1" t="s">
        <v>5861</v>
      </c>
      <c r="N2607" s="1" t="s">
        <v>5860</v>
      </c>
    </row>
    <row r="2608" spans="1:14" s="1" customFormat="1" x14ac:dyDescent="0.35">
      <c r="A2608" s="1" t="s">
        <v>5171</v>
      </c>
      <c r="B2608" s="1" t="s">
        <v>4441</v>
      </c>
      <c r="C2608" s="1" t="s">
        <v>4709</v>
      </c>
      <c r="D2608" s="1" t="s">
        <v>5859</v>
      </c>
      <c r="E2608" s="1" t="str">
        <f>"2340"</f>
        <v>2340</v>
      </c>
      <c r="F2608" s="1" t="s">
        <v>84</v>
      </c>
      <c r="G2608" s="1" t="s">
        <v>85</v>
      </c>
      <c r="H2608" s="1" t="s">
        <v>16</v>
      </c>
      <c r="I2608" s="4" t="str">
        <f>"1"</f>
        <v>1</v>
      </c>
      <c r="J2608" s="2">
        <v>37739.58</v>
      </c>
      <c r="K2608" s="3">
        <v>46173</v>
      </c>
      <c r="L2608" s="3">
        <v>46175</v>
      </c>
      <c r="M2608" s="1" t="s">
        <v>5858</v>
      </c>
      <c r="N2608" s="1" t="s">
        <v>5857</v>
      </c>
    </row>
    <row r="2609" spans="1:14" s="1" customFormat="1" x14ac:dyDescent="0.35">
      <c r="A2609" s="1" t="s">
        <v>5171</v>
      </c>
      <c r="B2609" s="1" t="s">
        <v>4441</v>
      </c>
      <c r="C2609" s="1" t="s">
        <v>4737</v>
      </c>
      <c r="D2609" s="1" t="s">
        <v>5856</v>
      </c>
      <c r="E2609" s="1" t="str">
        <f>"7025"</f>
        <v>7025</v>
      </c>
      <c r="F2609" s="1" t="s">
        <v>4770</v>
      </c>
      <c r="G2609" s="1" t="s">
        <v>4771</v>
      </c>
      <c r="H2609" s="1" t="s">
        <v>16</v>
      </c>
      <c r="I2609" s="4" t="str">
        <f>"6"</f>
        <v>6</v>
      </c>
      <c r="J2609" s="2">
        <v>217.49</v>
      </c>
      <c r="K2609" s="3">
        <v>46173</v>
      </c>
      <c r="L2609" s="3">
        <v>46175</v>
      </c>
      <c r="M2609" s="1" t="s">
        <v>5855</v>
      </c>
      <c r="N2609" s="1" t="s">
        <v>5854</v>
      </c>
    </row>
    <row r="2610" spans="1:14" s="1" customFormat="1" x14ac:dyDescent="0.35">
      <c r="A2610" s="1" t="s">
        <v>5171</v>
      </c>
      <c r="B2610" s="1" t="s">
        <v>4441</v>
      </c>
      <c r="C2610" s="1" t="s">
        <v>5853</v>
      </c>
      <c r="D2610" s="1" t="s">
        <v>5852</v>
      </c>
      <c r="E2610" s="1" t="str">
        <f>"2340"</f>
        <v>2340</v>
      </c>
      <c r="F2610" s="1" t="s">
        <v>84</v>
      </c>
      <c r="G2610" s="1" t="s">
        <v>85</v>
      </c>
      <c r="H2610" s="1" t="s">
        <v>16</v>
      </c>
      <c r="I2610" s="4" t="str">
        <f>"1"</f>
        <v>1</v>
      </c>
      <c r="J2610" s="2">
        <v>37739.58</v>
      </c>
      <c r="K2610" s="3">
        <v>46174</v>
      </c>
      <c r="L2610" s="3">
        <v>46175</v>
      </c>
      <c r="M2610" s="1" t="s">
        <v>5167</v>
      </c>
      <c r="N2610" s="1" t="s">
        <v>5851</v>
      </c>
    </row>
    <row r="2611" spans="1:14" s="1" customFormat="1" x14ac:dyDescent="0.35">
      <c r="A2611" s="1" t="s">
        <v>5171</v>
      </c>
      <c r="B2611" s="1" t="s">
        <v>4441</v>
      </c>
      <c r="C2611" s="1" t="s">
        <v>4791</v>
      </c>
      <c r="D2611" s="1" t="s">
        <v>5850</v>
      </c>
      <c r="E2611" s="1" t="str">
        <f>"2340"</f>
        <v>2340</v>
      </c>
      <c r="F2611" s="1" t="s">
        <v>84</v>
      </c>
      <c r="G2611" s="1" t="s">
        <v>85</v>
      </c>
      <c r="H2611" s="1" t="s">
        <v>16</v>
      </c>
      <c r="I2611" s="4" t="str">
        <f>"1"</f>
        <v>1</v>
      </c>
      <c r="J2611" s="2">
        <v>37739.58</v>
      </c>
      <c r="K2611" s="3">
        <v>46174</v>
      </c>
      <c r="L2611" s="3">
        <v>46175</v>
      </c>
      <c r="M2611" s="1" t="s">
        <v>5167</v>
      </c>
      <c r="N2611" s="1" t="s">
        <v>5849</v>
      </c>
    </row>
    <row r="2612" spans="1:14" s="1" customFormat="1" x14ac:dyDescent="0.35">
      <c r="A2612" s="1" t="s">
        <v>5171</v>
      </c>
      <c r="B2612" s="1" t="s">
        <v>4441</v>
      </c>
      <c r="C2612" s="1" t="s">
        <v>5848</v>
      </c>
      <c r="D2612" s="1" t="s">
        <v>5847</v>
      </c>
      <c r="E2612" s="1" t="str">
        <f>"2340"</f>
        <v>2340</v>
      </c>
      <c r="F2612" s="1" t="s">
        <v>84</v>
      </c>
      <c r="G2612" s="1" t="s">
        <v>85</v>
      </c>
      <c r="H2612" s="1" t="s">
        <v>16</v>
      </c>
      <c r="I2612" s="4" t="str">
        <f>"1"</f>
        <v>1</v>
      </c>
      <c r="J2612" s="2">
        <v>37739.58</v>
      </c>
      <c r="K2612" s="3">
        <v>46174</v>
      </c>
      <c r="L2612" s="3">
        <v>46175</v>
      </c>
      <c r="M2612" s="1" t="s">
        <v>5846</v>
      </c>
      <c r="N2612" s="1" t="s">
        <v>5845</v>
      </c>
    </row>
    <row r="2613" spans="1:14" s="1" customFormat="1" x14ac:dyDescent="0.35">
      <c r="A2613" s="1" t="s">
        <v>5171</v>
      </c>
      <c r="B2613" s="1" t="s">
        <v>4441</v>
      </c>
      <c r="C2613" s="1" t="s">
        <v>4802</v>
      </c>
      <c r="D2613" s="1" t="s">
        <v>5844</v>
      </c>
      <c r="E2613" s="1" t="str">
        <f>"2340"</f>
        <v>2340</v>
      </c>
      <c r="F2613" s="1" t="s">
        <v>84</v>
      </c>
      <c r="G2613" s="1" t="s">
        <v>85</v>
      </c>
      <c r="H2613" s="1" t="s">
        <v>16</v>
      </c>
      <c r="I2613" s="4" t="str">
        <f>"1"</f>
        <v>1</v>
      </c>
      <c r="J2613" s="2">
        <v>37739.58</v>
      </c>
      <c r="K2613" s="3">
        <v>46172</v>
      </c>
      <c r="L2613" s="3">
        <v>46175</v>
      </c>
      <c r="M2613" s="1" t="s">
        <v>5843</v>
      </c>
      <c r="N2613" s="1" t="s">
        <v>5842</v>
      </c>
    </row>
    <row r="2614" spans="1:14" s="1" customFormat="1" x14ac:dyDescent="0.35">
      <c r="A2614" s="1" t="s">
        <v>5171</v>
      </c>
      <c r="B2614" s="1" t="s">
        <v>4441</v>
      </c>
      <c r="C2614" s="1" t="s">
        <v>4812</v>
      </c>
      <c r="D2614" s="1" t="s">
        <v>5841</v>
      </c>
      <c r="E2614" s="1" t="str">
        <f>"2340"</f>
        <v>2340</v>
      </c>
      <c r="F2614" s="1" t="s">
        <v>84</v>
      </c>
      <c r="G2614" s="1" t="s">
        <v>85</v>
      </c>
      <c r="H2614" s="1" t="s">
        <v>16</v>
      </c>
      <c r="I2614" s="4" t="str">
        <f>"1"</f>
        <v>1</v>
      </c>
      <c r="J2614" s="2">
        <v>37739.58</v>
      </c>
      <c r="K2614" s="3">
        <v>46173</v>
      </c>
      <c r="L2614" s="3">
        <v>46175</v>
      </c>
      <c r="M2614" s="1" t="s">
        <v>5840</v>
      </c>
      <c r="N2614" s="1" t="s">
        <v>5839</v>
      </c>
    </row>
    <row r="2615" spans="1:14" s="1" customFormat="1" x14ac:dyDescent="0.35">
      <c r="A2615" s="1" t="s">
        <v>5171</v>
      </c>
      <c r="B2615" s="1" t="s">
        <v>4441</v>
      </c>
      <c r="C2615" s="1" t="s">
        <v>4737</v>
      </c>
      <c r="D2615" s="1" t="s">
        <v>5838</v>
      </c>
      <c r="E2615" s="1" t="str">
        <f>"2330"</f>
        <v>2330</v>
      </c>
      <c r="F2615" s="1" t="str">
        <f>"013875443"</f>
        <v>013875443</v>
      </c>
      <c r="G2615" s="1" t="s">
        <v>979</v>
      </c>
      <c r="H2615" s="1" t="s">
        <v>16</v>
      </c>
      <c r="I2615" s="4" t="str">
        <f>"1"</f>
        <v>1</v>
      </c>
      <c r="J2615" s="2" t="str">
        <f>"9535"</f>
        <v>9535</v>
      </c>
      <c r="K2615" s="3">
        <v>46167</v>
      </c>
      <c r="L2615" s="3">
        <v>46176</v>
      </c>
      <c r="M2615" s="1" t="s">
        <v>5837</v>
      </c>
      <c r="N2615" s="1" t="s">
        <v>5836</v>
      </c>
    </row>
    <row r="2616" spans="1:14" s="1" customFormat="1" x14ac:dyDescent="0.35">
      <c r="A2616" s="1" t="s">
        <v>5171</v>
      </c>
      <c r="B2616" s="1" t="s">
        <v>4441</v>
      </c>
      <c r="C2616" s="1" t="s">
        <v>4802</v>
      </c>
      <c r="D2616" s="1" t="s">
        <v>5835</v>
      </c>
      <c r="E2616" s="1" t="str">
        <f>"2310"</f>
        <v>2310</v>
      </c>
      <c r="F2616" s="1" t="str">
        <f>"010907739"</f>
        <v>010907739</v>
      </c>
      <c r="G2616" s="1" t="s">
        <v>1489</v>
      </c>
      <c r="H2616" s="1" t="s">
        <v>16</v>
      </c>
      <c r="I2616" s="4" t="str">
        <f>"1"</f>
        <v>1</v>
      </c>
      <c r="J2616" s="2" t="str">
        <f>"9176"</f>
        <v>9176</v>
      </c>
      <c r="K2616" s="3">
        <v>46168</v>
      </c>
      <c r="L2616" s="3">
        <v>46176</v>
      </c>
      <c r="M2616" s="1" t="s">
        <v>5834</v>
      </c>
      <c r="N2616" s="1" t="s">
        <v>5833</v>
      </c>
    </row>
    <row r="2617" spans="1:14" s="1" customFormat="1" x14ac:dyDescent="0.35">
      <c r="A2617" s="1" t="s">
        <v>5171</v>
      </c>
      <c r="B2617" s="1" t="s">
        <v>4441</v>
      </c>
      <c r="C2617" s="1" t="s">
        <v>4450</v>
      </c>
      <c r="D2617" s="1" t="s">
        <v>5832</v>
      </c>
      <c r="E2617" s="1" t="str">
        <f>"5110"</f>
        <v>5110</v>
      </c>
      <c r="F2617" s="1" t="s">
        <v>5831</v>
      </c>
      <c r="G2617" s="1" t="s">
        <v>5830</v>
      </c>
      <c r="H2617" s="1" t="s">
        <v>16</v>
      </c>
      <c r="I2617" s="4" t="str">
        <f>"4"</f>
        <v>4</v>
      </c>
      <c r="J2617" s="2" t="str">
        <f>"275"</f>
        <v>275</v>
      </c>
      <c r="K2617" s="3">
        <v>46141</v>
      </c>
      <c r="L2617" s="3">
        <v>46178</v>
      </c>
      <c r="M2617" s="1" t="s">
        <v>5829</v>
      </c>
      <c r="N2617" s="1" t="s">
        <v>5828</v>
      </c>
    </row>
    <row r="2618" spans="1:14" s="1" customFormat="1" x14ac:dyDescent="0.35">
      <c r="A2618" s="1" t="s">
        <v>5171</v>
      </c>
      <c r="B2618" s="1" t="s">
        <v>4441</v>
      </c>
      <c r="C2618" s="1" t="s">
        <v>4450</v>
      </c>
      <c r="D2618" s="1" t="s">
        <v>5827</v>
      </c>
      <c r="E2618" s="1" t="str">
        <f>"2320"</f>
        <v>2320</v>
      </c>
      <c r="F2618" s="1" t="str">
        <f>"005802954"</f>
        <v>005802954</v>
      </c>
      <c r="G2618" s="1" t="s">
        <v>271</v>
      </c>
      <c r="H2618" s="1" t="s">
        <v>16</v>
      </c>
      <c r="I2618" s="4" t="str">
        <f>"1"</f>
        <v>1</v>
      </c>
      <c r="J2618" s="2">
        <v>47279.54</v>
      </c>
      <c r="K2618" s="3">
        <v>46137</v>
      </c>
      <c r="L2618" s="3">
        <v>46178</v>
      </c>
      <c r="M2618" s="1" t="s">
        <v>5826</v>
      </c>
      <c r="N2618" s="1" t="s">
        <v>5825</v>
      </c>
    </row>
    <row r="2619" spans="1:14" s="1" customFormat="1" x14ac:dyDescent="0.35">
      <c r="A2619" s="1" t="s">
        <v>5171</v>
      </c>
      <c r="B2619" s="1" t="s">
        <v>4441</v>
      </c>
      <c r="C2619" s="1" t="s">
        <v>4551</v>
      </c>
      <c r="D2619" s="1" t="s">
        <v>5824</v>
      </c>
      <c r="E2619" s="1" t="str">
        <f>"6115"</f>
        <v>6115</v>
      </c>
      <c r="F2619" s="1" t="s">
        <v>1106</v>
      </c>
      <c r="G2619" s="1" t="s">
        <v>1107</v>
      </c>
      <c r="H2619" s="1" t="s">
        <v>16</v>
      </c>
      <c r="I2619" s="4" t="str">
        <f>"1"</f>
        <v>1</v>
      </c>
      <c r="J2619" s="2" t="str">
        <f>"29000"</f>
        <v>29000</v>
      </c>
      <c r="K2619" s="3">
        <v>46098</v>
      </c>
      <c r="L2619" s="3">
        <v>46178</v>
      </c>
      <c r="M2619" s="1" t="s">
        <v>5823</v>
      </c>
      <c r="N2619" s="1" t="s">
        <v>5822</v>
      </c>
    </row>
    <row r="2620" spans="1:14" s="1" customFormat="1" x14ac:dyDescent="0.35">
      <c r="A2620" s="1" t="s">
        <v>5171</v>
      </c>
      <c r="B2620" s="1" t="s">
        <v>4441</v>
      </c>
      <c r="C2620" s="1" t="s">
        <v>4551</v>
      </c>
      <c r="D2620" s="1" t="s">
        <v>5821</v>
      </c>
      <c r="E2620" s="1" t="str">
        <f>"6115"</f>
        <v>6115</v>
      </c>
      <c r="F2620" s="1" t="s">
        <v>1106</v>
      </c>
      <c r="G2620" s="1" t="s">
        <v>1107</v>
      </c>
      <c r="H2620" s="1" t="s">
        <v>16</v>
      </c>
      <c r="I2620" s="4" t="str">
        <f>"1"</f>
        <v>1</v>
      </c>
      <c r="J2620" s="2" t="str">
        <f>"29000"</f>
        <v>29000</v>
      </c>
      <c r="K2620" s="3">
        <v>46098</v>
      </c>
      <c r="L2620" s="3">
        <v>46178</v>
      </c>
      <c r="M2620" s="1" t="s">
        <v>5820</v>
      </c>
      <c r="N2620" s="1" t="s">
        <v>5819</v>
      </c>
    </row>
    <row r="2621" spans="1:14" s="1" customFormat="1" x14ac:dyDescent="0.35">
      <c r="A2621" s="1" t="s">
        <v>5171</v>
      </c>
      <c r="B2621" s="1" t="s">
        <v>4441</v>
      </c>
      <c r="C2621" s="1" t="s">
        <v>5693</v>
      </c>
      <c r="D2621" s="1" t="s">
        <v>5818</v>
      </c>
      <c r="E2621" s="1" t="str">
        <f>"5180"</f>
        <v>5180</v>
      </c>
      <c r="F2621" s="1" t="str">
        <f>"014287873"</f>
        <v>014287873</v>
      </c>
      <c r="G2621" s="1" t="s">
        <v>214</v>
      </c>
      <c r="H2621" s="1" t="s">
        <v>215</v>
      </c>
      <c r="I2621" s="4" t="str">
        <f>"2"</f>
        <v>2</v>
      </c>
      <c r="J2621" s="2">
        <v>30834.27</v>
      </c>
      <c r="K2621" s="3">
        <v>46172</v>
      </c>
      <c r="L2621" s="3">
        <v>46179</v>
      </c>
      <c r="M2621" s="1" t="s">
        <v>5817</v>
      </c>
      <c r="N2621" s="1" t="s">
        <v>5816</v>
      </c>
    </row>
    <row r="2622" spans="1:14" s="1" customFormat="1" x14ac:dyDescent="0.35">
      <c r="A2622" s="1" t="s">
        <v>5171</v>
      </c>
      <c r="B2622" s="1" t="s">
        <v>4441</v>
      </c>
      <c r="C2622" s="1" t="s">
        <v>4709</v>
      </c>
      <c r="D2622" s="1" t="s">
        <v>5815</v>
      </c>
      <c r="E2622" s="1" t="str">
        <f>"2330"</f>
        <v>2330</v>
      </c>
      <c r="F2622" s="1" t="s">
        <v>70</v>
      </c>
      <c r="G2622" s="1" t="s">
        <v>71</v>
      </c>
      <c r="H2622" s="1" t="s">
        <v>16</v>
      </c>
      <c r="I2622" s="4" t="str">
        <f>"1"</f>
        <v>1</v>
      </c>
      <c r="J2622" s="2" t="str">
        <f>"6000"</f>
        <v>6000</v>
      </c>
      <c r="K2622" s="3">
        <v>46165</v>
      </c>
      <c r="L2622" s="3">
        <v>46179</v>
      </c>
      <c r="M2622" s="1" t="s">
        <v>5814</v>
      </c>
      <c r="N2622" s="1" t="s">
        <v>5813</v>
      </c>
    </row>
    <row r="2623" spans="1:14" s="1" customFormat="1" x14ac:dyDescent="0.35">
      <c r="A2623" s="1" t="s">
        <v>5171</v>
      </c>
      <c r="B2623" s="1" t="s">
        <v>4441</v>
      </c>
      <c r="C2623" s="1" t="s">
        <v>4802</v>
      </c>
      <c r="D2623" s="1" t="s">
        <v>5812</v>
      </c>
      <c r="E2623" s="1" t="str">
        <f>"2330"</f>
        <v>2330</v>
      </c>
      <c r="F2623" s="1" t="s">
        <v>70</v>
      </c>
      <c r="G2623" s="1" t="s">
        <v>71</v>
      </c>
      <c r="H2623" s="1" t="s">
        <v>16</v>
      </c>
      <c r="I2623" s="4" t="str">
        <f>"1"</f>
        <v>1</v>
      </c>
      <c r="J2623" s="2" t="str">
        <f>"6000"</f>
        <v>6000</v>
      </c>
      <c r="K2623" s="3">
        <v>46168</v>
      </c>
      <c r="L2623" s="3">
        <v>46179</v>
      </c>
      <c r="M2623" s="1" t="s">
        <v>5811</v>
      </c>
      <c r="N2623" s="1" t="s">
        <v>5810</v>
      </c>
    </row>
    <row r="2624" spans="1:14" s="1" customFormat="1" x14ac:dyDescent="0.35">
      <c r="A2624" s="1" t="s">
        <v>5171</v>
      </c>
      <c r="B2624" s="1" t="s">
        <v>4441</v>
      </c>
      <c r="C2624" s="1" t="s">
        <v>4737</v>
      </c>
      <c r="D2624" s="1" t="s">
        <v>5809</v>
      </c>
      <c r="E2624" s="1" t="str">
        <f>"8340"</f>
        <v>8340</v>
      </c>
      <c r="F2624" s="1" t="str">
        <f>"015140578"</f>
        <v>015140578</v>
      </c>
      <c r="G2624" s="1" t="s">
        <v>4546</v>
      </c>
      <c r="H2624" s="1" t="s">
        <v>16</v>
      </c>
      <c r="I2624" s="4" t="str">
        <f>"1"</f>
        <v>1</v>
      </c>
      <c r="J2624" s="2">
        <v>170094.07999999999</v>
      </c>
      <c r="K2624" s="3">
        <v>46180</v>
      </c>
      <c r="L2624" s="3">
        <v>46181</v>
      </c>
      <c r="M2624" s="1" t="s">
        <v>5808</v>
      </c>
      <c r="N2624" s="1" t="s">
        <v>5807</v>
      </c>
    </row>
    <row r="2625" spans="1:14" s="1" customFormat="1" x14ac:dyDescent="0.35">
      <c r="A2625" s="1" t="s">
        <v>5171</v>
      </c>
      <c r="B2625" s="1" t="s">
        <v>4441</v>
      </c>
      <c r="C2625" s="1" t="s">
        <v>4737</v>
      </c>
      <c r="D2625" s="1" t="s">
        <v>5809</v>
      </c>
      <c r="E2625" s="1" t="str">
        <f>"8340"</f>
        <v>8340</v>
      </c>
      <c r="F2625" s="1" t="str">
        <f>"015140578"</f>
        <v>015140578</v>
      </c>
      <c r="G2625" s="1" t="s">
        <v>4546</v>
      </c>
      <c r="H2625" s="1" t="s">
        <v>16</v>
      </c>
      <c r="I2625" s="4" t="str">
        <f>"1"</f>
        <v>1</v>
      </c>
      <c r="J2625" s="2">
        <v>170094.07999999999</v>
      </c>
      <c r="K2625" s="3">
        <v>46180</v>
      </c>
      <c r="L2625" s="3">
        <v>46181</v>
      </c>
      <c r="M2625" s="1" t="s">
        <v>5808</v>
      </c>
      <c r="N2625" s="1" t="s">
        <v>5807</v>
      </c>
    </row>
    <row r="2626" spans="1:14" s="1" customFormat="1" x14ac:dyDescent="0.35">
      <c r="A2626" s="1" t="s">
        <v>5171</v>
      </c>
      <c r="B2626" s="1" t="s">
        <v>4441</v>
      </c>
      <c r="C2626" s="1" t="s">
        <v>4737</v>
      </c>
      <c r="D2626" s="1" t="s">
        <v>5806</v>
      </c>
      <c r="E2626" s="1" t="str">
        <f>"8340"</f>
        <v>8340</v>
      </c>
      <c r="F2626" s="1" t="str">
        <f>"015140578"</f>
        <v>015140578</v>
      </c>
      <c r="G2626" s="1" t="s">
        <v>4546</v>
      </c>
      <c r="H2626" s="1" t="s">
        <v>16</v>
      </c>
      <c r="I2626" s="4" t="str">
        <f>"1"</f>
        <v>1</v>
      </c>
      <c r="J2626" s="2">
        <v>170094.07999999999</v>
      </c>
      <c r="K2626" s="3">
        <v>46180</v>
      </c>
      <c r="L2626" s="3">
        <v>46181</v>
      </c>
      <c r="M2626" s="1" t="s">
        <v>5805</v>
      </c>
      <c r="N2626" s="1" t="s">
        <v>5804</v>
      </c>
    </row>
    <row r="2627" spans="1:14" s="1" customFormat="1" x14ac:dyDescent="0.35">
      <c r="A2627" s="1" t="s">
        <v>5171</v>
      </c>
      <c r="B2627" s="1" t="s">
        <v>4441</v>
      </c>
      <c r="C2627" s="1" t="s">
        <v>4737</v>
      </c>
      <c r="D2627" s="1" t="s">
        <v>5806</v>
      </c>
      <c r="E2627" s="1" t="str">
        <f>"8340"</f>
        <v>8340</v>
      </c>
      <c r="F2627" s="1" t="str">
        <f>"015140578"</f>
        <v>015140578</v>
      </c>
      <c r="G2627" s="1" t="s">
        <v>4546</v>
      </c>
      <c r="H2627" s="1" t="s">
        <v>16</v>
      </c>
      <c r="I2627" s="4" t="str">
        <f>"1"</f>
        <v>1</v>
      </c>
      <c r="J2627" s="2">
        <v>170094.07999999999</v>
      </c>
      <c r="K2627" s="3">
        <v>46180</v>
      </c>
      <c r="L2627" s="3">
        <v>46181</v>
      </c>
      <c r="M2627" s="1" t="s">
        <v>5805</v>
      </c>
      <c r="N2627" s="1" t="s">
        <v>5804</v>
      </c>
    </row>
    <row r="2628" spans="1:14" s="1" customFormat="1" x14ac:dyDescent="0.35">
      <c r="A2628" s="1" t="s">
        <v>5171</v>
      </c>
      <c r="B2628" s="1" t="s">
        <v>4441</v>
      </c>
      <c r="C2628" s="1" t="s">
        <v>4709</v>
      </c>
      <c r="D2628" s="1" t="s">
        <v>5803</v>
      </c>
      <c r="E2628" s="1" t="str">
        <f>"8145"</f>
        <v>8145</v>
      </c>
      <c r="F2628" s="1" t="s">
        <v>408</v>
      </c>
      <c r="G2628" s="1" t="s">
        <v>409</v>
      </c>
      <c r="H2628" s="1" t="s">
        <v>16</v>
      </c>
      <c r="I2628" s="4" t="str">
        <f>"1"</f>
        <v>1</v>
      </c>
      <c r="J2628" s="2" t="str">
        <f>"4350"</f>
        <v>4350</v>
      </c>
      <c r="K2628" s="3">
        <v>46179</v>
      </c>
      <c r="L2628" s="3">
        <v>46184</v>
      </c>
      <c r="M2628" s="1" t="s">
        <v>5802</v>
      </c>
      <c r="N2628" s="1" t="s">
        <v>5799</v>
      </c>
    </row>
    <row r="2629" spans="1:14" s="1" customFormat="1" x14ac:dyDescent="0.35">
      <c r="A2629" s="1" t="s">
        <v>5171</v>
      </c>
      <c r="B2629" s="1" t="s">
        <v>4441</v>
      </c>
      <c r="C2629" s="1" t="s">
        <v>4709</v>
      </c>
      <c r="D2629" s="1" t="s">
        <v>5801</v>
      </c>
      <c r="E2629" s="1" t="str">
        <f>"8145"</f>
        <v>8145</v>
      </c>
      <c r="F2629" s="1" t="s">
        <v>408</v>
      </c>
      <c r="G2629" s="1" t="s">
        <v>409</v>
      </c>
      <c r="H2629" s="1" t="s">
        <v>16</v>
      </c>
      <c r="I2629" s="4" t="str">
        <f>"1"</f>
        <v>1</v>
      </c>
      <c r="J2629" s="2" t="str">
        <f>"4350"</f>
        <v>4350</v>
      </c>
      <c r="K2629" s="3">
        <v>46179</v>
      </c>
      <c r="L2629" s="3">
        <v>46184</v>
      </c>
      <c r="M2629" s="1" t="s">
        <v>5800</v>
      </c>
      <c r="N2629" s="1" t="s">
        <v>5799</v>
      </c>
    </row>
    <row r="2630" spans="1:14" s="1" customFormat="1" x14ac:dyDescent="0.35">
      <c r="A2630" s="1" t="s">
        <v>5171</v>
      </c>
      <c r="B2630" s="1" t="s">
        <v>4441</v>
      </c>
      <c r="C2630" s="1" t="s">
        <v>4737</v>
      </c>
      <c r="D2630" s="1" t="s">
        <v>5798</v>
      </c>
      <c r="E2630" s="1" t="str">
        <f>"6115"</f>
        <v>6115</v>
      </c>
      <c r="F2630" s="1" t="str">
        <f>"012755061"</f>
        <v>012755061</v>
      </c>
      <c r="G2630" s="1" t="s">
        <v>1390</v>
      </c>
      <c r="H2630" s="1" t="s">
        <v>16</v>
      </c>
      <c r="I2630" s="4" t="str">
        <f>"1"</f>
        <v>1</v>
      </c>
      <c r="J2630" s="2" t="str">
        <f>"10700"</f>
        <v>10700</v>
      </c>
      <c r="K2630" s="3">
        <v>46130</v>
      </c>
      <c r="L2630" s="3">
        <v>46184</v>
      </c>
      <c r="M2630" s="1" t="s">
        <v>5797</v>
      </c>
      <c r="N2630" s="1" t="s">
        <v>5796</v>
      </c>
    </row>
    <row r="2631" spans="1:14" s="1" customFormat="1" x14ac:dyDescent="0.35">
      <c r="A2631" s="1" t="s">
        <v>5171</v>
      </c>
      <c r="B2631" s="1" t="s">
        <v>4441</v>
      </c>
      <c r="C2631" s="1" t="s">
        <v>4450</v>
      </c>
      <c r="D2631" s="1" t="s">
        <v>5795</v>
      </c>
      <c r="E2631" s="1" t="str">
        <f>"6130"</f>
        <v>6130</v>
      </c>
      <c r="F2631" s="1" t="s">
        <v>4848</v>
      </c>
      <c r="G2631" s="1" t="s">
        <v>4849</v>
      </c>
      <c r="H2631" s="1" t="s">
        <v>16</v>
      </c>
      <c r="I2631" s="4" t="str">
        <f>"1"</f>
        <v>1</v>
      </c>
      <c r="J2631" s="2" t="str">
        <f>"559"</f>
        <v>559</v>
      </c>
      <c r="K2631" s="3">
        <v>46181</v>
      </c>
      <c r="L2631" s="3">
        <v>46186</v>
      </c>
      <c r="M2631" s="1" t="s">
        <v>5794</v>
      </c>
      <c r="N2631" s="1" t="s">
        <v>5793</v>
      </c>
    </row>
    <row r="2632" spans="1:14" s="1" customFormat="1" x14ac:dyDescent="0.35">
      <c r="A2632" s="1" t="s">
        <v>5171</v>
      </c>
      <c r="B2632" s="1" t="s">
        <v>4441</v>
      </c>
      <c r="C2632" s="1" t="s">
        <v>4450</v>
      </c>
      <c r="D2632" s="1" t="s">
        <v>5792</v>
      </c>
      <c r="E2632" s="1" t="str">
        <f>"5120"</f>
        <v>5120</v>
      </c>
      <c r="F2632" s="1" t="s">
        <v>576</v>
      </c>
      <c r="G2632" s="1" t="s">
        <v>577</v>
      </c>
      <c r="H2632" s="1" t="s">
        <v>16</v>
      </c>
      <c r="I2632" s="4" t="str">
        <f>"1"</f>
        <v>1</v>
      </c>
      <c r="J2632" s="2">
        <v>181.82</v>
      </c>
      <c r="K2632" s="3">
        <v>46185</v>
      </c>
      <c r="L2632" s="3">
        <v>46186</v>
      </c>
      <c r="M2632" s="1" t="s">
        <v>5791</v>
      </c>
      <c r="N2632" s="1" t="s">
        <v>5790</v>
      </c>
    </row>
    <row r="2633" spans="1:14" s="1" customFormat="1" x14ac:dyDescent="0.35">
      <c r="A2633" s="1" t="s">
        <v>5171</v>
      </c>
      <c r="B2633" s="1" t="s">
        <v>4441</v>
      </c>
      <c r="C2633" s="1" t="s">
        <v>4802</v>
      </c>
      <c r="D2633" s="1" t="s">
        <v>5789</v>
      </c>
      <c r="E2633" s="1" t="str">
        <f>"6210"</f>
        <v>6210</v>
      </c>
      <c r="F2633" s="1" t="str">
        <f>"007276418"</f>
        <v>007276418</v>
      </c>
      <c r="G2633" s="1" t="s">
        <v>4656</v>
      </c>
      <c r="H2633" s="1" t="s">
        <v>16</v>
      </c>
      <c r="I2633" s="4" t="str">
        <f>"3"</f>
        <v>3</v>
      </c>
      <c r="J2633" s="2">
        <v>212.75</v>
      </c>
      <c r="K2633" s="3">
        <v>46185</v>
      </c>
      <c r="L2633" s="3">
        <v>46186</v>
      </c>
      <c r="M2633" s="1" t="s">
        <v>5167</v>
      </c>
      <c r="N2633" s="1" t="s">
        <v>5788</v>
      </c>
    </row>
    <row r="2634" spans="1:14" s="1" customFormat="1" x14ac:dyDescent="0.35">
      <c r="A2634" s="1" t="s">
        <v>5171</v>
      </c>
      <c r="B2634" s="1" t="s">
        <v>4441</v>
      </c>
      <c r="C2634" s="1" t="s">
        <v>4551</v>
      </c>
      <c r="D2634" s="1" t="s">
        <v>5787</v>
      </c>
      <c r="E2634" s="1" t="str">
        <f>"6720"</f>
        <v>6720</v>
      </c>
      <c r="F2634" s="1" t="s">
        <v>2250</v>
      </c>
      <c r="G2634" s="1" t="s">
        <v>2251</v>
      </c>
      <c r="H2634" s="1" t="s">
        <v>16</v>
      </c>
      <c r="I2634" s="4" t="str">
        <f>"1"</f>
        <v>1</v>
      </c>
      <c r="J2634" s="2" t="str">
        <f>"1365"</f>
        <v>1365</v>
      </c>
      <c r="K2634" s="3">
        <v>46142</v>
      </c>
      <c r="L2634" s="3">
        <v>46189</v>
      </c>
      <c r="M2634" s="1" t="s">
        <v>5786</v>
      </c>
      <c r="N2634" s="1" t="s">
        <v>5785</v>
      </c>
    </row>
    <row r="2635" spans="1:14" s="1" customFormat="1" x14ac:dyDescent="0.35">
      <c r="A2635" s="1" t="s">
        <v>5171</v>
      </c>
      <c r="B2635" s="1" t="s">
        <v>4441</v>
      </c>
      <c r="C2635" s="1" t="s">
        <v>4548</v>
      </c>
      <c r="D2635" s="1" t="s">
        <v>5784</v>
      </c>
      <c r="E2635" s="1" t="str">
        <f>"5855"</f>
        <v>5855</v>
      </c>
      <c r="F2635" s="1" t="str">
        <f>"016794066"</f>
        <v>016794066</v>
      </c>
      <c r="G2635" s="1" t="s">
        <v>5783</v>
      </c>
      <c r="H2635" s="1" t="s">
        <v>16</v>
      </c>
      <c r="I2635" s="4" t="str">
        <f>"4"</f>
        <v>4</v>
      </c>
      <c r="J2635" s="2">
        <v>560.70000000000005</v>
      </c>
      <c r="K2635" s="3">
        <v>46189</v>
      </c>
      <c r="L2635" s="3">
        <v>46190</v>
      </c>
      <c r="M2635" s="1" t="s">
        <v>5167</v>
      </c>
      <c r="N2635" s="1" t="s">
        <v>5782</v>
      </c>
    </row>
    <row r="2636" spans="1:14" s="1" customFormat="1" x14ac:dyDescent="0.35">
      <c r="A2636" s="1" t="s">
        <v>5171</v>
      </c>
      <c r="B2636" s="1" t="s">
        <v>4441</v>
      </c>
      <c r="C2636" s="1" t="s">
        <v>4709</v>
      </c>
      <c r="D2636" s="1" t="s">
        <v>5781</v>
      </c>
      <c r="E2636" s="1" t="str">
        <f>"6545"</f>
        <v>6545</v>
      </c>
      <c r="F2636" s="1" t="s">
        <v>5774</v>
      </c>
      <c r="G2636" s="1" t="s">
        <v>5773</v>
      </c>
      <c r="H2636" s="1" t="s">
        <v>16</v>
      </c>
      <c r="I2636" s="4" t="str">
        <f>"81"</f>
        <v>81</v>
      </c>
      <c r="J2636" s="2" t="str">
        <f>"100"</f>
        <v>100</v>
      </c>
      <c r="K2636" s="3">
        <v>46188</v>
      </c>
      <c r="L2636" s="3">
        <v>46191</v>
      </c>
      <c r="M2636" s="1" t="s">
        <v>5780</v>
      </c>
      <c r="N2636" s="1" t="s">
        <v>5777</v>
      </c>
    </row>
    <row r="2637" spans="1:14" s="1" customFormat="1" x14ac:dyDescent="0.35">
      <c r="A2637" s="1" t="s">
        <v>5171</v>
      </c>
      <c r="B2637" s="1" t="s">
        <v>4441</v>
      </c>
      <c r="C2637" s="1" t="s">
        <v>4709</v>
      </c>
      <c r="D2637" s="1" t="s">
        <v>5779</v>
      </c>
      <c r="E2637" s="1" t="str">
        <f>"6545"</f>
        <v>6545</v>
      </c>
      <c r="F2637" s="1" t="s">
        <v>5774</v>
      </c>
      <c r="G2637" s="1" t="s">
        <v>5773</v>
      </c>
      <c r="H2637" s="1" t="s">
        <v>16</v>
      </c>
      <c r="I2637" s="4" t="str">
        <f>"45"</f>
        <v>45</v>
      </c>
      <c r="J2637" s="2" t="str">
        <f>"100"</f>
        <v>100</v>
      </c>
      <c r="K2637" s="3">
        <v>46188</v>
      </c>
      <c r="L2637" s="3">
        <v>46191</v>
      </c>
      <c r="M2637" s="1" t="s">
        <v>5778</v>
      </c>
      <c r="N2637" s="1" t="s">
        <v>5777</v>
      </c>
    </row>
    <row r="2638" spans="1:14" s="1" customFormat="1" x14ac:dyDescent="0.35">
      <c r="A2638" s="1" t="s">
        <v>5171</v>
      </c>
      <c r="B2638" s="1" t="s">
        <v>4441</v>
      </c>
      <c r="C2638" s="1" t="s">
        <v>5776</v>
      </c>
      <c r="D2638" s="1" t="s">
        <v>5775</v>
      </c>
      <c r="E2638" s="1" t="str">
        <f>"6545"</f>
        <v>6545</v>
      </c>
      <c r="F2638" s="1" t="s">
        <v>5774</v>
      </c>
      <c r="G2638" s="1" t="s">
        <v>5773</v>
      </c>
      <c r="H2638" s="1" t="s">
        <v>16</v>
      </c>
      <c r="I2638" s="4" t="str">
        <f>"25"</f>
        <v>25</v>
      </c>
      <c r="J2638" s="2" t="str">
        <f>"100"</f>
        <v>100</v>
      </c>
      <c r="K2638" s="3">
        <v>46189</v>
      </c>
      <c r="L2638" s="3">
        <v>46191</v>
      </c>
      <c r="M2638" s="1" t="s">
        <v>5772</v>
      </c>
      <c r="N2638" s="1" t="s">
        <v>5771</v>
      </c>
    </row>
    <row r="2639" spans="1:14" s="1" customFormat="1" x14ac:dyDescent="0.35">
      <c r="A2639" s="1" t="s">
        <v>5171</v>
      </c>
      <c r="B2639" s="1" t="s">
        <v>4441</v>
      </c>
      <c r="C2639" s="1" t="s">
        <v>4855</v>
      </c>
      <c r="D2639" s="1" t="s">
        <v>5770</v>
      </c>
      <c r="E2639" s="1" t="str">
        <f>"6230"</f>
        <v>6230</v>
      </c>
      <c r="F2639" s="1" t="s">
        <v>2631</v>
      </c>
      <c r="G2639" s="1" t="s">
        <v>2632</v>
      </c>
      <c r="H2639" s="1" t="s">
        <v>16</v>
      </c>
      <c r="I2639" s="4" t="str">
        <f>"2"</f>
        <v>2</v>
      </c>
      <c r="J2639" s="2" t="str">
        <f>"2000"</f>
        <v>2000</v>
      </c>
      <c r="K2639" s="3">
        <v>46188</v>
      </c>
      <c r="L2639" s="3">
        <v>46192</v>
      </c>
      <c r="M2639" s="1" t="s">
        <v>5769</v>
      </c>
      <c r="N2639" s="1" t="s">
        <v>5766</v>
      </c>
    </row>
    <row r="2640" spans="1:14" s="1" customFormat="1" x14ac:dyDescent="0.35">
      <c r="A2640" s="1" t="s">
        <v>5171</v>
      </c>
      <c r="B2640" s="1" t="s">
        <v>4441</v>
      </c>
      <c r="C2640" s="1" t="s">
        <v>4855</v>
      </c>
      <c r="D2640" s="1" t="s">
        <v>5768</v>
      </c>
      <c r="E2640" s="1" t="str">
        <f>"6230"</f>
        <v>6230</v>
      </c>
      <c r="F2640" s="1" t="s">
        <v>2631</v>
      </c>
      <c r="G2640" s="1" t="s">
        <v>2632</v>
      </c>
      <c r="H2640" s="1" t="s">
        <v>16</v>
      </c>
      <c r="I2640" s="4" t="str">
        <f>"1"</f>
        <v>1</v>
      </c>
      <c r="J2640" s="2" t="str">
        <f>"2000"</f>
        <v>2000</v>
      </c>
      <c r="K2640" s="3">
        <v>46188</v>
      </c>
      <c r="L2640" s="3">
        <v>46192</v>
      </c>
      <c r="M2640" s="1" t="s">
        <v>5767</v>
      </c>
      <c r="N2640" s="1" t="s">
        <v>5766</v>
      </c>
    </row>
    <row r="2641" spans="1:14" s="1" customFormat="1" x14ac:dyDescent="0.35">
      <c r="A2641" s="1" t="s">
        <v>5171</v>
      </c>
      <c r="B2641" s="1" t="s">
        <v>4441</v>
      </c>
      <c r="C2641" s="1" t="s">
        <v>4450</v>
      </c>
      <c r="D2641" s="1" t="s">
        <v>5765</v>
      </c>
      <c r="E2641" s="1" t="str">
        <f>"2320"</f>
        <v>2320</v>
      </c>
      <c r="F2641" s="1" t="str">
        <f>"010907890"</f>
        <v>010907890</v>
      </c>
      <c r="G2641" s="1" t="s">
        <v>271</v>
      </c>
      <c r="H2641" s="1" t="s">
        <v>16</v>
      </c>
      <c r="I2641" s="4" t="str">
        <f>"1"</f>
        <v>1</v>
      </c>
      <c r="J2641" s="2" t="str">
        <f>"18000"</f>
        <v>18000</v>
      </c>
      <c r="K2641" s="3">
        <v>46179</v>
      </c>
      <c r="L2641" s="3">
        <v>46195</v>
      </c>
      <c r="M2641" s="1" t="s">
        <v>5764</v>
      </c>
      <c r="N2641" s="1" t="s">
        <v>5763</v>
      </c>
    </row>
    <row r="2642" spans="1:14" s="1" customFormat="1" x14ac:dyDescent="0.35">
      <c r="A2642" s="1" t="s">
        <v>5171</v>
      </c>
      <c r="B2642" s="1" t="s">
        <v>4441</v>
      </c>
      <c r="C2642" s="1" t="s">
        <v>4737</v>
      </c>
      <c r="D2642" s="1" t="s">
        <v>5762</v>
      </c>
      <c r="E2642" s="1" t="str">
        <f>"8340"</f>
        <v>8340</v>
      </c>
      <c r="F2642" s="1" t="str">
        <f>"015335344"</f>
        <v>015335344</v>
      </c>
      <c r="G2642" s="1" t="s">
        <v>5761</v>
      </c>
      <c r="H2642" s="1" t="s">
        <v>16</v>
      </c>
      <c r="I2642" s="4" t="str">
        <f>"1"</f>
        <v>1</v>
      </c>
      <c r="J2642" s="2">
        <v>133785.76</v>
      </c>
      <c r="K2642" s="3">
        <v>46130</v>
      </c>
      <c r="L2642" s="3">
        <v>46195</v>
      </c>
      <c r="M2642" s="1" t="s">
        <v>5760</v>
      </c>
      <c r="N2642" s="1" t="s">
        <v>5759</v>
      </c>
    </row>
    <row r="2643" spans="1:14" s="1" customFormat="1" x14ac:dyDescent="0.35">
      <c r="A2643" s="1" t="s">
        <v>5171</v>
      </c>
      <c r="B2643" s="1" t="s">
        <v>4441</v>
      </c>
      <c r="C2643" s="1" t="s">
        <v>4737</v>
      </c>
      <c r="D2643" s="1" t="s">
        <v>5758</v>
      </c>
      <c r="E2643" s="1" t="str">
        <f>"5895"</f>
        <v>5895</v>
      </c>
      <c r="F2643" s="1" t="str">
        <f>"016548576"</f>
        <v>016548576</v>
      </c>
      <c r="G2643" s="1" t="s">
        <v>5757</v>
      </c>
      <c r="H2643" s="1" t="s">
        <v>16</v>
      </c>
      <c r="I2643" s="4" t="str">
        <f>"3"</f>
        <v>3</v>
      </c>
      <c r="J2643" s="2">
        <v>3779.85</v>
      </c>
      <c r="K2643" s="3">
        <v>46180</v>
      </c>
      <c r="L2643" s="3">
        <v>46195</v>
      </c>
      <c r="M2643" s="1" t="s">
        <v>5756</v>
      </c>
      <c r="N2643" s="1" t="s">
        <v>5755</v>
      </c>
    </row>
    <row r="2644" spans="1:14" s="1" customFormat="1" x14ac:dyDescent="0.35">
      <c r="A2644" s="1" t="s">
        <v>5171</v>
      </c>
      <c r="B2644" s="1" t="s">
        <v>4441</v>
      </c>
      <c r="C2644" s="1" t="s">
        <v>4737</v>
      </c>
      <c r="D2644" s="1" t="s">
        <v>5754</v>
      </c>
      <c r="E2644" s="1" t="str">
        <f>"6115"</f>
        <v>6115</v>
      </c>
      <c r="F2644" s="1" t="str">
        <f>"013199032"</f>
        <v>013199032</v>
      </c>
      <c r="G2644" s="1" t="s">
        <v>224</v>
      </c>
      <c r="H2644" s="1" t="s">
        <v>16</v>
      </c>
      <c r="I2644" s="4" t="str">
        <f>"1"</f>
        <v>1</v>
      </c>
      <c r="J2644" s="2" t="str">
        <f>"17730"</f>
        <v>17730</v>
      </c>
      <c r="K2644" s="3">
        <v>46180</v>
      </c>
      <c r="L2644" s="3">
        <v>46195</v>
      </c>
      <c r="M2644" s="1" t="s">
        <v>5753</v>
      </c>
      <c r="N2644" s="1" t="s">
        <v>5750</v>
      </c>
    </row>
    <row r="2645" spans="1:14" s="1" customFormat="1" x14ac:dyDescent="0.35">
      <c r="A2645" s="1" t="s">
        <v>5171</v>
      </c>
      <c r="B2645" s="1" t="s">
        <v>4441</v>
      </c>
      <c r="C2645" s="1" t="s">
        <v>4737</v>
      </c>
      <c r="D2645" s="1" t="s">
        <v>5752</v>
      </c>
      <c r="E2645" s="1" t="str">
        <f>"6115"</f>
        <v>6115</v>
      </c>
      <c r="F2645" s="1" t="str">
        <f>"013199032"</f>
        <v>013199032</v>
      </c>
      <c r="G2645" s="1" t="s">
        <v>224</v>
      </c>
      <c r="H2645" s="1" t="s">
        <v>16</v>
      </c>
      <c r="I2645" s="4" t="str">
        <f>"1"</f>
        <v>1</v>
      </c>
      <c r="J2645" s="2" t="str">
        <f>"17730"</f>
        <v>17730</v>
      </c>
      <c r="K2645" s="3">
        <v>46180</v>
      </c>
      <c r="L2645" s="3">
        <v>46195</v>
      </c>
      <c r="M2645" s="1" t="s">
        <v>5751</v>
      </c>
      <c r="N2645" s="1" t="s">
        <v>5750</v>
      </c>
    </row>
    <row r="2646" spans="1:14" s="1" customFormat="1" x14ac:dyDescent="0.35">
      <c r="A2646" s="1" t="s">
        <v>5171</v>
      </c>
      <c r="B2646" s="1" t="s">
        <v>4441</v>
      </c>
      <c r="C2646" s="1" t="s">
        <v>4737</v>
      </c>
      <c r="D2646" s="1" t="s">
        <v>5749</v>
      </c>
      <c r="E2646" s="1" t="str">
        <f>"5820"</f>
        <v>5820</v>
      </c>
      <c r="F2646" s="1" t="s">
        <v>5745</v>
      </c>
      <c r="G2646" s="1" t="s">
        <v>5744</v>
      </c>
      <c r="H2646" s="1" t="s">
        <v>16</v>
      </c>
      <c r="I2646" s="4" t="str">
        <f>"6"</f>
        <v>6</v>
      </c>
      <c r="J2646" s="2" t="str">
        <f>"7000"</f>
        <v>7000</v>
      </c>
      <c r="K2646" s="3">
        <v>46180</v>
      </c>
      <c r="L2646" s="3">
        <v>46195</v>
      </c>
      <c r="M2646" s="1" t="s">
        <v>5748</v>
      </c>
      <c r="N2646" s="1" t="s">
        <v>5747</v>
      </c>
    </row>
    <row r="2647" spans="1:14" s="1" customFormat="1" x14ac:dyDescent="0.35">
      <c r="A2647" s="1" t="s">
        <v>5171</v>
      </c>
      <c r="B2647" s="1" t="s">
        <v>4441</v>
      </c>
      <c r="C2647" s="1" t="s">
        <v>4737</v>
      </c>
      <c r="D2647" s="1" t="s">
        <v>5746</v>
      </c>
      <c r="E2647" s="1" t="str">
        <f>"5820"</f>
        <v>5820</v>
      </c>
      <c r="F2647" s="1" t="s">
        <v>5745</v>
      </c>
      <c r="G2647" s="1" t="s">
        <v>5744</v>
      </c>
      <c r="H2647" s="1" t="s">
        <v>16</v>
      </c>
      <c r="I2647" s="4" t="str">
        <f>"4"</f>
        <v>4</v>
      </c>
      <c r="J2647" s="2" t="str">
        <f>"7000"</f>
        <v>7000</v>
      </c>
      <c r="K2647" s="3">
        <v>46180</v>
      </c>
      <c r="L2647" s="3">
        <v>46195</v>
      </c>
      <c r="M2647" s="1" t="s">
        <v>5743</v>
      </c>
      <c r="N2647" s="1" t="s">
        <v>5742</v>
      </c>
    </row>
    <row r="2648" spans="1:14" s="1" customFormat="1" x14ac:dyDescent="0.35">
      <c r="A2648" s="1" t="s">
        <v>5171</v>
      </c>
      <c r="B2648" s="1" t="s">
        <v>4441</v>
      </c>
      <c r="C2648" s="1" t="s">
        <v>4737</v>
      </c>
      <c r="D2648" s="1" t="s">
        <v>5741</v>
      </c>
      <c r="E2648" s="1" t="str">
        <f>"6545"</f>
        <v>6545</v>
      </c>
      <c r="F2648" s="1" t="str">
        <f>"016092699"</f>
        <v>016092699</v>
      </c>
      <c r="G2648" s="1" t="s">
        <v>4527</v>
      </c>
      <c r="H2648" s="1" t="s">
        <v>458</v>
      </c>
      <c r="I2648" s="4" t="str">
        <f>"1"</f>
        <v>1</v>
      </c>
      <c r="J2648" s="2">
        <v>8495.23</v>
      </c>
      <c r="K2648" s="3">
        <v>46180</v>
      </c>
      <c r="L2648" s="3">
        <v>46195</v>
      </c>
      <c r="M2648" s="1" t="s">
        <v>5740</v>
      </c>
      <c r="N2648" s="1" t="s">
        <v>4765</v>
      </c>
    </row>
    <row r="2649" spans="1:14" s="1" customFormat="1" x14ac:dyDescent="0.35">
      <c r="A2649" s="1" t="s">
        <v>5171</v>
      </c>
      <c r="B2649" s="1" t="s">
        <v>4441</v>
      </c>
      <c r="C2649" s="1" t="s">
        <v>4737</v>
      </c>
      <c r="D2649" s="1" t="s">
        <v>5739</v>
      </c>
      <c r="E2649" s="1" t="str">
        <f>"6545"</f>
        <v>6545</v>
      </c>
      <c r="F2649" s="1" t="str">
        <f>"016092699"</f>
        <v>016092699</v>
      </c>
      <c r="G2649" s="1" t="s">
        <v>4527</v>
      </c>
      <c r="H2649" s="1" t="s">
        <v>458</v>
      </c>
      <c r="I2649" s="4" t="str">
        <f>"3"</f>
        <v>3</v>
      </c>
      <c r="J2649" s="2">
        <v>8495.23</v>
      </c>
      <c r="K2649" s="3">
        <v>46180</v>
      </c>
      <c r="L2649" s="3">
        <v>46195</v>
      </c>
      <c r="M2649" s="1" t="s">
        <v>5738</v>
      </c>
      <c r="N2649" s="1" t="s">
        <v>4763</v>
      </c>
    </row>
    <row r="2650" spans="1:14" s="1" customFormat="1" x14ac:dyDescent="0.35">
      <c r="A2650" s="1" t="s">
        <v>5171</v>
      </c>
      <c r="B2650" s="1" t="s">
        <v>4441</v>
      </c>
      <c r="C2650" s="1" t="s">
        <v>4737</v>
      </c>
      <c r="D2650" s="1" t="s">
        <v>5737</v>
      </c>
      <c r="E2650" s="1" t="str">
        <f>"5895"</f>
        <v>5895</v>
      </c>
      <c r="F2650" s="1" t="str">
        <f>"016548585"</f>
        <v>016548585</v>
      </c>
      <c r="G2650" s="1" t="s">
        <v>5736</v>
      </c>
      <c r="H2650" s="1" t="s">
        <v>16</v>
      </c>
      <c r="I2650" s="4" t="str">
        <f>"3"</f>
        <v>3</v>
      </c>
      <c r="J2650" s="2">
        <v>3779.85</v>
      </c>
      <c r="K2650" s="3">
        <v>46180</v>
      </c>
      <c r="L2650" s="3">
        <v>46195</v>
      </c>
      <c r="M2650" s="1" t="s">
        <v>5735</v>
      </c>
      <c r="N2650" s="1" t="s">
        <v>5734</v>
      </c>
    </row>
    <row r="2651" spans="1:14" s="1" customFormat="1" x14ac:dyDescent="0.35">
      <c r="A2651" s="1" t="s">
        <v>5171</v>
      </c>
      <c r="B2651" s="1" t="s">
        <v>4441</v>
      </c>
      <c r="C2651" s="1" t="s">
        <v>4802</v>
      </c>
      <c r="D2651" s="1" t="s">
        <v>5733</v>
      </c>
      <c r="E2651" s="1" t="str">
        <f>"7830"</f>
        <v>7830</v>
      </c>
      <c r="F2651" s="1" t="s">
        <v>14</v>
      </c>
      <c r="G2651" s="1" t="s">
        <v>15</v>
      </c>
      <c r="H2651" s="1" t="s">
        <v>16</v>
      </c>
      <c r="I2651" s="4" t="str">
        <f>"1"</f>
        <v>1</v>
      </c>
      <c r="J2651" s="2" t="str">
        <f>"8000"</f>
        <v>8000</v>
      </c>
      <c r="K2651" s="3">
        <v>46179</v>
      </c>
      <c r="L2651" s="3">
        <v>46195</v>
      </c>
      <c r="M2651" s="1" t="s">
        <v>5732</v>
      </c>
      <c r="N2651" s="1" t="s">
        <v>5731</v>
      </c>
    </row>
    <row r="2652" spans="1:14" s="1" customFormat="1" x14ac:dyDescent="0.35">
      <c r="A2652" s="1" t="s">
        <v>5171</v>
      </c>
      <c r="B2652" s="1" t="s">
        <v>4441</v>
      </c>
      <c r="C2652" s="1" t="s">
        <v>4802</v>
      </c>
      <c r="D2652" s="1" t="s">
        <v>5730</v>
      </c>
      <c r="E2652" s="1" t="str">
        <f>"7830"</f>
        <v>7830</v>
      </c>
      <c r="F2652" s="1" t="s">
        <v>14</v>
      </c>
      <c r="G2652" s="1" t="s">
        <v>15</v>
      </c>
      <c r="H2652" s="1" t="s">
        <v>16</v>
      </c>
      <c r="I2652" s="4" t="str">
        <f>"1"</f>
        <v>1</v>
      </c>
      <c r="J2652" s="2" t="str">
        <f>"2585"</f>
        <v>2585</v>
      </c>
      <c r="K2652" s="3">
        <v>46182</v>
      </c>
      <c r="L2652" s="3">
        <v>46195</v>
      </c>
      <c r="M2652" s="1" t="s">
        <v>5729</v>
      </c>
      <c r="N2652" s="1" t="s">
        <v>5728</v>
      </c>
    </row>
    <row r="2653" spans="1:14" s="1" customFormat="1" x14ac:dyDescent="0.35">
      <c r="A2653" s="1" t="s">
        <v>5171</v>
      </c>
      <c r="B2653" s="1" t="s">
        <v>4441</v>
      </c>
      <c r="C2653" s="1" t="s">
        <v>4812</v>
      </c>
      <c r="D2653" s="1" t="s">
        <v>5727</v>
      </c>
      <c r="E2653" s="1" t="str">
        <f>"5140"</f>
        <v>5140</v>
      </c>
      <c r="F2653" s="1" t="s">
        <v>761</v>
      </c>
      <c r="G2653" s="1" t="s">
        <v>762</v>
      </c>
      <c r="H2653" s="1" t="s">
        <v>16</v>
      </c>
      <c r="I2653" s="4" t="str">
        <f>"1"</f>
        <v>1</v>
      </c>
      <c r="J2653" s="2" t="str">
        <f>"1600"</f>
        <v>1600</v>
      </c>
      <c r="K2653" s="3">
        <v>46181</v>
      </c>
      <c r="L2653" s="3">
        <v>46195</v>
      </c>
      <c r="M2653" s="1" t="s">
        <v>5726</v>
      </c>
      <c r="N2653" s="1" t="s">
        <v>5725</v>
      </c>
    </row>
    <row r="2654" spans="1:14" s="1" customFormat="1" x14ac:dyDescent="0.35">
      <c r="A2654" s="1" t="s">
        <v>5171</v>
      </c>
      <c r="B2654" s="1" t="s">
        <v>4441</v>
      </c>
      <c r="C2654" s="1" t="s">
        <v>5724</v>
      </c>
      <c r="D2654" s="1" t="s">
        <v>5723</v>
      </c>
      <c r="E2654" s="1" t="str">
        <f>"7830"</f>
        <v>7830</v>
      </c>
      <c r="F2654" s="1" t="s">
        <v>1871</v>
      </c>
      <c r="G2654" s="1" t="s">
        <v>1872</v>
      </c>
      <c r="H2654" s="1" t="s">
        <v>16</v>
      </c>
      <c r="I2654" s="4" t="str">
        <f>"1"</f>
        <v>1</v>
      </c>
      <c r="J2654" s="2" t="str">
        <f>"1000"</f>
        <v>1000</v>
      </c>
      <c r="K2654" s="3">
        <v>46097</v>
      </c>
      <c r="L2654" s="3">
        <v>46196</v>
      </c>
      <c r="M2654" s="1" t="s">
        <v>5722</v>
      </c>
      <c r="N2654" s="1" t="s">
        <v>5721</v>
      </c>
    </row>
    <row r="2655" spans="1:14" s="1" customFormat="1" x14ac:dyDescent="0.35">
      <c r="A2655" s="1" t="s">
        <v>5171</v>
      </c>
      <c r="B2655" s="1" t="s">
        <v>4441</v>
      </c>
      <c r="C2655" s="1" t="s">
        <v>4737</v>
      </c>
      <c r="D2655" s="1" t="s">
        <v>5720</v>
      </c>
      <c r="E2655" s="1" t="str">
        <f>"2340"</f>
        <v>2340</v>
      </c>
      <c r="F2655" s="1" t="s">
        <v>61</v>
      </c>
      <c r="G2655" s="1" t="s">
        <v>62</v>
      </c>
      <c r="H2655" s="1" t="s">
        <v>16</v>
      </c>
      <c r="I2655" s="4" t="str">
        <f>"1"</f>
        <v>1</v>
      </c>
      <c r="J2655" s="2">
        <v>13706.34</v>
      </c>
      <c r="K2655" s="3">
        <v>46130</v>
      </c>
      <c r="L2655" s="3">
        <v>46196</v>
      </c>
      <c r="M2655" s="1" t="s">
        <v>5719</v>
      </c>
      <c r="N2655" s="1" t="s">
        <v>5718</v>
      </c>
    </row>
    <row r="2656" spans="1:14" s="1" customFormat="1" x14ac:dyDescent="0.35">
      <c r="A2656" s="1" t="s">
        <v>5171</v>
      </c>
      <c r="B2656" s="1" t="s">
        <v>4441</v>
      </c>
      <c r="C2656" s="1" t="s">
        <v>4737</v>
      </c>
      <c r="D2656" s="1" t="s">
        <v>5717</v>
      </c>
      <c r="E2656" s="1" t="str">
        <f>"1367"</f>
        <v>1367</v>
      </c>
      <c r="F2656" s="1" t="str">
        <f>"015615276"</f>
        <v>015615276</v>
      </c>
      <c r="G2656" s="1" t="s">
        <v>5716</v>
      </c>
      <c r="H2656" s="1" t="s">
        <v>16</v>
      </c>
      <c r="I2656" s="4" t="str">
        <f>"2"</f>
        <v>2</v>
      </c>
      <c r="J2656" s="2" t="str">
        <f>"43326"</f>
        <v>43326</v>
      </c>
      <c r="K2656" s="3">
        <v>46176</v>
      </c>
      <c r="L2656" s="3">
        <v>46196</v>
      </c>
      <c r="M2656" s="1" t="s">
        <v>5715</v>
      </c>
      <c r="N2656" s="1" t="s">
        <v>5714</v>
      </c>
    </row>
    <row r="2657" spans="1:14" s="1" customFormat="1" x14ac:dyDescent="0.35">
      <c r="A2657" s="1" t="s">
        <v>5171</v>
      </c>
      <c r="B2657" s="1" t="s">
        <v>4441</v>
      </c>
      <c r="C2657" s="1" t="s">
        <v>5713</v>
      </c>
      <c r="D2657" s="1" t="s">
        <v>5712</v>
      </c>
      <c r="E2657" s="1" t="str">
        <f>"1940"</f>
        <v>1940</v>
      </c>
      <c r="F2657" s="1" t="str">
        <f>"014508597"</f>
        <v>014508597</v>
      </c>
      <c r="G2657" s="1" t="s">
        <v>5711</v>
      </c>
      <c r="H2657" s="1" t="s">
        <v>16</v>
      </c>
      <c r="I2657" s="4" t="str">
        <f>"4"</f>
        <v>4</v>
      </c>
      <c r="J2657" s="2">
        <v>16744.740000000002</v>
      </c>
      <c r="K2657" s="3">
        <v>46189</v>
      </c>
      <c r="L2657" s="3">
        <v>46197</v>
      </c>
      <c r="M2657" s="1" t="s">
        <v>5710</v>
      </c>
      <c r="N2657" s="1" t="s">
        <v>5709</v>
      </c>
    </row>
    <row r="2658" spans="1:14" s="1" customFormat="1" x14ac:dyDescent="0.35">
      <c r="A2658" s="1" t="s">
        <v>5171</v>
      </c>
      <c r="B2658" s="1" t="s">
        <v>4441</v>
      </c>
      <c r="C2658" s="1" t="s">
        <v>4737</v>
      </c>
      <c r="D2658" s="1" t="s">
        <v>5708</v>
      </c>
      <c r="E2658" s="1" t="str">
        <f>"7022"</f>
        <v>7022</v>
      </c>
      <c r="F2658" s="1" t="str">
        <f>"015358774"</f>
        <v>015358774</v>
      </c>
      <c r="G2658" s="1" t="s">
        <v>3552</v>
      </c>
      <c r="H2658" s="1" t="s">
        <v>16</v>
      </c>
      <c r="I2658" s="4" t="str">
        <f>"16"</f>
        <v>16</v>
      </c>
      <c r="J2658" s="2" t="str">
        <f>"11660"</f>
        <v>11660</v>
      </c>
      <c r="K2658" s="3">
        <v>46167</v>
      </c>
      <c r="L2658" s="3">
        <v>46197</v>
      </c>
      <c r="M2658" s="1" t="s">
        <v>5707</v>
      </c>
      <c r="N2658" s="1" t="s">
        <v>5706</v>
      </c>
    </row>
    <row r="2659" spans="1:14" s="1" customFormat="1" x14ac:dyDescent="0.35">
      <c r="A2659" s="1" t="s">
        <v>5171</v>
      </c>
      <c r="B2659" s="1" t="s">
        <v>4441</v>
      </c>
      <c r="C2659" s="1" t="s">
        <v>4802</v>
      </c>
      <c r="D2659" s="1" t="s">
        <v>5705</v>
      </c>
      <c r="E2659" s="1" t="str">
        <f>"7830"</f>
        <v>7830</v>
      </c>
      <c r="F2659" s="1" t="str">
        <f>"016751851"</f>
        <v>016751851</v>
      </c>
      <c r="G2659" s="1" t="s">
        <v>2066</v>
      </c>
      <c r="H2659" s="1" t="s">
        <v>16</v>
      </c>
      <c r="I2659" s="4" t="str">
        <f>"1"</f>
        <v>1</v>
      </c>
      <c r="J2659" s="2" t="str">
        <f>"2585"</f>
        <v>2585</v>
      </c>
      <c r="K2659" s="3">
        <v>46172</v>
      </c>
      <c r="L2659" s="3">
        <v>46197</v>
      </c>
      <c r="M2659" s="1" t="s">
        <v>5704</v>
      </c>
      <c r="N2659" s="1" t="s">
        <v>5703</v>
      </c>
    </row>
    <row r="2660" spans="1:14" s="1" customFormat="1" x14ac:dyDescent="0.35">
      <c r="A2660" s="1" t="s">
        <v>5171</v>
      </c>
      <c r="B2660" s="1" t="s">
        <v>4441</v>
      </c>
      <c r="C2660" s="1" t="s">
        <v>4802</v>
      </c>
      <c r="D2660" s="1" t="s">
        <v>5702</v>
      </c>
      <c r="E2660" s="1" t="str">
        <f>"6115"</f>
        <v>6115</v>
      </c>
      <c r="F2660" s="1" t="s">
        <v>1106</v>
      </c>
      <c r="G2660" s="1" t="s">
        <v>1107</v>
      </c>
      <c r="H2660" s="1" t="s">
        <v>16</v>
      </c>
      <c r="I2660" s="4" t="str">
        <f>"2"</f>
        <v>2</v>
      </c>
      <c r="J2660" s="2" t="str">
        <f>"6125"</f>
        <v>6125</v>
      </c>
      <c r="K2660" s="3">
        <v>46172</v>
      </c>
      <c r="L2660" s="3">
        <v>46197</v>
      </c>
      <c r="M2660" s="1" t="s">
        <v>5701</v>
      </c>
      <c r="N2660" s="1" t="s">
        <v>5700</v>
      </c>
    </row>
    <row r="2661" spans="1:14" s="1" customFormat="1" x14ac:dyDescent="0.35">
      <c r="A2661" s="1" t="s">
        <v>5171</v>
      </c>
      <c r="B2661" s="1" t="s">
        <v>4441</v>
      </c>
      <c r="C2661" s="1" t="s">
        <v>4802</v>
      </c>
      <c r="D2661" s="1" t="s">
        <v>5699</v>
      </c>
      <c r="E2661" s="1" t="str">
        <f>"3510"</f>
        <v>3510</v>
      </c>
      <c r="F2661" s="1" t="s">
        <v>3763</v>
      </c>
      <c r="G2661" s="1" t="s">
        <v>3764</v>
      </c>
      <c r="H2661" s="1" t="s">
        <v>16</v>
      </c>
      <c r="I2661" s="4" t="str">
        <f>"1"</f>
        <v>1</v>
      </c>
      <c r="J2661" s="2">
        <v>461.68</v>
      </c>
      <c r="K2661" s="3">
        <v>46177</v>
      </c>
      <c r="L2661" s="3">
        <v>46197</v>
      </c>
      <c r="M2661" s="1" t="s">
        <v>5698</v>
      </c>
      <c r="N2661" s="1" t="s">
        <v>5697</v>
      </c>
    </row>
    <row r="2662" spans="1:14" s="1" customFormat="1" x14ac:dyDescent="0.35">
      <c r="A2662" s="1" t="s">
        <v>5171</v>
      </c>
      <c r="B2662" s="1" t="s">
        <v>4441</v>
      </c>
      <c r="C2662" s="1" t="s">
        <v>4812</v>
      </c>
      <c r="D2662" s="1" t="s">
        <v>5696</v>
      </c>
      <c r="E2662" s="1" t="str">
        <f>"4910"</f>
        <v>4910</v>
      </c>
      <c r="F2662" s="1" t="s">
        <v>289</v>
      </c>
      <c r="G2662" s="1" t="s">
        <v>290</v>
      </c>
      <c r="H2662" s="1" t="s">
        <v>16</v>
      </c>
      <c r="I2662" s="4" t="str">
        <f>"1"</f>
        <v>1</v>
      </c>
      <c r="J2662" s="2" t="str">
        <f>"7700"</f>
        <v>7700</v>
      </c>
      <c r="K2662" s="3">
        <v>46181</v>
      </c>
      <c r="L2662" s="3">
        <v>46197</v>
      </c>
      <c r="M2662" s="1" t="s">
        <v>5695</v>
      </c>
      <c r="N2662" s="1" t="s">
        <v>5694</v>
      </c>
    </row>
    <row r="2663" spans="1:14" s="1" customFormat="1" x14ac:dyDescent="0.35">
      <c r="A2663" s="1" t="s">
        <v>5171</v>
      </c>
      <c r="B2663" s="1" t="s">
        <v>4441</v>
      </c>
      <c r="C2663" s="1" t="s">
        <v>5693</v>
      </c>
      <c r="D2663" s="1" t="s">
        <v>5692</v>
      </c>
      <c r="E2663" s="1" t="str">
        <f>"5140"</f>
        <v>5140</v>
      </c>
      <c r="F2663" s="1" t="str">
        <f>"013673683"</f>
        <v>013673683</v>
      </c>
      <c r="G2663" s="1" t="s">
        <v>1659</v>
      </c>
      <c r="H2663" s="1" t="s">
        <v>16</v>
      </c>
      <c r="I2663" s="4" t="str">
        <f>"1"</f>
        <v>1</v>
      </c>
      <c r="J2663" s="2">
        <v>780.82</v>
      </c>
      <c r="K2663" s="3">
        <v>46172</v>
      </c>
      <c r="L2663" s="3">
        <v>46199</v>
      </c>
      <c r="M2663" s="1" t="s">
        <v>5691</v>
      </c>
      <c r="N2663" s="1" t="s">
        <v>5690</v>
      </c>
    </row>
    <row r="2664" spans="1:14" s="1" customFormat="1" x14ac:dyDescent="0.35">
      <c r="A2664" s="1" t="s">
        <v>5171</v>
      </c>
      <c r="B2664" s="1" t="s">
        <v>4441</v>
      </c>
      <c r="C2664" s="1" t="s">
        <v>4802</v>
      </c>
      <c r="D2664" s="1" t="s">
        <v>5689</v>
      </c>
      <c r="E2664" s="1" t="str">
        <f>"4910"</f>
        <v>4910</v>
      </c>
      <c r="F2664" s="1" t="s">
        <v>289</v>
      </c>
      <c r="G2664" s="1" t="s">
        <v>290</v>
      </c>
      <c r="H2664" s="1" t="s">
        <v>16</v>
      </c>
      <c r="I2664" s="4" t="str">
        <f>"1"</f>
        <v>1</v>
      </c>
      <c r="J2664" s="2" t="str">
        <f>"7700"</f>
        <v>7700</v>
      </c>
      <c r="K2664" s="3">
        <v>46175</v>
      </c>
      <c r="L2664" s="3">
        <v>46199</v>
      </c>
      <c r="M2664" s="1" t="s">
        <v>5688</v>
      </c>
      <c r="N2664" s="1" t="s">
        <v>5687</v>
      </c>
    </row>
    <row r="2665" spans="1:14" s="1" customFormat="1" x14ac:dyDescent="0.35">
      <c r="A2665" s="1" t="s">
        <v>5171</v>
      </c>
      <c r="B2665" s="1" t="s">
        <v>4441</v>
      </c>
      <c r="C2665" s="1" t="s">
        <v>4812</v>
      </c>
      <c r="D2665" s="1" t="s">
        <v>5686</v>
      </c>
      <c r="E2665" s="1" t="str">
        <f>"2320"</f>
        <v>2320</v>
      </c>
      <c r="F2665" s="1" t="s">
        <v>975</v>
      </c>
      <c r="G2665" s="1" t="s">
        <v>976</v>
      </c>
      <c r="H2665" s="1" t="s">
        <v>16</v>
      </c>
      <c r="I2665" s="4" t="str">
        <f>"1"</f>
        <v>1</v>
      </c>
      <c r="J2665" s="2" t="str">
        <f>"8000"</f>
        <v>8000</v>
      </c>
      <c r="K2665" s="3">
        <v>46176</v>
      </c>
      <c r="L2665" s="3">
        <v>46199</v>
      </c>
      <c r="M2665" s="1" t="s">
        <v>5685</v>
      </c>
      <c r="N2665" s="1" t="s">
        <v>5684</v>
      </c>
    </row>
    <row r="2666" spans="1:14" s="1" customFormat="1" x14ac:dyDescent="0.35">
      <c r="A2666" s="1" t="s">
        <v>5171</v>
      </c>
      <c r="B2666" s="1" t="s">
        <v>4441</v>
      </c>
      <c r="C2666" s="1" t="s">
        <v>4855</v>
      </c>
      <c r="D2666" s="1" t="s">
        <v>5683</v>
      </c>
      <c r="E2666" s="1" t="str">
        <f>"5410"</f>
        <v>5410</v>
      </c>
      <c r="F2666" s="1" t="str">
        <f>"013112895"</f>
        <v>013112895</v>
      </c>
      <c r="G2666" s="1" t="s">
        <v>5682</v>
      </c>
      <c r="H2666" s="1" t="s">
        <v>16</v>
      </c>
      <c r="I2666" s="4" t="str">
        <f>"1"</f>
        <v>1</v>
      </c>
      <c r="J2666" s="2" t="str">
        <f>"21340"</f>
        <v>21340</v>
      </c>
      <c r="K2666" s="3">
        <v>46168</v>
      </c>
      <c r="L2666" s="3">
        <v>46202</v>
      </c>
      <c r="M2666" s="1" t="s">
        <v>5681</v>
      </c>
      <c r="N2666" s="1" t="s">
        <v>5680</v>
      </c>
    </row>
    <row r="2667" spans="1:14" s="1" customFormat="1" x14ac:dyDescent="0.35">
      <c r="A2667" s="1" t="s">
        <v>5171</v>
      </c>
      <c r="B2667" s="1" t="s">
        <v>4441</v>
      </c>
      <c r="C2667" s="1" t="s">
        <v>4855</v>
      </c>
      <c r="D2667" s="1" t="s">
        <v>5679</v>
      </c>
      <c r="E2667" s="1" t="str">
        <f>"2310"</f>
        <v>2310</v>
      </c>
      <c r="F2667" s="1" t="s">
        <v>178</v>
      </c>
      <c r="G2667" s="1" t="s">
        <v>179</v>
      </c>
      <c r="H2667" s="1" t="s">
        <v>16</v>
      </c>
      <c r="I2667" s="4" t="str">
        <f>"1"</f>
        <v>1</v>
      </c>
      <c r="J2667" s="2" t="str">
        <f>"12554"</f>
        <v>12554</v>
      </c>
      <c r="K2667" s="3">
        <v>46186</v>
      </c>
      <c r="L2667" s="3">
        <v>46202</v>
      </c>
      <c r="M2667" s="1" t="s">
        <v>5678</v>
      </c>
      <c r="N2667" s="1" t="s">
        <v>5677</v>
      </c>
    </row>
    <row r="2668" spans="1:14" s="1" customFormat="1" x14ac:dyDescent="0.35">
      <c r="A2668" s="1" t="s">
        <v>5171</v>
      </c>
      <c r="B2668" s="1" t="s">
        <v>4875</v>
      </c>
      <c r="C2668" s="1" t="s">
        <v>4963</v>
      </c>
      <c r="D2668" s="1" t="s">
        <v>5676</v>
      </c>
      <c r="E2668" s="1" t="str">
        <f>"2320"</f>
        <v>2320</v>
      </c>
      <c r="F2668" s="1" t="str">
        <f>"015016635"</f>
        <v>015016635</v>
      </c>
      <c r="G2668" s="1" t="s">
        <v>2303</v>
      </c>
      <c r="H2668" s="1" t="s">
        <v>16</v>
      </c>
      <c r="I2668" s="4" t="str">
        <f>"1"</f>
        <v>1</v>
      </c>
      <c r="J2668" s="2" t="str">
        <f>"45602"</f>
        <v>45602</v>
      </c>
      <c r="K2668" s="3">
        <v>46111</v>
      </c>
      <c r="L2668" s="3">
        <v>46114</v>
      </c>
      <c r="M2668" s="1" t="s">
        <v>5675</v>
      </c>
      <c r="N2668" s="1" t="s">
        <v>5674</v>
      </c>
    </row>
    <row r="2669" spans="1:14" s="1" customFormat="1" x14ac:dyDescent="0.35">
      <c r="A2669" s="1" t="s">
        <v>5171</v>
      </c>
      <c r="B2669" s="1" t="s">
        <v>4875</v>
      </c>
      <c r="C2669" s="1" t="s">
        <v>5640</v>
      </c>
      <c r="D2669" s="1" t="s">
        <v>5673</v>
      </c>
      <c r="E2669" s="1" t="str">
        <f>"1240"</f>
        <v>1240</v>
      </c>
      <c r="F2669" s="1" t="str">
        <f>"014111265"</f>
        <v>014111265</v>
      </c>
      <c r="G2669" s="1" t="s">
        <v>1103</v>
      </c>
      <c r="H2669" s="1" t="s">
        <v>16</v>
      </c>
      <c r="I2669" s="4" t="str">
        <f>"1"</f>
        <v>1</v>
      </c>
      <c r="J2669" s="2" t="str">
        <f>"339"</f>
        <v>339</v>
      </c>
      <c r="K2669" s="3">
        <v>46115</v>
      </c>
      <c r="L2669" s="3">
        <v>46116</v>
      </c>
      <c r="M2669" s="1" t="s">
        <v>5167</v>
      </c>
      <c r="N2669" s="1" t="s">
        <v>5637</v>
      </c>
    </row>
    <row r="2670" spans="1:14" s="1" customFormat="1" x14ac:dyDescent="0.35">
      <c r="A2670" s="1" t="s">
        <v>5171</v>
      </c>
      <c r="B2670" s="1" t="s">
        <v>4875</v>
      </c>
      <c r="C2670" s="1" t="s">
        <v>5640</v>
      </c>
      <c r="D2670" s="1" t="s">
        <v>5672</v>
      </c>
      <c r="E2670" s="1" t="str">
        <f>"1240"</f>
        <v>1240</v>
      </c>
      <c r="F2670" s="1" t="str">
        <f>"014111265"</f>
        <v>014111265</v>
      </c>
      <c r="G2670" s="1" t="s">
        <v>1103</v>
      </c>
      <c r="H2670" s="1" t="s">
        <v>16</v>
      </c>
      <c r="I2670" s="4" t="str">
        <f>"1"</f>
        <v>1</v>
      </c>
      <c r="J2670" s="2" t="str">
        <f>"339"</f>
        <v>339</v>
      </c>
      <c r="K2670" s="3">
        <v>46115</v>
      </c>
      <c r="L2670" s="3">
        <v>46116</v>
      </c>
      <c r="M2670" s="1" t="s">
        <v>5167</v>
      </c>
      <c r="N2670" s="1" t="s">
        <v>5637</v>
      </c>
    </row>
    <row r="2671" spans="1:14" s="1" customFormat="1" x14ac:dyDescent="0.35">
      <c r="A2671" s="1" t="s">
        <v>5171</v>
      </c>
      <c r="B2671" s="1" t="s">
        <v>4875</v>
      </c>
      <c r="C2671" s="1" t="s">
        <v>5640</v>
      </c>
      <c r="D2671" s="1" t="s">
        <v>5671</v>
      </c>
      <c r="E2671" s="1" t="str">
        <f>"1240"</f>
        <v>1240</v>
      </c>
      <c r="F2671" s="1" t="str">
        <f>"014111265"</f>
        <v>014111265</v>
      </c>
      <c r="G2671" s="1" t="s">
        <v>1103</v>
      </c>
      <c r="H2671" s="1" t="s">
        <v>16</v>
      </c>
      <c r="I2671" s="4" t="str">
        <f>"1"</f>
        <v>1</v>
      </c>
      <c r="J2671" s="2" t="str">
        <f>"339"</f>
        <v>339</v>
      </c>
      <c r="K2671" s="3">
        <v>46115</v>
      </c>
      <c r="L2671" s="3">
        <v>46119</v>
      </c>
      <c r="M2671" s="1" t="s">
        <v>5670</v>
      </c>
      <c r="N2671" s="1" t="s">
        <v>5637</v>
      </c>
    </row>
    <row r="2672" spans="1:14" s="1" customFormat="1" x14ac:dyDescent="0.35">
      <c r="A2672" s="1" t="s">
        <v>5171</v>
      </c>
      <c r="B2672" s="1" t="s">
        <v>4875</v>
      </c>
      <c r="C2672" s="1" t="s">
        <v>5640</v>
      </c>
      <c r="D2672" s="1" t="s">
        <v>5669</v>
      </c>
      <c r="E2672" s="1" t="str">
        <f>"1240"</f>
        <v>1240</v>
      </c>
      <c r="F2672" s="1" t="str">
        <f>"014111265"</f>
        <v>014111265</v>
      </c>
      <c r="G2672" s="1" t="s">
        <v>1103</v>
      </c>
      <c r="H2672" s="1" t="s">
        <v>16</v>
      </c>
      <c r="I2672" s="4" t="str">
        <f>"1"</f>
        <v>1</v>
      </c>
      <c r="J2672" s="2" t="str">
        <f>"339"</f>
        <v>339</v>
      </c>
      <c r="K2672" s="3">
        <v>46115</v>
      </c>
      <c r="L2672" s="3">
        <v>46119</v>
      </c>
      <c r="M2672" s="1" t="s">
        <v>5668</v>
      </c>
      <c r="N2672" s="1" t="s">
        <v>5637</v>
      </c>
    </row>
    <row r="2673" spans="1:14" s="1" customFormat="1" x14ac:dyDescent="0.35">
      <c r="A2673" s="1" t="s">
        <v>5171</v>
      </c>
      <c r="B2673" s="1" t="s">
        <v>4875</v>
      </c>
      <c r="C2673" s="1" t="s">
        <v>5640</v>
      </c>
      <c r="D2673" s="1" t="s">
        <v>5667</v>
      </c>
      <c r="E2673" s="1" t="str">
        <f>"1240"</f>
        <v>1240</v>
      </c>
      <c r="F2673" s="1" t="str">
        <f>"014111265"</f>
        <v>014111265</v>
      </c>
      <c r="G2673" s="1" t="s">
        <v>1103</v>
      </c>
      <c r="H2673" s="1" t="s">
        <v>16</v>
      </c>
      <c r="I2673" s="4" t="str">
        <f>"1"</f>
        <v>1</v>
      </c>
      <c r="J2673" s="2" t="str">
        <f>"339"</f>
        <v>339</v>
      </c>
      <c r="K2673" s="3">
        <v>46115</v>
      </c>
      <c r="L2673" s="3">
        <v>46119</v>
      </c>
      <c r="M2673" s="1" t="s">
        <v>5666</v>
      </c>
      <c r="N2673" s="1" t="s">
        <v>5637</v>
      </c>
    </row>
    <row r="2674" spans="1:14" s="1" customFormat="1" x14ac:dyDescent="0.35">
      <c r="A2674" s="1" t="s">
        <v>5171</v>
      </c>
      <c r="B2674" s="1" t="s">
        <v>4875</v>
      </c>
      <c r="C2674" s="1" t="s">
        <v>4963</v>
      </c>
      <c r="D2674" s="1" t="s">
        <v>5665</v>
      </c>
      <c r="E2674" s="1" t="str">
        <f>"2330"</f>
        <v>2330</v>
      </c>
      <c r="F2674" s="1" t="s">
        <v>70</v>
      </c>
      <c r="G2674" s="1" t="s">
        <v>71</v>
      </c>
      <c r="H2674" s="1" t="s">
        <v>16</v>
      </c>
      <c r="I2674" s="4" t="str">
        <f>"1"</f>
        <v>1</v>
      </c>
      <c r="J2674" s="2" t="str">
        <f>"14000"</f>
        <v>14000</v>
      </c>
      <c r="K2674" s="3">
        <v>46111</v>
      </c>
      <c r="L2674" s="3">
        <v>46122</v>
      </c>
      <c r="M2674" s="1" t="s">
        <v>5664</v>
      </c>
      <c r="N2674" s="1" t="s">
        <v>5661</v>
      </c>
    </row>
    <row r="2675" spans="1:14" s="1" customFormat="1" x14ac:dyDescent="0.35">
      <c r="A2675" s="1" t="s">
        <v>5171</v>
      </c>
      <c r="B2675" s="1" t="s">
        <v>4875</v>
      </c>
      <c r="C2675" s="1" t="s">
        <v>4963</v>
      </c>
      <c r="D2675" s="1" t="s">
        <v>5663</v>
      </c>
      <c r="E2675" s="1" t="str">
        <f>"2330"</f>
        <v>2330</v>
      </c>
      <c r="F2675" s="1" t="s">
        <v>70</v>
      </c>
      <c r="G2675" s="1" t="s">
        <v>71</v>
      </c>
      <c r="H2675" s="1" t="s">
        <v>16</v>
      </c>
      <c r="I2675" s="4" t="str">
        <f>"1"</f>
        <v>1</v>
      </c>
      <c r="J2675" s="2" t="str">
        <f>"14000"</f>
        <v>14000</v>
      </c>
      <c r="K2675" s="3">
        <v>46111</v>
      </c>
      <c r="L2675" s="3">
        <v>46123</v>
      </c>
      <c r="M2675" s="1" t="s">
        <v>5662</v>
      </c>
      <c r="N2675" s="1" t="s">
        <v>5661</v>
      </c>
    </row>
    <row r="2676" spans="1:14" s="1" customFormat="1" x14ac:dyDescent="0.35">
      <c r="A2676" s="1" t="s">
        <v>5171</v>
      </c>
      <c r="B2676" s="1" t="s">
        <v>4875</v>
      </c>
      <c r="C2676" s="1" t="s">
        <v>4963</v>
      </c>
      <c r="D2676" s="1" t="s">
        <v>5660</v>
      </c>
      <c r="E2676" s="1" t="str">
        <f>"2330"</f>
        <v>2330</v>
      </c>
      <c r="F2676" s="1" t="s">
        <v>70</v>
      </c>
      <c r="G2676" s="1" t="s">
        <v>71</v>
      </c>
      <c r="H2676" s="1" t="s">
        <v>16</v>
      </c>
      <c r="I2676" s="4" t="str">
        <f>"1"</f>
        <v>1</v>
      </c>
      <c r="J2676" s="2" t="str">
        <f>"14000"</f>
        <v>14000</v>
      </c>
      <c r="K2676" s="3">
        <v>46111</v>
      </c>
      <c r="L2676" s="3">
        <v>46123</v>
      </c>
      <c r="M2676" s="1" t="s">
        <v>5659</v>
      </c>
      <c r="N2676" s="1" t="s">
        <v>5658</v>
      </c>
    </row>
    <row r="2677" spans="1:14" s="1" customFormat="1" x14ac:dyDescent="0.35">
      <c r="A2677" s="1" t="s">
        <v>5171</v>
      </c>
      <c r="B2677" s="1" t="s">
        <v>4875</v>
      </c>
      <c r="C2677" s="1" t="s">
        <v>4963</v>
      </c>
      <c r="D2677" s="1" t="s">
        <v>5657</v>
      </c>
      <c r="E2677" s="1" t="str">
        <f>"2330"</f>
        <v>2330</v>
      </c>
      <c r="F2677" s="1" t="s">
        <v>70</v>
      </c>
      <c r="G2677" s="1" t="s">
        <v>71</v>
      </c>
      <c r="H2677" s="1" t="s">
        <v>16</v>
      </c>
      <c r="I2677" s="4" t="str">
        <f>"1"</f>
        <v>1</v>
      </c>
      <c r="J2677" s="2" t="str">
        <f>"14000"</f>
        <v>14000</v>
      </c>
      <c r="K2677" s="3">
        <v>46111</v>
      </c>
      <c r="L2677" s="3">
        <v>46123</v>
      </c>
      <c r="M2677" s="1" t="s">
        <v>5656</v>
      </c>
      <c r="N2677" s="1" t="s">
        <v>5655</v>
      </c>
    </row>
    <row r="2678" spans="1:14" s="1" customFormat="1" x14ac:dyDescent="0.35">
      <c r="A2678" s="1" t="s">
        <v>5171</v>
      </c>
      <c r="B2678" s="1" t="s">
        <v>4875</v>
      </c>
      <c r="C2678" s="1" t="s">
        <v>4926</v>
      </c>
      <c r="D2678" s="1" t="s">
        <v>5654</v>
      </c>
      <c r="E2678" s="1" t="str">
        <f>"3920"</f>
        <v>3920</v>
      </c>
      <c r="F2678" s="1" t="s">
        <v>4146</v>
      </c>
      <c r="G2678" s="1" t="s">
        <v>4147</v>
      </c>
      <c r="H2678" s="1" t="s">
        <v>16</v>
      </c>
      <c r="I2678" s="4" t="str">
        <f>"1"</f>
        <v>1</v>
      </c>
      <c r="J2678" s="2" t="str">
        <f>"7197"</f>
        <v>7197</v>
      </c>
      <c r="K2678" s="3">
        <v>46097</v>
      </c>
      <c r="L2678" s="3">
        <v>46125</v>
      </c>
      <c r="M2678" s="1" t="s">
        <v>5653</v>
      </c>
      <c r="N2678" s="1" t="s">
        <v>5652</v>
      </c>
    </row>
    <row r="2679" spans="1:14" s="1" customFormat="1" x14ac:dyDescent="0.35">
      <c r="A2679" s="1" t="s">
        <v>5171</v>
      </c>
      <c r="B2679" s="1" t="s">
        <v>4875</v>
      </c>
      <c r="C2679" s="1" t="s">
        <v>4926</v>
      </c>
      <c r="D2679" s="1" t="s">
        <v>5651</v>
      </c>
      <c r="E2679" s="1" t="str">
        <f>"5180"</f>
        <v>5180</v>
      </c>
      <c r="F2679" s="1" t="str">
        <f>"016282372"</f>
        <v>016282372</v>
      </c>
      <c r="G2679" s="1" t="s">
        <v>2993</v>
      </c>
      <c r="H2679" s="1" t="s">
        <v>215</v>
      </c>
      <c r="I2679" s="4" t="str">
        <f>"3"</f>
        <v>3</v>
      </c>
      <c r="J2679" s="2" t="str">
        <f>"2523"</f>
        <v>2523</v>
      </c>
      <c r="K2679" s="3">
        <v>46120</v>
      </c>
      <c r="L2679" s="3">
        <v>46126</v>
      </c>
      <c r="M2679" s="1" t="s">
        <v>5650</v>
      </c>
      <c r="N2679" s="1" t="s">
        <v>5649</v>
      </c>
    </row>
    <row r="2680" spans="1:14" s="1" customFormat="1" x14ac:dyDescent="0.35">
      <c r="A2680" s="1" t="s">
        <v>5216</v>
      </c>
      <c r="B2680" s="1" t="s">
        <v>4875</v>
      </c>
      <c r="C2680" s="1" t="s">
        <v>5640</v>
      </c>
      <c r="D2680" s="1" t="s">
        <v>5648</v>
      </c>
      <c r="E2680" s="1" t="str">
        <f>"1240"</f>
        <v>1240</v>
      </c>
      <c r="F2680" s="1" t="str">
        <f>"015403690"</f>
        <v>015403690</v>
      </c>
      <c r="G2680" s="1" t="s">
        <v>1103</v>
      </c>
      <c r="H2680" s="1" t="s">
        <v>16</v>
      </c>
      <c r="I2680" s="4" t="str">
        <f>"1"</f>
        <v>1</v>
      </c>
      <c r="J2680" s="2" t="str">
        <f>"342"</f>
        <v>342</v>
      </c>
      <c r="K2680" s="3">
        <v>46126</v>
      </c>
      <c r="L2680" s="3">
        <v>46127</v>
      </c>
      <c r="M2680" s="1" t="s">
        <v>5644</v>
      </c>
      <c r="N2680" s="1" t="s">
        <v>5643</v>
      </c>
    </row>
    <row r="2681" spans="1:14" s="1" customFormat="1" x14ac:dyDescent="0.35">
      <c r="A2681" s="1" t="s">
        <v>5216</v>
      </c>
      <c r="B2681" s="1" t="s">
        <v>4875</v>
      </c>
      <c r="C2681" s="1" t="s">
        <v>5640</v>
      </c>
      <c r="D2681" s="1" t="s">
        <v>5647</v>
      </c>
      <c r="E2681" s="1" t="str">
        <f>"1240"</f>
        <v>1240</v>
      </c>
      <c r="F2681" s="1" t="str">
        <f>"015403690"</f>
        <v>015403690</v>
      </c>
      <c r="G2681" s="1" t="s">
        <v>1103</v>
      </c>
      <c r="H2681" s="1" t="s">
        <v>16</v>
      </c>
      <c r="I2681" s="4" t="str">
        <f>"1"</f>
        <v>1</v>
      </c>
      <c r="J2681" s="2" t="str">
        <f>"342"</f>
        <v>342</v>
      </c>
      <c r="K2681" s="3">
        <v>46126</v>
      </c>
      <c r="L2681" s="3">
        <v>46127</v>
      </c>
      <c r="M2681" s="1" t="s">
        <v>5644</v>
      </c>
      <c r="N2681" s="1" t="s">
        <v>5643</v>
      </c>
    </row>
    <row r="2682" spans="1:14" s="1" customFormat="1" x14ac:dyDescent="0.35">
      <c r="A2682" s="1" t="s">
        <v>5216</v>
      </c>
      <c r="B2682" s="1" t="s">
        <v>4875</v>
      </c>
      <c r="C2682" s="1" t="s">
        <v>5640</v>
      </c>
      <c r="D2682" s="1" t="s">
        <v>5646</v>
      </c>
      <c r="E2682" s="1" t="str">
        <f>"1240"</f>
        <v>1240</v>
      </c>
      <c r="F2682" s="1" t="str">
        <f>"015403690"</f>
        <v>015403690</v>
      </c>
      <c r="G2682" s="1" t="s">
        <v>1103</v>
      </c>
      <c r="H2682" s="1" t="s">
        <v>16</v>
      </c>
      <c r="I2682" s="4" t="str">
        <f>"1"</f>
        <v>1</v>
      </c>
      <c r="J2682" s="2" t="str">
        <f>"342"</f>
        <v>342</v>
      </c>
      <c r="K2682" s="3">
        <v>46126</v>
      </c>
      <c r="L2682" s="3">
        <v>46127</v>
      </c>
      <c r="M2682" s="1" t="s">
        <v>5644</v>
      </c>
      <c r="N2682" s="1" t="s">
        <v>5643</v>
      </c>
    </row>
    <row r="2683" spans="1:14" s="1" customFormat="1" x14ac:dyDescent="0.35">
      <c r="A2683" s="1" t="s">
        <v>5216</v>
      </c>
      <c r="B2683" s="1" t="s">
        <v>4875</v>
      </c>
      <c r="C2683" s="1" t="s">
        <v>5640</v>
      </c>
      <c r="D2683" s="1" t="s">
        <v>5645</v>
      </c>
      <c r="E2683" s="1" t="str">
        <f>"1240"</f>
        <v>1240</v>
      </c>
      <c r="F2683" s="1" t="str">
        <f>"015403690"</f>
        <v>015403690</v>
      </c>
      <c r="G2683" s="1" t="s">
        <v>1103</v>
      </c>
      <c r="H2683" s="1" t="s">
        <v>16</v>
      </c>
      <c r="I2683" s="4" t="str">
        <f>"1"</f>
        <v>1</v>
      </c>
      <c r="J2683" s="2" t="str">
        <f>"342"</f>
        <v>342</v>
      </c>
      <c r="K2683" s="3">
        <v>46126</v>
      </c>
      <c r="L2683" s="3">
        <v>46127</v>
      </c>
      <c r="M2683" s="1" t="s">
        <v>5644</v>
      </c>
      <c r="N2683" s="1" t="s">
        <v>5643</v>
      </c>
    </row>
    <row r="2684" spans="1:14" s="1" customFormat="1" x14ac:dyDescent="0.35">
      <c r="A2684" s="1" t="s">
        <v>5171</v>
      </c>
      <c r="B2684" s="1" t="s">
        <v>4875</v>
      </c>
      <c r="C2684" s="1" t="s">
        <v>5640</v>
      </c>
      <c r="D2684" s="1" t="s">
        <v>5642</v>
      </c>
      <c r="E2684" s="1" t="str">
        <f>"1240"</f>
        <v>1240</v>
      </c>
      <c r="F2684" s="1" t="str">
        <f>"014111265"</f>
        <v>014111265</v>
      </c>
      <c r="G2684" s="1" t="s">
        <v>1103</v>
      </c>
      <c r="H2684" s="1" t="s">
        <v>16</v>
      </c>
      <c r="I2684" s="4" t="str">
        <f>"1"</f>
        <v>1</v>
      </c>
      <c r="J2684" s="2" t="str">
        <f>"339"</f>
        <v>339</v>
      </c>
      <c r="K2684" s="3">
        <v>46115</v>
      </c>
      <c r="L2684" s="3">
        <v>46128</v>
      </c>
      <c r="M2684" s="1" t="s">
        <v>5641</v>
      </c>
      <c r="N2684" s="1" t="s">
        <v>5637</v>
      </c>
    </row>
    <row r="2685" spans="1:14" s="1" customFormat="1" x14ac:dyDescent="0.35">
      <c r="A2685" s="1" t="s">
        <v>5171</v>
      </c>
      <c r="B2685" s="1" t="s">
        <v>4875</v>
      </c>
      <c r="C2685" s="1" t="s">
        <v>5640</v>
      </c>
      <c r="D2685" s="1" t="s">
        <v>5639</v>
      </c>
      <c r="E2685" s="1" t="str">
        <f>"1240"</f>
        <v>1240</v>
      </c>
      <c r="F2685" s="1" t="str">
        <f>"014111265"</f>
        <v>014111265</v>
      </c>
      <c r="G2685" s="1" t="s">
        <v>1103</v>
      </c>
      <c r="H2685" s="1" t="s">
        <v>16</v>
      </c>
      <c r="I2685" s="4" t="str">
        <f>"1"</f>
        <v>1</v>
      </c>
      <c r="J2685" s="2" t="str">
        <f>"339"</f>
        <v>339</v>
      </c>
      <c r="K2685" s="3">
        <v>46120</v>
      </c>
      <c r="L2685" s="3">
        <v>46128</v>
      </c>
      <c r="M2685" s="1" t="s">
        <v>5638</v>
      </c>
      <c r="N2685" s="1" t="s">
        <v>5637</v>
      </c>
    </row>
    <row r="2686" spans="1:14" s="1" customFormat="1" x14ac:dyDescent="0.35">
      <c r="A2686" s="1" t="s">
        <v>5171</v>
      </c>
      <c r="B2686" s="1" t="s">
        <v>4875</v>
      </c>
      <c r="C2686" s="1" t="s">
        <v>4963</v>
      </c>
      <c r="D2686" s="1" t="s">
        <v>5636</v>
      </c>
      <c r="E2686" s="1" t="str">
        <f>"2320"</f>
        <v>2320</v>
      </c>
      <c r="F2686" s="1" t="str">
        <f>"010907782"</f>
        <v>010907782</v>
      </c>
      <c r="G2686" s="1" t="s">
        <v>4227</v>
      </c>
      <c r="H2686" s="1" t="s">
        <v>16</v>
      </c>
      <c r="I2686" s="4" t="str">
        <f>"1"</f>
        <v>1</v>
      </c>
      <c r="J2686" s="2" t="str">
        <f>"30485"</f>
        <v>30485</v>
      </c>
      <c r="K2686" s="3">
        <v>46116</v>
      </c>
      <c r="L2686" s="3">
        <v>46130</v>
      </c>
      <c r="M2686" s="1" t="s">
        <v>5635</v>
      </c>
      <c r="N2686" s="1" t="s">
        <v>5634</v>
      </c>
    </row>
    <row r="2687" spans="1:14" s="1" customFormat="1" x14ac:dyDescent="0.35">
      <c r="A2687" s="1" t="s">
        <v>5171</v>
      </c>
      <c r="B2687" s="1" t="s">
        <v>4875</v>
      </c>
      <c r="C2687" s="1" t="s">
        <v>4963</v>
      </c>
      <c r="D2687" s="1" t="s">
        <v>5633</v>
      </c>
      <c r="E2687" s="1" t="str">
        <f>"2330"</f>
        <v>2330</v>
      </c>
      <c r="F2687" s="1" t="s">
        <v>70</v>
      </c>
      <c r="G2687" s="1" t="s">
        <v>71</v>
      </c>
      <c r="H2687" s="1" t="s">
        <v>16</v>
      </c>
      <c r="I2687" s="4" t="str">
        <f>"1"</f>
        <v>1</v>
      </c>
      <c r="J2687" s="2" t="str">
        <f>"9000"</f>
        <v>9000</v>
      </c>
      <c r="K2687" s="3">
        <v>46118</v>
      </c>
      <c r="L2687" s="3">
        <v>46130</v>
      </c>
      <c r="M2687" s="1" t="s">
        <v>5632</v>
      </c>
      <c r="N2687" s="1" t="s">
        <v>4981</v>
      </c>
    </row>
    <row r="2688" spans="1:14" s="1" customFormat="1" x14ac:dyDescent="0.35">
      <c r="A2688" s="1" t="s">
        <v>5171</v>
      </c>
      <c r="B2688" s="1" t="s">
        <v>4875</v>
      </c>
      <c r="C2688" s="1" t="s">
        <v>4963</v>
      </c>
      <c r="D2688" s="1" t="s">
        <v>5631</v>
      </c>
      <c r="E2688" s="1" t="str">
        <f>"4240"</f>
        <v>4240</v>
      </c>
      <c r="F2688" s="1" t="str">
        <f>"015311165"</f>
        <v>015311165</v>
      </c>
      <c r="G2688" s="1" t="s">
        <v>5630</v>
      </c>
      <c r="H2688" s="1" t="s">
        <v>215</v>
      </c>
      <c r="I2688" s="4" t="str">
        <f>"2"</f>
        <v>2</v>
      </c>
      <c r="J2688" s="2">
        <v>63059.38</v>
      </c>
      <c r="K2688" s="3">
        <v>46133</v>
      </c>
      <c r="L2688" s="3">
        <v>46133</v>
      </c>
      <c r="M2688" s="1" t="s">
        <v>5469</v>
      </c>
      <c r="N2688" s="1" t="s">
        <v>5629</v>
      </c>
    </row>
    <row r="2689" spans="1:14" s="1" customFormat="1" x14ac:dyDescent="0.35">
      <c r="A2689" s="1" t="s">
        <v>5171</v>
      </c>
      <c r="B2689" s="1" t="s">
        <v>4875</v>
      </c>
      <c r="C2689" s="1" t="s">
        <v>4926</v>
      </c>
      <c r="D2689" s="1" t="s">
        <v>5628</v>
      </c>
      <c r="E2689" s="1" t="str">
        <f>"3930"</f>
        <v>3930</v>
      </c>
      <c r="F2689" s="1" t="s">
        <v>1476</v>
      </c>
      <c r="G2689" s="1" t="s">
        <v>1477</v>
      </c>
      <c r="H2689" s="1" t="s">
        <v>16</v>
      </c>
      <c r="I2689" s="4" t="str">
        <f>"1"</f>
        <v>1</v>
      </c>
      <c r="J2689" s="2" t="str">
        <f>"15000"</f>
        <v>15000</v>
      </c>
      <c r="K2689" s="3">
        <v>46132</v>
      </c>
      <c r="L2689" s="3">
        <v>46134</v>
      </c>
      <c r="M2689" s="1" t="s">
        <v>5627</v>
      </c>
      <c r="N2689" s="1" t="s">
        <v>5626</v>
      </c>
    </row>
    <row r="2690" spans="1:14" s="1" customFormat="1" x14ac:dyDescent="0.35">
      <c r="A2690" s="1" t="s">
        <v>5171</v>
      </c>
      <c r="B2690" s="1" t="s">
        <v>4875</v>
      </c>
      <c r="C2690" s="1" t="s">
        <v>4921</v>
      </c>
      <c r="D2690" s="1" t="s">
        <v>5625</v>
      </c>
      <c r="E2690" s="1" t="str">
        <f>"6230"</f>
        <v>6230</v>
      </c>
      <c r="F2690" s="1" t="str">
        <f>"003835537"</f>
        <v>003835537</v>
      </c>
      <c r="G2690" s="1" t="s">
        <v>3215</v>
      </c>
      <c r="H2690" s="1" t="s">
        <v>458</v>
      </c>
      <c r="I2690" s="4" t="str">
        <f>"1"</f>
        <v>1</v>
      </c>
      <c r="J2690" s="2" t="str">
        <f>"600"</f>
        <v>600</v>
      </c>
      <c r="K2690" s="3">
        <v>46128</v>
      </c>
      <c r="L2690" s="3">
        <v>46135</v>
      </c>
      <c r="M2690" s="1" t="s">
        <v>5624</v>
      </c>
      <c r="N2690" s="1" t="s">
        <v>5494</v>
      </c>
    </row>
    <row r="2691" spans="1:14" s="1" customFormat="1" x14ac:dyDescent="0.35">
      <c r="A2691" s="1" t="s">
        <v>5171</v>
      </c>
      <c r="B2691" s="1" t="s">
        <v>4875</v>
      </c>
      <c r="C2691" s="1" t="s">
        <v>4921</v>
      </c>
      <c r="D2691" s="1" t="s">
        <v>5623</v>
      </c>
      <c r="E2691" s="1" t="str">
        <f>"6230"</f>
        <v>6230</v>
      </c>
      <c r="F2691" s="1" t="str">
        <f>"003835537"</f>
        <v>003835537</v>
      </c>
      <c r="G2691" s="1" t="s">
        <v>3215</v>
      </c>
      <c r="H2691" s="1" t="s">
        <v>458</v>
      </c>
      <c r="I2691" s="4" t="str">
        <f>"1"</f>
        <v>1</v>
      </c>
      <c r="J2691" s="2" t="str">
        <f>"600"</f>
        <v>600</v>
      </c>
      <c r="K2691" s="3">
        <v>46128</v>
      </c>
      <c r="L2691" s="3">
        <v>46135</v>
      </c>
      <c r="M2691" s="1" t="s">
        <v>5622</v>
      </c>
      <c r="N2691" s="1" t="s">
        <v>5494</v>
      </c>
    </row>
    <row r="2692" spans="1:14" s="1" customFormat="1" x14ac:dyDescent="0.35">
      <c r="A2692" s="1" t="s">
        <v>5171</v>
      </c>
      <c r="B2692" s="1" t="s">
        <v>4875</v>
      </c>
      <c r="C2692" s="1" t="s">
        <v>4921</v>
      </c>
      <c r="D2692" s="1" t="s">
        <v>5621</v>
      </c>
      <c r="E2692" s="1" t="str">
        <f>"6230"</f>
        <v>6230</v>
      </c>
      <c r="F2692" s="1" t="str">
        <f>"003835537"</f>
        <v>003835537</v>
      </c>
      <c r="G2692" s="1" t="s">
        <v>3215</v>
      </c>
      <c r="H2692" s="1" t="s">
        <v>458</v>
      </c>
      <c r="I2692" s="4" t="str">
        <f>"1"</f>
        <v>1</v>
      </c>
      <c r="J2692" s="2" t="str">
        <f>"600"</f>
        <v>600</v>
      </c>
      <c r="K2692" s="3">
        <v>46128</v>
      </c>
      <c r="L2692" s="3">
        <v>46135</v>
      </c>
      <c r="M2692" s="1" t="s">
        <v>5620</v>
      </c>
      <c r="N2692" s="1" t="s">
        <v>5494</v>
      </c>
    </row>
    <row r="2693" spans="1:14" s="1" customFormat="1" x14ac:dyDescent="0.35">
      <c r="A2693" s="1" t="s">
        <v>5171</v>
      </c>
      <c r="B2693" s="1" t="s">
        <v>4875</v>
      </c>
      <c r="C2693" s="1" t="s">
        <v>4921</v>
      </c>
      <c r="D2693" s="1" t="s">
        <v>5619</v>
      </c>
      <c r="E2693" s="1" t="str">
        <f>"6230"</f>
        <v>6230</v>
      </c>
      <c r="F2693" s="1" t="str">
        <f>"003835537"</f>
        <v>003835537</v>
      </c>
      <c r="G2693" s="1" t="s">
        <v>3215</v>
      </c>
      <c r="H2693" s="1" t="s">
        <v>458</v>
      </c>
      <c r="I2693" s="4" t="str">
        <f>"1"</f>
        <v>1</v>
      </c>
      <c r="J2693" s="2" t="str">
        <f>"600"</f>
        <v>600</v>
      </c>
      <c r="K2693" s="3">
        <v>46128</v>
      </c>
      <c r="L2693" s="3">
        <v>46135</v>
      </c>
      <c r="M2693" s="1" t="s">
        <v>5618</v>
      </c>
      <c r="N2693" s="1" t="s">
        <v>5494</v>
      </c>
    </row>
    <row r="2694" spans="1:14" s="1" customFormat="1" x14ac:dyDescent="0.35">
      <c r="A2694" s="1" t="s">
        <v>5171</v>
      </c>
      <c r="B2694" s="1" t="s">
        <v>4875</v>
      </c>
      <c r="C2694" s="1" t="s">
        <v>4921</v>
      </c>
      <c r="D2694" s="1" t="s">
        <v>5617</v>
      </c>
      <c r="E2694" s="1" t="str">
        <f>"6230"</f>
        <v>6230</v>
      </c>
      <c r="F2694" s="1" t="str">
        <f>"003835537"</f>
        <v>003835537</v>
      </c>
      <c r="G2694" s="1" t="s">
        <v>3215</v>
      </c>
      <c r="H2694" s="1" t="s">
        <v>458</v>
      </c>
      <c r="I2694" s="4" t="str">
        <f>"1"</f>
        <v>1</v>
      </c>
      <c r="J2694" s="2" t="str">
        <f>"600"</f>
        <v>600</v>
      </c>
      <c r="K2694" s="3">
        <v>46128</v>
      </c>
      <c r="L2694" s="3">
        <v>46135</v>
      </c>
      <c r="M2694" s="1" t="s">
        <v>5616</v>
      </c>
      <c r="N2694" s="1" t="s">
        <v>5494</v>
      </c>
    </row>
    <row r="2695" spans="1:14" s="1" customFormat="1" x14ac:dyDescent="0.35">
      <c r="A2695" s="1" t="s">
        <v>5171</v>
      </c>
      <c r="B2695" s="1" t="s">
        <v>4875</v>
      </c>
      <c r="C2695" s="1" t="s">
        <v>4921</v>
      </c>
      <c r="D2695" s="1" t="s">
        <v>5615</v>
      </c>
      <c r="E2695" s="1" t="str">
        <f>"6230"</f>
        <v>6230</v>
      </c>
      <c r="F2695" s="1" t="str">
        <f>"003835537"</f>
        <v>003835537</v>
      </c>
      <c r="G2695" s="1" t="s">
        <v>3215</v>
      </c>
      <c r="H2695" s="1" t="s">
        <v>458</v>
      </c>
      <c r="I2695" s="4" t="str">
        <f>"1"</f>
        <v>1</v>
      </c>
      <c r="J2695" s="2" t="str">
        <f>"600"</f>
        <v>600</v>
      </c>
      <c r="K2695" s="3">
        <v>46128</v>
      </c>
      <c r="L2695" s="3">
        <v>46135</v>
      </c>
      <c r="M2695" s="1" t="s">
        <v>5614</v>
      </c>
      <c r="N2695" s="1" t="s">
        <v>5494</v>
      </c>
    </row>
    <row r="2696" spans="1:14" s="1" customFormat="1" x14ac:dyDescent="0.35">
      <c r="A2696" s="1" t="s">
        <v>5171</v>
      </c>
      <c r="B2696" s="1" t="s">
        <v>4875</v>
      </c>
      <c r="C2696" s="1" t="s">
        <v>4963</v>
      </c>
      <c r="D2696" s="1" t="s">
        <v>5613</v>
      </c>
      <c r="E2696" s="1" t="str">
        <f>"2320"</f>
        <v>2320</v>
      </c>
      <c r="F2696" s="1" t="str">
        <f>"010907880"</f>
        <v>010907880</v>
      </c>
      <c r="G2696" s="1" t="s">
        <v>271</v>
      </c>
      <c r="H2696" s="1" t="s">
        <v>16</v>
      </c>
      <c r="I2696" s="4" t="str">
        <f>"2"</f>
        <v>2</v>
      </c>
      <c r="J2696" s="2" t="str">
        <f>"11198"</f>
        <v>11198</v>
      </c>
      <c r="K2696" s="3">
        <v>46125</v>
      </c>
      <c r="L2696" s="3">
        <v>46137</v>
      </c>
      <c r="M2696" s="1" t="s">
        <v>5612</v>
      </c>
      <c r="N2696" s="1" t="s">
        <v>5611</v>
      </c>
    </row>
    <row r="2697" spans="1:14" s="1" customFormat="1" x14ac:dyDescent="0.35">
      <c r="A2697" s="1" t="s">
        <v>5216</v>
      </c>
      <c r="B2697" s="1" t="s">
        <v>4875</v>
      </c>
      <c r="C2697" s="1" t="s">
        <v>4900</v>
      </c>
      <c r="D2697" s="1" t="s">
        <v>5610</v>
      </c>
      <c r="E2697" s="1" t="str">
        <f>"2340"</f>
        <v>2340</v>
      </c>
      <c r="F2697" s="1" t="s">
        <v>84</v>
      </c>
      <c r="G2697" s="1" t="s">
        <v>85</v>
      </c>
      <c r="H2697" s="1" t="s">
        <v>16</v>
      </c>
      <c r="I2697" s="4" t="str">
        <f>"1"</f>
        <v>1</v>
      </c>
      <c r="J2697" s="2">
        <v>31905.14</v>
      </c>
      <c r="K2697" s="3">
        <v>46137</v>
      </c>
      <c r="L2697" s="3">
        <v>46139</v>
      </c>
      <c r="M2697" s="1" t="s">
        <v>5608</v>
      </c>
      <c r="N2697" s="1" t="s">
        <v>5584</v>
      </c>
    </row>
    <row r="2698" spans="1:14" s="1" customFormat="1" x14ac:dyDescent="0.35">
      <c r="A2698" s="1" t="s">
        <v>5216</v>
      </c>
      <c r="B2698" s="1" t="s">
        <v>4875</v>
      </c>
      <c r="C2698" s="1" t="s">
        <v>4963</v>
      </c>
      <c r="D2698" s="1" t="s">
        <v>5609</v>
      </c>
      <c r="E2698" s="1" t="str">
        <f>"2340"</f>
        <v>2340</v>
      </c>
      <c r="F2698" s="1" t="s">
        <v>84</v>
      </c>
      <c r="G2698" s="1" t="s">
        <v>85</v>
      </c>
      <c r="H2698" s="1" t="s">
        <v>16</v>
      </c>
      <c r="I2698" s="4" t="str">
        <f>"1"</f>
        <v>1</v>
      </c>
      <c r="J2698" s="2">
        <v>31905.14</v>
      </c>
      <c r="K2698" s="3">
        <v>46137</v>
      </c>
      <c r="L2698" s="3">
        <v>46139</v>
      </c>
      <c r="M2698" s="1" t="s">
        <v>5608</v>
      </c>
      <c r="N2698" s="1" t="s">
        <v>5572</v>
      </c>
    </row>
    <row r="2699" spans="1:14" s="1" customFormat="1" x14ac:dyDescent="0.35">
      <c r="A2699" s="1" t="s">
        <v>5171</v>
      </c>
      <c r="B2699" s="1" t="s">
        <v>4875</v>
      </c>
      <c r="C2699" s="1" t="s">
        <v>4886</v>
      </c>
      <c r="D2699" s="1" t="s">
        <v>5607</v>
      </c>
      <c r="E2699" s="1" t="str">
        <f>"2320"</f>
        <v>2320</v>
      </c>
      <c r="F2699" s="1" t="str">
        <f>"010907892"</f>
        <v>010907892</v>
      </c>
      <c r="G2699" s="1" t="s">
        <v>271</v>
      </c>
      <c r="H2699" s="1" t="s">
        <v>16</v>
      </c>
      <c r="I2699" s="4" t="str">
        <f>"1"</f>
        <v>1</v>
      </c>
      <c r="J2699" s="2" t="str">
        <f>"23000"</f>
        <v>23000</v>
      </c>
      <c r="K2699" s="3">
        <v>46138</v>
      </c>
      <c r="L2699" s="3">
        <v>46140</v>
      </c>
      <c r="M2699" s="1" t="s">
        <v>5606</v>
      </c>
      <c r="N2699" s="1" t="s">
        <v>5605</v>
      </c>
    </row>
    <row r="2700" spans="1:14" s="1" customFormat="1" x14ac:dyDescent="0.35">
      <c r="A2700" s="1" t="s">
        <v>5171</v>
      </c>
      <c r="B2700" s="1" t="s">
        <v>4875</v>
      </c>
      <c r="C2700" s="1" t="s">
        <v>4963</v>
      </c>
      <c r="D2700" s="1" t="s">
        <v>5604</v>
      </c>
      <c r="E2700" s="1" t="str">
        <f>"2320"</f>
        <v>2320</v>
      </c>
      <c r="F2700" s="1" t="str">
        <f>"015959568"</f>
        <v>015959568</v>
      </c>
      <c r="G2700" s="1" t="s">
        <v>5404</v>
      </c>
      <c r="H2700" s="1" t="s">
        <v>16</v>
      </c>
      <c r="I2700" s="4" t="str">
        <f>"1"</f>
        <v>1</v>
      </c>
      <c r="J2700" s="2" t="str">
        <f>"31613"</f>
        <v>31613</v>
      </c>
      <c r="K2700" s="3">
        <v>46130</v>
      </c>
      <c r="L2700" s="3">
        <v>46140</v>
      </c>
      <c r="M2700" s="1" t="s">
        <v>5603</v>
      </c>
      <c r="N2700" s="1" t="s">
        <v>5602</v>
      </c>
    </row>
    <row r="2701" spans="1:14" s="1" customFormat="1" x14ac:dyDescent="0.35">
      <c r="A2701" s="1" t="s">
        <v>5171</v>
      </c>
      <c r="B2701" s="1" t="s">
        <v>4875</v>
      </c>
      <c r="C2701" s="1" t="s">
        <v>4963</v>
      </c>
      <c r="D2701" s="1" t="s">
        <v>5601</v>
      </c>
      <c r="E2701" s="1" t="str">
        <f>"2320"</f>
        <v>2320</v>
      </c>
      <c r="F2701" s="1" t="str">
        <f>"010907892"</f>
        <v>010907892</v>
      </c>
      <c r="G2701" s="1" t="s">
        <v>271</v>
      </c>
      <c r="H2701" s="1" t="s">
        <v>16</v>
      </c>
      <c r="I2701" s="4" t="str">
        <f>"1"</f>
        <v>1</v>
      </c>
      <c r="J2701" s="2" t="str">
        <f>"23000"</f>
        <v>23000</v>
      </c>
      <c r="K2701" s="3">
        <v>46137</v>
      </c>
      <c r="L2701" s="3">
        <v>46140</v>
      </c>
      <c r="M2701" s="1" t="s">
        <v>5600</v>
      </c>
      <c r="N2701" s="1" t="s">
        <v>5599</v>
      </c>
    </row>
    <row r="2702" spans="1:14" s="1" customFormat="1" x14ac:dyDescent="0.35">
      <c r="A2702" s="1" t="s">
        <v>5216</v>
      </c>
      <c r="B2702" s="1" t="s">
        <v>4875</v>
      </c>
      <c r="C2702" s="1" t="s">
        <v>4900</v>
      </c>
      <c r="D2702" s="1" t="s">
        <v>5598</v>
      </c>
      <c r="E2702" s="1" t="str">
        <f>"1550"</f>
        <v>1550</v>
      </c>
      <c r="F2702" s="1" t="str">
        <f>"016967313"</f>
        <v>016967313</v>
      </c>
      <c r="G2702" s="1" t="s">
        <v>1417</v>
      </c>
      <c r="H2702" s="1" t="s">
        <v>16</v>
      </c>
      <c r="I2702" s="4" t="str">
        <f>"2"</f>
        <v>2</v>
      </c>
      <c r="J2702" s="2" t="str">
        <f>"46800"</f>
        <v>46800</v>
      </c>
      <c r="K2702" s="3">
        <v>46136</v>
      </c>
      <c r="L2702" s="3">
        <v>46142</v>
      </c>
      <c r="N2702" s="1" t="s">
        <v>5597</v>
      </c>
    </row>
    <row r="2703" spans="1:14" s="1" customFormat="1" x14ac:dyDescent="0.35">
      <c r="A2703" s="1" t="s">
        <v>5171</v>
      </c>
      <c r="B2703" s="1" t="s">
        <v>4875</v>
      </c>
      <c r="C2703" s="1" t="s">
        <v>4886</v>
      </c>
      <c r="D2703" s="1" t="s">
        <v>5596</v>
      </c>
      <c r="E2703" s="1" t="str">
        <f>"1005"</f>
        <v>1005</v>
      </c>
      <c r="F2703" s="1" t="str">
        <f>"014536655"</f>
        <v>014536655</v>
      </c>
      <c r="G2703" s="1" t="s">
        <v>1979</v>
      </c>
      <c r="H2703" s="1" t="s">
        <v>16</v>
      </c>
      <c r="I2703" s="4" t="str">
        <f>"12"</f>
        <v>12</v>
      </c>
      <c r="J2703" s="2">
        <v>4.9400000000000004</v>
      </c>
      <c r="K2703" s="3">
        <v>46119</v>
      </c>
      <c r="L2703" s="3">
        <v>46143</v>
      </c>
      <c r="M2703" s="1" t="s">
        <v>5595</v>
      </c>
      <c r="N2703" s="1" t="s">
        <v>5594</v>
      </c>
    </row>
    <row r="2704" spans="1:14" s="1" customFormat="1" x14ac:dyDescent="0.35">
      <c r="A2704" s="1" t="s">
        <v>5171</v>
      </c>
      <c r="B2704" s="1" t="s">
        <v>4875</v>
      </c>
      <c r="C2704" s="1" t="s">
        <v>4886</v>
      </c>
      <c r="D2704" s="1" t="s">
        <v>5593</v>
      </c>
      <c r="E2704" s="1" t="str">
        <f>"2340"</f>
        <v>2340</v>
      </c>
      <c r="F2704" s="1" t="s">
        <v>84</v>
      </c>
      <c r="G2704" s="1" t="s">
        <v>85</v>
      </c>
      <c r="H2704" s="1" t="s">
        <v>16</v>
      </c>
      <c r="I2704" s="4" t="str">
        <f>"1"</f>
        <v>1</v>
      </c>
      <c r="J2704" s="2">
        <v>31905.14</v>
      </c>
      <c r="K2704" s="3">
        <v>46138</v>
      </c>
      <c r="L2704" s="3">
        <v>46143</v>
      </c>
      <c r="M2704" s="1" t="s">
        <v>5592</v>
      </c>
      <c r="N2704" s="1" t="s">
        <v>5589</v>
      </c>
    </row>
    <row r="2705" spans="1:14" s="1" customFormat="1" x14ac:dyDescent="0.35">
      <c r="A2705" s="1" t="s">
        <v>5171</v>
      </c>
      <c r="B2705" s="1" t="s">
        <v>4875</v>
      </c>
      <c r="C2705" s="1" t="s">
        <v>4886</v>
      </c>
      <c r="D2705" s="1" t="s">
        <v>5591</v>
      </c>
      <c r="E2705" s="1" t="str">
        <f>"2340"</f>
        <v>2340</v>
      </c>
      <c r="F2705" s="1" t="s">
        <v>84</v>
      </c>
      <c r="G2705" s="1" t="s">
        <v>85</v>
      </c>
      <c r="H2705" s="1" t="s">
        <v>16</v>
      </c>
      <c r="I2705" s="4" t="str">
        <f>"1"</f>
        <v>1</v>
      </c>
      <c r="J2705" s="2">
        <v>31905.14</v>
      </c>
      <c r="K2705" s="3">
        <v>46138</v>
      </c>
      <c r="L2705" s="3">
        <v>46143</v>
      </c>
      <c r="M2705" s="1" t="s">
        <v>5590</v>
      </c>
      <c r="N2705" s="1" t="s">
        <v>5589</v>
      </c>
    </row>
    <row r="2706" spans="1:14" s="1" customFormat="1" x14ac:dyDescent="0.35">
      <c r="A2706" s="1" t="s">
        <v>5171</v>
      </c>
      <c r="B2706" s="1" t="s">
        <v>4875</v>
      </c>
      <c r="C2706" s="1" t="s">
        <v>4900</v>
      </c>
      <c r="D2706" s="1" t="s">
        <v>5588</v>
      </c>
      <c r="E2706" s="1" t="str">
        <f>"2340"</f>
        <v>2340</v>
      </c>
      <c r="F2706" s="1" t="s">
        <v>84</v>
      </c>
      <c r="G2706" s="1" t="s">
        <v>85</v>
      </c>
      <c r="H2706" s="1" t="s">
        <v>16</v>
      </c>
      <c r="I2706" s="4" t="str">
        <f>"1"</f>
        <v>1</v>
      </c>
      <c r="J2706" s="2">
        <v>31905.14</v>
      </c>
      <c r="K2706" s="3">
        <v>46137</v>
      </c>
      <c r="L2706" s="3">
        <v>46143</v>
      </c>
      <c r="M2706" s="1" t="s">
        <v>5587</v>
      </c>
      <c r="N2706" s="1" t="s">
        <v>5584</v>
      </c>
    </row>
    <row r="2707" spans="1:14" s="1" customFormat="1" x14ac:dyDescent="0.35">
      <c r="A2707" s="1" t="s">
        <v>5171</v>
      </c>
      <c r="B2707" s="1" t="s">
        <v>4875</v>
      </c>
      <c r="C2707" s="1" t="s">
        <v>4900</v>
      </c>
      <c r="D2707" s="1" t="s">
        <v>5586</v>
      </c>
      <c r="E2707" s="1" t="str">
        <f>"2340"</f>
        <v>2340</v>
      </c>
      <c r="F2707" s="1" t="s">
        <v>84</v>
      </c>
      <c r="G2707" s="1" t="s">
        <v>85</v>
      </c>
      <c r="H2707" s="1" t="s">
        <v>16</v>
      </c>
      <c r="I2707" s="4" t="str">
        <f>"1"</f>
        <v>1</v>
      </c>
      <c r="J2707" s="2">
        <v>31905.14</v>
      </c>
      <c r="K2707" s="3">
        <v>46137</v>
      </c>
      <c r="L2707" s="3">
        <v>46143</v>
      </c>
      <c r="M2707" s="1" t="s">
        <v>5585</v>
      </c>
      <c r="N2707" s="1" t="s">
        <v>5584</v>
      </c>
    </row>
    <row r="2708" spans="1:14" s="1" customFormat="1" x14ac:dyDescent="0.35">
      <c r="A2708" s="1" t="s">
        <v>5171</v>
      </c>
      <c r="B2708" s="1" t="s">
        <v>4875</v>
      </c>
      <c r="C2708" s="1" t="s">
        <v>4926</v>
      </c>
      <c r="D2708" s="1" t="s">
        <v>5583</v>
      </c>
      <c r="E2708" s="1" t="str">
        <f>"5180"</f>
        <v>5180</v>
      </c>
      <c r="F2708" s="1" t="s">
        <v>88</v>
      </c>
      <c r="G2708" s="1" t="s">
        <v>89</v>
      </c>
      <c r="H2708" s="1" t="s">
        <v>16</v>
      </c>
      <c r="I2708" s="4" t="str">
        <f>"3"</f>
        <v>3</v>
      </c>
      <c r="J2708" s="2" t="str">
        <f>"500"</f>
        <v>500</v>
      </c>
      <c r="K2708" s="3">
        <v>46141</v>
      </c>
      <c r="L2708" s="3">
        <v>46143</v>
      </c>
      <c r="M2708" s="1" t="s">
        <v>5582</v>
      </c>
      <c r="N2708" s="1" t="s">
        <v>4941</v>
      </c>
    </row>
    <row r="2709" spans="1:14" s="1" customFormat="1" x14ac:dyDescent="0.35">
      <c r="A2709" s="1" t="s">
        <v>5171</v>
      </c>
      <c r="B2709" s="1" t="s">
        <v>4875</v>
      </c>
      <c r="C2709" s="1" t="s">
        <v>4963</v>
      </c>
      <c r="D2709" s="1" t="s">
        <v>5581</v>
      </c>
      <c r="E2709" s="1" t="str">
        <f>"2340"</f>
        <v>2340</v>
      </c>
      <c r="F2709" s="1" t="s">
        <v>84</v>
      </c>
      <c r="G2709" s="1" t="s">
        <v>85</v>
      </c>
      <c r="H2709" s="1" t="s">
        <v>16</v>
      </c>
      <c r="I2709" s="4" t="str">
        <f>"1"</f>
        <v>1</v>
      </c>
      <c r="J2709" s="2">
        <v>31905.14</v>
      </c>
      <c r="K2709" s="3">
        <v>46137</v>
      </c>
      <c r="L2709" s="3">
        <v>46143</v>
      </c>
      <c r="M2709" s="1" t="s">
        <v>5580</v>
      </c>
      <c r="N2709" s="1" t="s">
        <v>5572</v>
      </c>
    </row>
    <row r="2710" spans="1:14" s="1" customFormat="1" x14ac:dyDescent="0.35">
      <c r="A2710" s="1" t="s">
        <v>5171</v>
      </c>
      <c r="B2710" s="1" t="s">
        <v>4875</v>
      </c>
      <c r="C2710" s="1" t="s">
        <v>4963</v>
      </c>
      <c r="D2710" s="1" t="s">
        <v>5579</v>
      </c>
      <c r="E2710" s="1" t="str">
        <f>"2340"</f>
        <v>2340</v>
      </c>
      <c r="F2710" s="1" t="s">
        <v>84</v>
      </c>
      <c r="G2710" s="1" t="s">
        <v>85</v>
      </c>
      <c r="H2710" s="1" t="s">
        <v>16</v>
      </c>
      <c r="I2710" s="4" t="str">
        <f>"1"</f>
        <v>1</v>
      </c>
      <c r="J2710" s="2">
        <v>31905.14</v>
      </c>
      <c r="K2710" s="3">
        <v>46137</v>
      </c>
      <c r="L2710" s="3">
        <v>46143</v>
      </c>
      <c r="M2710" s="1" t="s">
        <v>5578</v>
      </c>
      <c r="N2710" s="1" t="s">
        <v>5572</v>
      </c>
    </row>
    <row r="2711" spans="1:14" s="1" customFormat="1" x14ac:dyDescent="0.35">
      <c r="A2711" s="1" t="s">
        <v>5171</v>
      </c>
      <c r="B2711" s="1" t="s">
        <v>4875</v>
      </c>
      <c r="C2711" s="1" t="s">
        <v>4963</v>
      </c>
      <c r="D2711" s="1" t="s">
        <v>5577</v>
      </c>
      <c r="E2711" s="1" t="str">
        <f>"2330"</f>
        <v>2330</v>
      </c>
      <c r="F2711" s="1" t="s">
        <v>70</v>
      </c>
      <c r="G2711" s="1" t="s">
        <v>71</v>
      </c>
      <c r="H2711" s="1" t="s">
        <v>16</v>
      </c>
      <c r="I2711" s="4" t="str">
        <f>"1"</f>
        <v>1</v>
      </c>
      <c r="J2711" s="2">
        <v>14204.4</v>
      </c>
      <c r="K2711" s="3">
        <v>46137</v>
      </c>
      <c r="L2711" s="3">
        <v>46143</v>
      </c>
      <c r="M2711" s="1" t="s">
        <v>5576</v>
      </c>
      <c r="N2711" s="1" t="s">
        <v>5575</v>
      </c>
    </row>
    <row r="2712" spans="1:14" s="1" customFormat="1" x14ac:dyDescent="0.35">
      <c r="A2712" s="1" t="s">
        <v>5171</v>
      </c>
      <c r="B2712" s="1" t="s">
        <v>4875</v>
      </c>
      <c r="C2712" s="1" t="s">
        <v>4963</v>
      </c>
      <c r="D2712" s="1" t="s">
        <v>5574</v>
      </c>
      <c r="E2712" s="1" t="str">
        <f>"2340"</f>
        <v>2340</v>
      </c>
      <c r="F2712" s="1" t="s">
        <v>84</v>
      </c>
      <c r="G2712" s="1" t="s">
        <v>85</v>
      </c>
      <c r="H2712" s="1" t="s">
        <v>16</v>
      </c>
      <c r="I2712" s="4" t="str">
        <f>"1"</f>
        <v>1</v>
      </c>
      <c r="J2712" s="2">
        <v>31905.14</v>
      </c>
      <c r="K2712" s="3">
        <v>46137</v>
      </c>
      <c r="L2712" s="3">
        <v>46143</v>
      </c>
      <c r="M2712" s="1" t="s">
        <v>5573</v>
      </c>
      <c r="N2712" s="1" t="s">
        <v>5572</v>
      </c>
    </row>
    <row r="2713" spans="1:14" s="1" customFormat="1" x14ac:dyDescent="0.35">
      <c r="A2713" s="1" t="s">
        <v>5171</v>
      </c>
      <c r="B2713" s="1" t="s">
        <v>4875</v>
      </c>
      <c r="C2713" s="1" t="s">
        <v>4926</v>
      </c>
      <c r="D2713" s="1" t="s">
        <v>5571</v>
      </c>
      <c r="E2713" s="1" t="str">
        <f>"8145"</f>
        <v>8145</v>
      </c>
      <c r="F2713" s="1" t="s">
        <v>4960</v>
      </c>
      <c r="G2713" s="1" t="s">
        <v>4961</v>
      </c>
      <c r="H2713" s="1" t="s">
        <v>16</v>
      </c>
      <c r="I2713" s="4" t="str">
        <f>"2"</f>
        <v>2</v>
      </c>
      <c r="J2713" s="2" t="str">
        <f>"500"</f>
        <v>500</v>
      </c>
      <c r="K2713" s="3">
        <v>46139</v>
      </c>
      <c r="L2713" s="3">
        <v>46144</v>
      </c>
      <c r="M2713" s="1" t="s">
        <v>5570</v>
      </c>
      <c r="N2713" s="1" t="s">
        <v>4962</v>
      </c>
    </row>
    <row r="2714" spans="1:14" s="1" customFormat="1" x14ac:dyDescent="0.35">
      <c r="A2714" s="1" t="s">
        <v>5171</v>
      </c>
      <c r="B2714" s="1" t="s">
        <v>4875</v>
      </c>
      <c r="C2714" s="1" t="s">
        <v>4963</v>
      </c>
      <c r="D2714" s="1" t="s">
        <v>5569</v>
      </c>
      <c r="E2714" s="1" t="str">
        <f>"2320"</f>
        <v>2320</v>
      </c>
      <c r="F2714" s="1" t="str">
        <f>"010919076"</f>
        <v>010919076</v>
      </c>
      <c r="G2714" s="1" t="s">
        <v>2303</v>
      </c>
      <c r="H2714" s="1" t="s">
        <v>16</v>
      </c>
      <c r="I2714" s="4" t="str">
        <f>"1"</f>
        <v>1</v>
      </c>
      <c r="J2714" s="2" t="str">
        <f>"18044"</f>
        <v>18044</v>
      </c>
      <c r="K2714" s="3">
        <v>46131</v>
      </c>
      <c r="L2714" s="3">
        <v>46144</v>
      </c>
      <c r="M2714" s="1" t="s">
        <v>5568</v>
      </c>
      <c r="N2714" s="1" t="s">
        <v>5567</v>
      </c>
    </row>
    <row r="2715" spans="1:14" s="1" customFormat="1" x14ac:dyDescent="0.35">
      <c r="A2715" s="1" t="s">
        <v>5171</v>
      </c>
      <c r="B2715" s="1" t="s">
        <v>4875</v>
      </c>
      <c r="C2715" s="1" t="s">
        <v>4963</v>
      </c>
      <c r="D2715" s="1" t="s">
        <v>5566</v>
      </c>
      <c r="E2715" s="1" t="str">
        <f>"2320"</f>
        <v>2320</v>
      </c>
      <c r="F2715" s="1" t="str">
        <f>"010919076"</f>
        <v>010919076</v>
      </c>
      <c r="G2715" s="1" t="s">
        <v>2303</v>
      </c>
      <c r="H2715" s="1" t="s">
        <v>16</v>
      </c>
      <c r="I2715" s="4" t="str">
        <f>"1"</f>
        <v>1</v>
      </c>
      <c r="J2715" s="2" t="str">
        <f>"18044"</f>
        <v>18044</v>
      </c>
      <c r="K2715" s="3">
        <v>46131</v>
      </c>
      <c r="L2715" s="3">
        <v>46144</v>
      </c>
      <c r="M2715" s="1" t="s">
        <v>5565</v>
      </c>
      <c r="N2715" s="1" t="s">
        <v>5564</v>
      </c>
    </row>
    <row r="2716" spans="1:14" s="1" customFormat="1" x14ac:dyDescent="0.35">
      <c r="A2716" s="1" t="s">
        <v>5171</v>
      </c>
      <c r="B2716" s="1" t="s">
        <v>4875</v>
      </c>
      <c r="C2716" s="1" t="s">
        <v>4963</v>
      </c>
      <c r="D2716" s="1" t="s">
        <v>5563</v>
      </c>
      <c r="E2716" s="1" t="str">
        <f>"2330"</f>
        <v>2330</v>
      </c>
      <c r="F2716" s="1" t="s">
        <v>70</v>
      </c>
      <c r="G2716" s="1" t="s">
        <v>71</v>
      </c>
      <c r="H2716" s="1" t="s">
        <v>16</v>
      </c>
      <c r="I2716" s="4" t="str">
        <f>"1"</f>
        <v>1</v>
      </c>
      <c r="J2716" s="2" t="str">
        <f>"6500"</f>
        <v>6500</v>
      </c>
      <c r="K2716" s="3">
        <v>46144</v>
      </c>
      <c r="L2716" s="3">
        <v>46147</v>
      </c>
      <c r="M2716" s="1" t="s">
        <v>5167</v>
      </c>
      <c r="N2716" s="1" t="s">
        <v>5562</v>
      </c>
    </row>
    <row r="2717" spans="1:14" s="1" customFormat="1" x14ac:dyDescent="0.35">
      <c r="A2717" s="1" t="s">
        <v>0</v>
      </c>
      <c r="B2717" s="1" t="s">
        <v>4875</v>
      </c>
      <c r="C2717" s="1" t="s">
        <v>4963</v>
      </c>
      <c r="D2717" s="1" t="s">
        <v>5561</v>
      </c>
      <c r="E2717" s="1" t="str">
        <f>"2410"</f>
        <v>2410</v>
      </c>
      <c r="F2717" s="1" t="str">
        <f>"004511003"</f>
        <v>004511003</v>
      </c>
      <c r="G2717" s="1" t="s">
        <v>989</v>
      </c>
      <c r="H2717" s="1" t="s">
        <v>16</v>
      </c>
      <c r="I2717" s="4" t="str">
        <f>"1"</f>
        <v>1</v>
      </c>
      <c r="J2717" s="2" t="str">
        <f>"190189"</f>
        <v>190189</v>
      </c>
      <c r="K2717" s="3">
        <v>46144</v>
      </c>
      <c r="L2717" s="3">
        <v>46148</v>
      </c>
      <c r="M2717" s="1" t="s">
        <v>5560</v>
      </c>
      <c r="N2717" s="1" t="s">
        <v>5559</v>
      </c>
    </row>
    <row r="2718" spans="1:14" s="1" customFormat="1" x14ac:dyDescent="0.35">
      <c r="A2718" s="1" t="s">
        <v>5171</v>
      </c>
      <c r="B2718" s="1" t="s">
        <v>4875</v>
      </c>
      <c r="C2718" s="1" t="s">
        <v>4876</v>
      </c>
      <c r="D2718" s="1" t="s">
        <v>5558</v>
      </c>
      <c r="E2718" s="1" t="str">
        <f>"5855"</f>
        <v>5855</v>
      </c>
      <c r="F2718" s="1" t="str">
        <f>"015959294"</f>
        <v>015959294</v>
      </c>
      <c r="G2718" s="1" t="s">
        <v>175</v>
      </c>
      <c r="H2718" s="1" t="s">
        <v>16</v>
      </c>
      <c r="I2718" s="4" t="str">
        <f>"2"</f>
        <v>2</v>
      </c>
      <c r="J2718" s="2" t="str">
        <f>"18055"</f>
        <v>18055</v>
      </c>
      <c r="K2718" s="3">
        <v>46147</v>
      </c>
      <c r="L2718" s="3">
        <v>46148</v>
      </c>
      <c r="N2718" s="1" t="s">
        <v>5557</v>
      </c>
    </row>
    <row r="2719" spans="1:14" s="1" customFormat="1" x14ac:dyDescent="0.35">
      <c r="A2719" s="1" t="s">
        <v>5171</v>
      </c>
      <c r="B2719" s="1" t="s">
        <v>4875</v>
      </c>
      <c r="C2719" s="1" t="s">
        <v>4963</v>
      </c>
      <c r="D2719" s="1" t="s">
        <v>5556</v>
      </c>
      <c r="E2719" s="1" t="str">
        <f>"2320"</f>
        <v>2320</v>
      </c>
      <c r="F2719" s="1" t="str">
        <f>"013543386"</f>
        <v>013543386</v>
      </c>
      <c r="G2719" s="1" t="s">
        <v>271</v>
      </c>
      <c r="H2719" s="1" t="s">
        <v>16</v>
      </c>
      <c r="I2719" s="4" t="str">
        <f>"1"</f>
        <v>1</v>
      </c>
      <c r="J2719" s="2" t="str">
        <f>"128076"</f>
        <v>128076</v>
      </c>
      <c r="K2719" s="3">
        <v>46130</v>
      </c>
      <c r="L2719" s="3">
        <v>46148</v>
      </c>
      <c r="M2719" s="1" t="s">
        <v>5555</v>
      </c>
      <c r="N2719" s="1" t="s">
        <v>5554</v>
      </c>
    </row>
    <row r="2720" spans="1:14" s="1" customFormat="1" x14ac:dyDescent="0.35">
      <c r="A2720" s="1" t="s">
        <v>5171</v>
      </c>
      <c r="B2720" s="1" t="s">
        <v>4875</v>
      </c>
      <c r="C2720" s="1" t="s">
        <v>4921</v>
      </c>
      <c r="D2720" s="1" t="s">
        <v>5553</v>
      </c>
      <c r="E2720" s="1" t="str">
        <f>"2320"</f>
        <v>2320</v>
      </c>
      <c r="F2720" s="1" t="str">
        <f>"011274800"</f>
        <v>011274800</v>
      </c>
      <c r="G2720" s="1" t="s">
        <v>271</v>
      </c>
      <c r="H2720" s="1" t="s">
        <v>16</v>
      </c>
      <c r="I2720" s="4" t="str">
        <f>"1"</f>
        <v>1</v>
      </c>
      <c r="J2720" s="2" t="str">
        <f>"7895"</f>
        <v>7895</v>
      </c>
      <c r="K2720" s="3">
        <v>46128</v>
      </c>
      <c r="L2720" s="3">
        <v>46153</v>
      </c>
      <c r="M2720" s="1" t="s">
        <v>5552</v>
      </c>
      <c r="N2720" s="1" t="s">
        <v>5551</v>
      </c>
    </row>
    <row r="2721" spans="1:14" s="1" customFormat="1" x14ac:dyDescent="0.35">
      <c r="A2721" s="1" t="s">
        <v>5171</v>
      </c>
      <c r="B2721" s="1" t="s">
        <v>4875</v>
      </c>
      <c r="C2721" s="1" t="s">
        <v>4963</v>
      </c>
      <c r="D2721" s="1" t="s">
        <v>5550</v>
      </c>
      <c r="E2721" s="1" t="str">
        <f>"2320"</f>
        <v>2320</v>
      </c>
      <c r="F2721" s="1" t="str">
        <f>"015895221"</f>
        <v>015895221</v>
      </c>
      <c r="G2721" s="1" t="s">
        <v>4227</v>
      </c>
      <c r="H2721" s="1" t="s">
        <v>16</v>
      </c>
      <c r="I2721" s="4" t="str">
        <f>"1"</f>
        <v>1</v>
      </c>
      <c r="J2721" s="2" t="str">
        <f>"121000"</f>
        <v>121000</v>
      </c>
      <c r="K2721" s="3">
        <v>46144</v>
      </c>
      <c r="L2721" s="3">
        <v>46154</v>
      </c>
      <c r="M2721" s="1" t="s">
        <v>5549</v>
      </c>
      <c r="N2721" s="1" t="s">
        <v>5546</v>
      </c>
    </row>
    <row r="2722" spans="1:14" s="1" customFormat="1" x14ac:dyDescent="0.35">
      <c r="A2722" s="1" t="s">
        <v>5171</v>
      </c>
      <c r="B2722" s="1" t="s">
        <v>4875</v>
      </c>
      <c r="C2722" s="1" t="s">
        <v>4963</v>
      </c>
      <c r="D2722" s="1" t="s">
        <v>5548</v>
      </c>
      <c r="E2722" s="1" t="str">
        <f>"2320"</f>
        <v>2320</v>
      </c>
      <c r="F2722" s="1" t="str">
        <f>"015895221"</f>
        <v>015895221</v>
      </c>
      <c r="G2722" s="1" t="s">
        <v>4227</v>
      </c>
      <c r="H2722" s="1" t="s">
        <v>16</v>
      </c>
      <c r="I2722" s="4" t="str">
        <f>"1"</f>
        <v>1</v>
      </c>
      <c r="J2722" s="2" t="str">
        <f>"121000"</f>
        <v>121000</v>
      </c>
      <c r="K2722" s="3">
        <v>46144</v>
      </c>
      <c r="L2722" s="3">
        <v>46154</v>
      </c>
      <c r="M2722" s="1" t="s">
        <v>5547</v>
      </c>
      <c r="N2722" s="1" t="s">
        <v>5546</v>
      </c>
    </row>
    <row r="2723" spans="1:14" s="1" customFormat="1" x14ac:dyDescent="0.35">
      <c r="A2723" s="1" t="s">
        <v>5171</v>
      </c>
      <c r="B2723" s="1" t="s">
        <v>4875</v>
      </c>
      <c r="C2723" s="1" t="s">
        <v>4900</v>
      </c>
      <c r="D2723" s="1" t="s">
        <v>5545</v>
      </c>
      <c r="E2723" s="1" t="str">
        <f>"1550"</f>
        <v>1550</v>
      </c>
      <c r="F2723" s="1" t="s">
        <v>199</v>
      </c>
      <c r="G2723" s="1" t="s">
        <v>200</v>
      </c>
      <c r="H2723" s="1" t="s">
        <v>16</v>
      </c>
      <c r="I2723" s="4" t="str">
        <f>"2"</f>
        <v>2</v>
      </c>
      <c r="J2723" s="2">
        <v>12602.94</v>
      </c>
      <c r="K2723" s="3">
        <v>46152</v>
      </c>
      <c r="L2723" s="3">
        <v>46155</v>
      </c>
      <c r="M2723" s="1" t="s">
        <v>5167</v>
      </c>
      <c r="N2723" s="1" t="s">
        <v>5544</v>
      </c>
    </row>
    <row r="2724" spans="1:14" s="1" customFormat="1" x14ac:dyDescent="0.35">
      <c r="A2724" s="1" t="s">
        <v>5171</v>
      </c>
      <c r="B2724" s="1" t="s">
        <v>4875</v>
      </c>
      <c r="C2724" s="1" t="s">
        <v>5499</v>
      </c>
      <c r="D2724" s="1" t="s">
        <v>5543</v>
      </c>
      <c r="E2724" s="1" t="str">
        <f>"5855"</f>
        <v>5855</v>
      </c>
      <c r="F2724" s="1" t="s">
        <v>5542</v>
      </c>
      <c r="G2724" s="1" t="s">
        <v>5541</v>
      </c>
      <c r="H2724" s="1" t="s">
        <v>16</v>
      </c>
      <c r="I2724" s="4" t="str">
        <f>"2"</f>
        <v>2</v>
      </c>
      <c r="J2724" s="2" t="str">
        <f>"15794"</f>
        <v>15794</v>
      </c>
      <c r="K2724" s="3">
        <v>46076</v>
      </c>
      <c r="L2724" s="3">
        <v>46155</v>
      </c>
      <c r="M2724" s="1" t="s">
        <v>5540</v>
      </c>
      <c r="N2724" s="1" t="s">
        <v>5539</v>
      </c>
    </row>
    <row r="2725" spans="1:14" s="1" customFormat="1" x14ac:dyDescent="0.35">
      <c r="A2725" s="1" t="s">
        <v>5171</v>
      </c>
      <c r="B2725" s="1" t="s">
        <v>4875</v>
      </c>
      <c r="C2725" s="1" t="s">
        <v>4926</v>
      </c>
      <c r="D2725" s="1" t="s">
        <v>5538</v>
      </c>
      <c r="E2725" s="1" t="str">
        <f>"1095"</f>
        <v>1095</v>
      </c>
      <c r="F2725" s="1" t="str">
        <f>"004070674"</f>
        <v>004070674</v>
      </c>
      <c r="G2725" s="1" t="s">
        <v>2010</v>
      </c>
      <c r="H2725" s="1" t="s">
        <v>16</v>
      </c>
      <c r="I2725" s="4" t="str">
        <f>"4"</f>
        <v>4</v>
      </c>
      <c r="J2725" s="2">
        <v>1098.96</v>
      </c>
      <c r="K2725" s="3">
        <v>46141</v>
      </c>
      <c r="L2725" s="3">
        <v>46156</v>
      </c>
      <c r="M2725" s="1" t="s">
        <v>5537</v>
      </c>
      <c r="N2725" s="1" t="s">
        <v>5536</v>
      </c>
    </row>
    <row r="2726" spans="1:14" s="1" customFormat="1" x14ac:dyDescent="0.35">
      <c r="A2726" s="1" t="s">
        <v>5171</v>
      </c>
      <c r="B2726" s="1" t="s">
        <v>4875</v>
      </c>
      <c r="C2726" s="1" t="s">
        <v>5535</v>
      </c>
      <c r="D2726" s="1" t="s">
        <v>5534</v>
      </c>
      <c r="E2726" s="1" t="str">
        <f>"2310"</f>
        <v>2310</v>
      </c>
      <c r="F2726" s="1" t="str">
        <f>"016231545"</f>
        <v>016231545</v>
      </c>
      <c r="G2726" s="1" t="s">
        <v>4907</v>
      </c>
      <c r="H2726" s="1" t="s">
        <v>16</v>
      </c>
      <c r="I2726" s="4" t="str">
        <f>"1"</f>
        <v>1</v>
      </c>
      <c r="J2726" s="2" t="str">
        <f>"32000"</f>
        <v>32000</v>
      </c>
      <c r="K2726" s="3">
        <v>46098</v>
      </c>
      <c r="L2726" s="3">
        <v>46157</v>
      </c>
      <c r="M2726" s="1" t="s">
        <v>5533</v>
      </c>
      <c r="N2726" s="1" t="s">
        <v>5532</v>
      </c>
    </row>
    <row r="2727" spans="1:14" s="1" customFormat="1" x14ac:dyDescent="0.35">
      <c r="A2727" s="1" t="s">
        <v>5171</v>
      </c>
      <c r="B2727" s="1" t="s">
        <v>4875</v>
      </c>
      <c r="C2727" s="1" t="s">
        <v>4886</v>
      </c>
      <c r="D2727" s="1" t="s">
        <v>5531</v>
      </c>
      <c r="E2727" s="1" t="str">
        <f>"2330"</f>
        <v>2330</v>
      </c>
      <c r="F2727" s="1" t="s">
        <v>70</v>
      </c>
      <c r="G2727" s="1" t="s">
        <v>71</v>
      </c>
      <c r="H2727" s="1" t="s">
        <v>16</v>
      </c>
      <c r="I2727" s="4" t="str">
        <f>"1"</f>
        <v>1</v>
      </c>
      <c r="J2727" s="2" t="str">
        <f>"9295"</f>
        <v>9295</v>
      </c>
      <c r="K2727" s="3">
        <v>46146</v>
      </c>
      <c r="L2727" s="3">
        <v>46158</v>
      </c>
      <c r="M2727" s="1" t="s">
        <v>5530</v>
      </c>
      <c r="N2727" s="1" t="s">
        <v>5529</v>
      </c>
    </row>
    <row r="2728" spans="1:14" s="1" customFormat="1" x14ac:dyDescent="0.35">
      <c r="A2728" s="1" t="s">
        <v>5171</v>
      </c>
      <c r="B2728" s="1" t="s">
        <v>4875</v>
      </c>
      <c r="C2728" s="1" t="s">
        <v>4900</v>
      </c>
      <c r="D2728" s="1" t="s">
        <v>5528</v>
      </c>
      <c r="E2728" s="1" t="str">
        <f>"2330"</f>
        <v>2330</v>
      </c>
      <c r="F2728" s="1" t="s">
        <v>70</v>
      </c>
      <c r="G2728" s="1" t="s">
        <v>71</v>
      </c>
      <c r="H2728" s="1" t="s">
        <v>16</v>
      </c>
      <c r="I2728" s="4" t="str">
        <f>"1"</f>
        <v>1</v>
      </c>
      <c r="J2728" s="2" t="str">
        <f>"9295"</f>
        <v>9295</v>
      </c>
      <c r="K2728" s="3">
        <v>46144</v>
      </c>
      <c r="L2728" s="3">
        <v>46158</v>
      </c>
      <c r="M2728" s="1" t="s">
        <v>5527</v>
      </c>
      <c r="N2728" s="1" t="s">
        <v>5526</v>
      </c>
    </row>
    <row r="2729" spans="1:14" s="1" customFormat="1" x14ac:dyDescent="0.35">
      <c r="A2729" s="1" t="s">
        <v>5171</v>
      </c>
      <c r="B2729" s="1" t="s">
        <v>4875</v>
      </c>
      <c r="C2729" s="1" t="s">
        <v>4900</v>
      </c>
      <c r="D2729" s="1" t="s">
        <v>5525</v>
      </c>
      <c r="E2729" s="1" t="str">
        <f>"2320"</f>
        <v>2320</v>
      </c>
      <c r="F2729" s="1" t="str">
        <f>"000064066"</f>
        <v>000064066</v>
      </c>
      <c r="G2729" s="1" t="s">
        <v>2297</v>
      </c>
      <c r="H2729" s="1" t="s">
        <v>16</v>
      </c>
      <c r="I2729" s="4" t="str">
        <f>"1"</f>
        <v>1</v>
      </c>
      <c r="J2729" s="2" t="str">
        <f>"110751"</f>
        <v>110751</v>
      </c>
      <c r="K2729" s="3">
        <v>46148</v>
      </c>
      <c r="L2729" s="3">
        <v>46158</v>
      </c>
      <c r="M2729" s="1" t="s">
        <v>5524</v>
      </c>
      <c r="N2729" s="1" t="s">
        <v>5523</v>
      </c>
    </row>
    <row r="2730" spans="1:14" s="1" customFormat="1" x14ac:dyDescent="0.35">
      <c r="A2730" s="1" t="s">
        <v>5171</v>
      </c>
      <c r="B2730" s="1" t="s">
        <v>4875</v>
      </c>
      <c r="C2730" s="1" t="s">
        <v>4923</v>
      </c>
      <c r="D2730" s="1" t="s">
        <v>5522</v>
      </c>
      <c r="E2730" s="1" t="str">
        <f>"2330"</f>
        <v>2330</v>
      </c>
      <c r="F2730" s="1" t="s">
        <v>70</v>
      </c>
      <c r="G2730" s="1" t="s">
        <v>71</v>
      </c>
      <c r="H2730" s="1" t="s">
        <v>16</v>
      </c>
      <c r="I2730" s="4" t="str">
        <f>"1"</f>
        <v>1</v>
      </c>
      <c r="J2730" s="2" t="str">
        <f>"10000"</f>
        <v>10000</v>
      </c>
      <c r="K2730" s="3">
        <v>46146</v>
      </c>
      <c r="L2730" s="3">
        <v>46158</v>
      </c>
      <c r="M2730" s="1" t="s">
        <v>5521</v>
      </c>
      <c r="N2730" s="1" t="s">
        <v>5520</v>
      </c>
    </row>
    <row r="2731" spans="1:14" s="1" customFormat="1" x14ac:dyDescent="0.35">
      <c r="A2731" s="1" t="s">
        <v>5171</v>
      </c>
      <c r="B2731" s="1" t="s">
        <v>4875</v>
      </c>
      <c r="C2731" s="1" t="s">
        <v>4963</v>
      </c>
      <c r="D2731" s="1" t="s">
        <v>5519</v>
      </c>
      <c r="E2731" s="1" t="str">
        <f>"2330"</f>
        <v>2330</v>
      </c>
      <c r="F2731" s="1" t="s">
        <v>70</v>
      </c>
      <c r="G2731" s="1" t="s">
        <v>71</v>
      </c>
      <c r="H2731" s="1" t="s">
        <v>16</v>
      </c>
      <c r="I2731" s="4" t="str">
        <f>"1"</f>
        <v>1</v>
      </c>
      <c r="J2731" s="2" t="str">
        <f>"9295"</f>
        <v>9295</v>
      </c>
      <c r="K2731" s="3">
        <v>46144</v>
      </c>
      <c r="L2731" s="3">
        <v>46158</v>
      </c>
      <c r="M2731" s="1" t="s">
        <v>5518</v>
      </c>
      <c r="N2731" s="1" t="s">
        <v>5517</v>
      </c>
    </row>
    <row r="2732" spans="1:14" s="1" customFormat="1" x14ac:dyDescent="0.35">
      <c r="A2732" s="1" t="s">
        <v>5171</v>
      </c>
      <c r="B2732" s="1" t="s">
        <v>4875</v>
      </c>
      <c r="C2732" s="1" t="s">
        <v>4963</v>
      </c>
      <c r="D2732" s="1" t="s">
        <v>5516</v>
      </c>
      <c r="E2732" s="1" t="str">
        <f>"2330"</f>
        <v>2330</v>
      </c>
      <c r="F2732" s="1" t="s">
        <v>70</v>
      </c>
      <c r="G2732" s="1" t="s">
        <v>71</v>
      </c>
      <c r="H2732" s="1" t="s">
        <v>16</v>
      </c>
      <c r="I2732" s="4" t="str">
        <f>"1"</f>
        <v>1</v>
      </c>
      <c r="J2732" s="2" t="str">
        <f>"10000"</f>
        <v>10000</v>
      </c>
      <c r="K2732" s="3">
        <v>46144</v>
      </c>
      <c r="L2732" s="3">
        <v>46158</v>
      </c>
      <c r="M2732" s="1" t="s">
        <v>5515</v>
      </c>
      <c r="N2732" s="1" t="s">
        <v>5514</v>
      </c>
    </row>
    <row r="2733" spans="1:14" s="1" customFormat="1" x14ac:dyDescent="0.35">
      <c r="A2733" s="1" t="s">
        <v>5171</v>
      </c>
      <c r="B2733" s="1" t="s">
        <v>4875</v>
      </c>
      <c r="C2733" s="1" t="s">
        <v>4963</v>
      </c>
      <c r="D2733" s="1" t="s">
        <v>5513</v>
      </c>
      <c r="E2733" s="1" t="str">
        <f>"2330"</f>
        <v>2330</v>
      </c>
      <c r="F2733" s="1" t="s">
        <v>70</v>
      </c>
      <c r="G2733" s="1" t="s">
        <v>71</v>
      </c>
      <c r="H2733" s="1" t="s">
        <v>16</v>
      </c>
      <c r="I2733" s="4" t="str">
        <f>"1"</f>
        <v>1</v>
      </c>
      <c r="J2733" s="2" t="str">
        <f>"6111"</f>
        <v>6111</v>
      </c>
      <c r="K2733" s="3">
        <v>46145</v>
      </c>
      <c r="L2733" s="3">
        <v>46158</v>
      </c>
      <c r="M2733" s="1" t="s">
        <v>5512</v>
      </c>
      <c r="N2733" s="1" t="s">
        <v>5511</v>
      </c>
    </row>
    <row r="2734" spans="1:14" s="1" customFormat="1" x14ac:dyDescent="0.35">
      <c r="A2734" s="1" t="s">
        <v>5171</v>
      </c>
      <c r="B2734" s="1" t="s">
        <v>4875</v>
      </c>
      <c r="C2734" s="1" t="s">
        <v>4876</v>
      </c>
      <c r="D2734" s="1" t="s">
        <v>5510</v>
      </c>
      <c r="E2734" s="1" t="str">
        <f>"6545"</f>
        <v>6545</v>
      </c>
      <c r="F2734" s="1" t="str">
        <f>"015300929"</f>
        <v>015300929</v>
      </c>
      <c r="G2734" s="1" t="s">
        <v>236</v>
      </c>
      <c r="H2734" s="1" t="s">
        <v>215</v>
      </c>
      <c r="I2734" s="4" t="str">
        <f>"55"</f>
        <v>55</v>
      </c>
      <c r="J2734" s="2">
        <v>48.71</v>
      </c>
      <c r="K2734" s="3">
        <v>46135</v>
      </c>
      <c r="L2734" s="3">
        <v>46161</v>
      </c>
      <c r="M2734" s="1" t="s">
        <v>5509</v>
      </c>
      <c r="N2734" s="1" t="s">
        <v>5508</v>
      </c>
    </row>
    <row r="2735" spans="1:14" s="1" customFormat="1" x14ac:dyDescent="0.35">
      <c r="A2735" s="1" t="s">
        <v>0</v>
      </c>
      <c r="B2735" s="1" t="s">
        <v>4875</v>
      </c>
      <c r="C2735" s="1" t="s">
        <v>4963</v>
      </c>
      <c r="D2735" s="1" t="s">
        <v>5507</v>
      </c>
      <c r="E2735" s="1" t="str">
        <f>"3810"</f>
        <v>3810</v>
      </c>
      <c r="F2735" s="1" t="s">
        <v>5506</v>
      </c>
      <c r="G2735" s="1" t="s">
        <v>5505</v>
      </c>
      <c r="H2735" s="1" t="s">
        <v>16</v>
      </c>
      <c r="I2735" s="4" t="str">
        <f>"1"</f>
        <v>1</v>
      </c>
      <c r="J2735" s="2" t="str">
        <f>"110000"</f>
        <v>110000</v>
      </c>
      <c r="K2735" s="3">
        <v>46158</v>
      </c>
      <c r="L2735" s="3">
        <v>46162</v>
      </c>
      <c r="N2735" s="1" t="s">
        <v>5504</v>
      </c>
    </row>
    <row r="2736" spans="1:14" s="1" customFormat="1" x14ac:dyDescent="0.35">
      <c r="A2736" s="1" t="s">
        <v>5171</v>
      </c>
      <c r="B2736" s="1" t="s">
        <v>4875</v>
      </c>
      <c r="C2736" s="1" t="s">
        <v>4900</v>
      </c>
      <c r="D2736" s="1" t="s">
        <v>5503</v>
      </c>
      <c r="E2736" s="1" t="str">
        <f>"1940"</f>
        <v>1940</v>
      </c>
      <c r="F2736" s="1" t="str">
        <f>"001093313"</f>
        <v>001093313</v>
      </c>
      <c r="G2736" s="1" t="s">
        <v>4904</v>
      </c>
      <c r="H2736" s="1" t="s">
        <v>16</v>
      </c>
      <c r="I2736" s="4" t="str">
        <f>"1"</f>
        <v>1</v>
      </c>
      <c r="J2736" s="2" t="str">
        <f>"4663"</f>
        <v>4663</v>
      </c>
      <c r="K2736" s="3">
        <v>46150</v>
      </c>
      <c r="L2736" s="3">
        <v>46163</v>
      </c>
      <c r="M2736" s="1" t="s">
        <v>5502</v>
      </c>
      <c r="N2736" s="1" t="s">
        <v>5501</v>
      </c>
    </row>
    <row r="2737" spans="1:14" s="1" customFormat="1" x14ac:dyDescent="0.35">
      <c r="A2737" s="1" t="s">
        <v>5171</v>
      </c>
      <c r="B2737" s="1" t="s">
        <v>4875</v>
      </c>
      <c r="C2737" s="1" t="s">
        <v>5499</v>
      </c>
      <c r="D2737" s="1" t="s">
        <v>5500</v>
      </c>
      <c r="E2737" s="1" t="str">
        <f>"2360"</f>
        <v>2360</v>
      </c>
      <c r="F2737" s="1" t="str">
        <f>"015768653"</f>
        <v>015768653</v>
      </c>
      <c r="G2737" s="1" t="s">
        <v>2021</v>
      </c>
      <c r="H2737" s="1" t="s">
        <v>16</v>
      </c>
      <c r="I2737" s="4" t="str">
        <f>"1"</f>
        <v>1</v>
      </c>
      <c r="J2737" s="2">
        <v>12704.58</v>
      </c>
      <c r="K2737" s="3">
        <v>46163</v>
      </c>
      <c r="L2737" s="3">
        <v>46164</v>
      </c>
      <c r="M2737" s="1" t="s">
        <v>5167</v>
      </c>
      <c r="N2737" s="1" t="s">
        <v>5497</v>
      </c>
    </row>
    <row r="2738" spans="1:14" s="1" customFormat="1" x14ac:dyDescent="0.35">
      <c r="A2738" s="1" t="s">
        <v>5171</v>
      </c>
      <c r="B2738" s="1" t="s">
        <v>4875</v>
      </c>
      <c r="C2738" s="1" t="s">
        <v>5499</v>
      </c>
      <c r="D2738" s="1" t="s">
        <v>5498</v>
      </c>
      <c r="E2738" s="1" t="str">
        <f>"2360"</f>
        <v>2360</v>
      </c>
      <c r="F2738" s="1" t="str">
        <f>"015768653"</f>
        <v>015768653</v>
      </c>
      <c r="G2738" s="1" t="s">
        <v>2021</v>
      </c>
      <c r="H2738" s="1" t="s">
        <v>16</v>
      </c>
      <c r="I2738" s="4" t="str">
        <f>"1"</f>
        <v>1</v>
      </c>
      <c r="J2738" s="2">
        <v>12704.58</v>
      </c>
      <c r="K2738" s="3">
        <v>46163</v>
      </c>
      <c r="L2738" s="3">
        <v>46164</v>
      </c>
      <c r="M2738" s="1" t="s">
        <v>5167</v>
      </c>
      <c r="N2738" s="1" t="s">
        <v>5497</v>
      </c>
    </row>
    <row r="2739" spans="1:14" s="1" customFormat="1" x14ac:dyDescent="0.35">
      <c r="A2739" s="1" t="s">
        <v>5171</v>
      </c>
      <c r="B2739" s="1" t="s">
        <v>4875</v>
      </c>
      <c r="C2739" s="1" t="s">
        <v>4921</v>
      </c>
      <c r="D2739" s="1" t="s">
        <v>5496</v>
      </c>
      <c r="E2739" s="1" t="str">
        <f>"6230"</f>
        <v>6230</v>
      </c>
      <c r="F2739" s="1" t="str">
        <f>"003835537"</f>
        <v>003835537</v>
      </c>
      <c r="G2739" s="1" t="s">
        <v>3215</v>
      </c>
      <c r="H2739" s="1" t="s">
        <v>458</v>
      </c>
      <c r="I2739" s="4" t="str">
        <f>"1"</f>
        <v>1</v>
      </c>
      <c r="J2739" s="2" t="str">
        <f>"600"</f>
        <v>600</v>
      </c>
      <c r="K2739" s="3">
        <v>46128</v>
      </c>
      <c r="L2739" s="3">
        <v>46175</v>
      </c>
      <c r="M2739" s="1" t="s">
        <v>5495</v>
      </c>
      <c r="N2739" s="1" t="s">
        <v>5494</v>
      </c>
    </row>
    <row r="2740" spans="1:14" s="1" customFormat="1" x14ac:dyDescent="0.35">
      <c r="A2740" s="1" t="s">
        <v>5171</v>
      </c>
      <c r="B2740" s="1" t="s">
        <v>4875</v>
      </c>
      <c r="C2740" s="1" t="s">
        <v>4876</v>
      </c>
      <c r="D2740" s="1" t="s">
        <v>5493</v>
      </c>
      <c r="E2740" s="1" t="str">
        <f>"1095"</f>
        <v>1095</v>
      </c>
      <c r="F2740" s="1" t="str">
        <f>"015267860"</f>
        <v>015267860</v>
      </c>
      <c r="G2740" s="1" t="s">
        <v>25</v>
      </c>
      <c r="H2740" s="1" t="s">
        <v>16</v>
      </c>
      <c r="I2740" s="4" t="str">
        <f>"2"</f>
        <v>2</v>
      </c>
      <c r="J2740" s="2" t="str">
        <f>"1107"</f>
        <v>1107</v>
      </c>
      <c r="K2740" s="3">
        <v>46169</v>
      </c>
      <c r="L2740" s="3">
        <v>46179</v>
      </c>
      <c r="M2740" s="1" t="s">
        <v>5492</v>
      </c>
      <c r="N2740" s="1" t="s">
        <v>5491</v>
      </c>
    </row>
    <row r="2741" spans="1:14" s="1" customFormat="1" x14ac:dyDescent="0.35">
      <c r="A2741" s="1" t="s">
        <v>5171</v>
      </c>
      <c r="B2741" s="1" t="s">
        <v>4875</v>
      </c>
      <c r="C2741" s="1" t="s">
        <v>4963</v>
      </c>
      <c r="D2741" s="1" t="s">
        <v>5490</v>
      </c>
      <c r="E2741" s="1" t="str">
        <f>"3805"</f>
        <v>3805</v>
      </c>
      <c r="F2741" s="1" t="str">
        <f>"015232587"</f>
        <v>015232587</v>
      </c>
      <c r="G2741" s="1" t="s">
        <v>5489</v>
      </c>
      <c r="H2741" s="1" t="s">
        <v>16</v>
      </c>
      <c r="I2741" s="4" t="str">
        <f>"1"</f>
        <v>1</v>
      </c>
      <c r="J2741" s="2" t="str">
        <f>"137524"</f>
        <v>137524</v>
      </c>
      <c r="K2741" s="3">
        <v>46165</v>
      </c>
      <c r="L2741" s="3">
        <v>46179</v>
      </c>
      <c r="M2741" s="1" t="s">
        <v>5488</v>
      </c>
      <c r="N2741" s="1" t="s">
        <v>5487</v>
      </c>
    </row>
    <row r="2742" spans="1:14" s="1" customFormat="1" x14ac:dyDescent="0.35">
      <c r="A2742" s="1" t="s">
        <v>5171</v>
      </c>
      <c r="B2742" s="1" t="s">
        <v>4875</v>
      </c>
      <c r="C2742" s="1" t="s">
        <v>4900</v>
      </c>
      <c r="D2742" s="1" t="s">
        <v>5486</v>
      </c>
      <c r="E2742" s="1" t="str">
        <f>"5836"</f>
        <v>5836</v>
      </c>
      <c r="F2742" s="1" t="str">
        <f>"016928951"</f>
        <v>016928951</v>
      </c>
      <c r="G2742" s="1" t="s">
        <v>5485</v>
      </c>
      <c r="H2742" s="1" t="s">
        <v>16</v>
      </c>
      <c r="I2742" s="4" t="str">
        <f>"1"</f>
        <v>1</v>
      </c>
      <c r="J2742" s="2" t="str">
        <f>"4307"</f>
        <v>4307</v>
      </c>
      <c r="K2742" s="3">
        <v>46182</v>
      </c>
      <c r="L2742" s="3">
        <v>46183</v>
      </c>
      <c r="M2742" s="1" t="s">
        <v>5167</v>
      </c>
      <c r="N2742" s="1" t="s">
        <v>5484</v>
      </c>
    </row>
    <row r="2743" spans="1:14" s="1" customFormat="1" x14ac:dyDescent="0.35">
      <c r="A2743" s="1" t="s">
        <v>5171</v>
      </c>
      <c r="B2743" s="1" t="s">
        <v>4875</v>
      </c>
      <c r="C2743" s="1" t="s">
        <v>4892</v>
      </c>
      <c r="D2743" s="1" t="s">
        <v>5483</v>
      </c>
      <c r="E2743" s="1" t="str">
        <f>"5180"</f>
        <v>5180</v>
      </c>
      <c r="F2743" s="1" t="s">
        <v>88</v>
      </c>
      <c r="G2743" s="1" t="s">
        <v>89</v>
      </c>
      <c r="H2743" s="1" t="s">
        <v>16</v>
      </c>
      <c r="I2743" s="4" t="str">
        <f>"1"</f>
        <v>1</v>
      </c>
      <c r="J2743" s="2">
        <v>1970.72</v>
      </c>
      <c r="K2743" s="3">
        <v>46174</v>
      </c>
      <c r="L2743" s="3">
        <v>46186</v>
      </c>
      <c r="M2743" s="1" t="s">
        <v>5482</v>
      </c>
      <c r="N2743" s="1" t="s">
        <v>5481</v>
      </c>
    </row>
    <row r="2744" spans="1:14" s="1" customFormat="1" x14ac:dyDescent="0.35">
      <c r="A2744" s="1" t="s">
        <v>5171</v>
      </c>
      <c r="B2744" s="1" t="s">
        <v>4875</v>
      </c>
      <c r="C2744" s="1" t="s">
        <v>4876</v>
      </c>
      <c r="D2744" s="1" t="s">
        <v>5480</v>
      </c>
      <c r="E2744" s="1" t="str">
        <f>"1240"</f>
        <v>1240</v>
      </c>
      <c r="F2744" s="1" t="str">
        <f>"015330941"</f>
        <v>015330941</v>
      </c>
      <c r="G2744" s="1" t="s">
        <v>1103</v>
      </c>
      <c r="H2744" s="1" t="s">
        <v>16</v>
      </c>
      <c r="I2744" s="4" t="str">
        <f>"3"</f>
        <v>3</v>
      </c>
      <c r="J2744" s="2" t="str">
        <f>"400"</f>
        <v>400</v>
      </c>
      <c r="K2744" s="3">
        <v>46189</v>
      </c>
      <c r="L2744" s="3">
        <v>46190</v>
      </c>
      <c r="M2744" s="1" t="s">
        <v>5167</v>
      </c>
      <c r="N2744" s="1" t="s">
        <v>5479</v>
      </c>
    </row>
    <row r="2745" spans="1:14" s="1" customFormat="1" x14ac:dyDescent="0.35">
      <c r="A2745" s="1" t="s">
        <v>5171</v>
      </c>
      <c r="B2745" s="1" t="s">
        <v>4875</v>
      </c>
      <c r="C2745" s="1" t="s">
        <v>4963</v>
      </c>
      <c r="D2745" s="1" t="s">
        <v>5478</v>
      </c>
      <c r="E2745" s="1" t="str">
        <f>"2330"</f>
        <v>2330</v>
      </c>
      <c r="F2745" s="1" t="s">
        <v>70</v>
      </c>
      <c r="G2745" s="1" t="s">
        <v>71</v>
      </c>
      <c r="H2745" s="1" t="s">
        <v>16</v>
      </c>
      <c r="I2745" s="4" t="str">
        <f>"1"</f>
        <v>1</v>
      </c>
      <c r="J2745" s="2" t="str">
        <f>"26680"</f>
        <v>26680</v>
      </c>
      <c r="K2745" s="3">
        <v>46186</v>
      </c>
      <c r="L2745" s="3">
        <v>46191</v>
      </c>
      <c r="M2745" s="1" t="s">
        <v>5477</v>
      </c>
      <c r="N2745" s="1" t="s">
        <v>5465</v>
      </c>
    </row>
    <row r="2746" spans="1:14" s="1" customFormat="1" x14ac:dyDescent="0.35">
      <c r="A2746" s="1" t="s">
        <v>5171</v>
      </c>
      <c r="B2746" s="1" t="s">
        <v>4875</v>
      </c>
      <c r="C2746" s="1" t="s">
        <v>4963</v>
      </c>
      <c r="D2746" s="1" t="s">
        <v>5476</v>
      </c>
      <c r="E2746" s="1" t="str">
        <f>"2330"</f>
        <v>2330</v>
      </c>
      <c r="F2746" s="1" t="s">
        <v>70</v>
      </c>
      <c r="G2746" s="1" t="s">
        <v>71</v>
      </c>
      <c r="H2746" s="1" t="s">
        <v>16</v>
      </c>
      <c r="I2746" s="4" t="str">
        <f>"1"</f>
        <v>1</v>
      </c>
      <c r="J2746" s="2" t="str">
        <f>"26680"</f>
        <v>26680</v>
      </c>
      <c r="K2746" s="3">
        <v>46188</v>
      </c>
      <c r="L2746" s="3">
        <v>46191</v>
      </c>
      <c r="M2746" s="1" t="s">
        <v>5475</v>
      </c>
      <c r="N2746" s="1" t="s">
        <v>5474</v>
      </c>
    </row>
    <row r="2747" spans="1:14" s="1" customFormat="1" x14ac:dyDescent="0.35">
      <c r="A2747" s="1" t="s">
        <v>5171</v>
      </c>
      <c r="B2747" s="1" t="s">
        <v>4875</v>
      </c>
      <c r="C2747" s="1" t="s">
        <v>4963</v>
      </c>
      <c r="D2747" s="1" t="s">
        <v>5473</v>
      </c>
      <c r="E2747" s="1" t="str">
        <f>"3930"</f>
        <v>3930</v>
      </c>
      <c r="F2747" s="1" t="str">
        <f>"011580849"</f>
        <v>011580849</v>
      </c>
      <c r="G2747" s="1" t="s">
        <v>1304</v>
      </c>
      <c r="H2747" s="1" t="s">
        <v>16</v>
      </c>
      <c r="I2747" s="4" t="str">
        <f>"1"</f>
        <v>1</v>
      </c>
      <c r="J2747" s="2" t="str">
        <f>"72370"</f>
        <v>72370</v>
      </c>
      <c r="K2747" s="3">
        <v>46188</v>
      </c>
      <c r="L2747" s="3">
        <v>46197</v>
      </c>
      <c r="M2747" s="1" t="s">
        <v>5472</v>
      </c>
      <c r="N2747" s="1" t="s">
        <v>5471</v>
      </c>
    </row>
    <row r="2748" spans="1:14" s="1" customFormat="1" x14ac:dyDescent="0.35">
      <c r="A2748" s="1" t="s">
        <v>5230</v>
      </c>
      <c r="B2748" s="1" t="s">
        <v>4875</v>
      </c>
      <c r="C2748" s="1" t="s">
        <v>4900</v>
      </c>
      <c r="D2748" s="1" t="s">
        <v>5470</v>
      </c>
      <c r="E2748" s="1" t="str">
        <f>"6760"</f>
        <v>6760</v>
      </c>
      <c r="F2748" s="1" t="s">
        <v>5456</v>
      </c>
      <c r="G2748" s="1" t="s">
        <v>5455</v>
      </c>
      <c r="H2748" s="1" t="s">
        <v>16</v>
      </c>
      <c r="I2748" s="4" t="str">
        <f>"10"</f>
        <v>10</v>
      </c>
      <c r="J2748" s="2">
        <v>596.95000000000005</v>
      </c>
      <c r="K2748" s="3">
        <v>46197</v>
      </c>
      <c r="L2748" s="3">
        <v>46198</v>
      </c>
      <c r="M2748" s="1" t="s">
        <v>5469</v>
      </c>
      <c r="N2748" s="1" t="s">
        <v>5468</v>
      </c>
    </row>
    <row r="2749" spans="1:14" s="1" customFormat="1" x14ac:dyDescent="0.35">
      <c r="A2749" s="1" t="s">
        <v>5171</v>
      </c>
      <c r="B2749" s="1" t="s">
        <v>4875</v>
      </c>
      <c r="C2749" s="1" t="s">
        <v>4963</v>
      </c>
      <c r="D2749" s="1" t="s">
        <v>5467</v>
      </c>
      <c r="E2749" s="1" t="str">
        <f>"2330"</f>
        <v>2330</v>
      </c>
      <c r="F2749" s="1" t="s">
        <v>70</v>
      </c>
      <c r="G2749" s="1" t="s">
        <v>71</v>
      </c>
      <c r="H2749" s="1" t="s">
        <v>16</v>
      </c>
      <c r="I2749" s="4" t="str">
        <f>"1"</f>
        <v>1</v>
      </c>
      <c r="J2749" s="2" t="str">
        <f>"26680"</f>
        <v>26680</v>
      </c>
      <c r="K2749" s="3">
        <v>46186</v>
      </c>
      <c r="L2749" s="3">
        <v>46200</v>
      </c>
      <c r="M2749" s="1" t="s">
        <v>5466</v>
      </c>
      <c r="N2749" s="1" t="s">
        <v>5465</v>
      </c>
    </row>
    <row r="2750" spans="1:14" s="1" customFormat="1" x14ac:dyDescent="0.35">
      <c r="A2750" s="1" t="s">
        <v>5171</v>
      </c>
      <c r="B2750" s="1" t="s">
        <v>4875</v>
      </c>
      <c r="C2750" s="1" t="s">
        <v>4963</v>
      </c>
      <c r="D2750" s="1" t="s">
        <v>5464</v>
      </c>
      <c r="E2750" s="1" t="str">
        <f>"2330"</f>
        <v>2330</v>
      </c>
      <c r="F2750" s="1" t="s">
        <v>70</v>
      </c>
      <c r="G2750" s="1" t="s">
        <v>71</v>
      </c>
      <c r="H2750" s="1" t="s">
        <v>16</v>
      </c>
      <c r="I2750" s="4" t="str">
        <f>"1"</f>
        <v>1</v>
      </c>
      <c r="J2750" s="2" t="str">
        <f>"17850"</f>
        <v>17850</v>
      </c>
      <c r="K2750" s="3">
        <v>46198</v>
      </c>
      <c r="L2750" s="3">
        <v>46200</v>
      </c>
      <c r="M2750" s="1" t="s">
        <v>5167</v>
      </c>
      <c r="N2750" s="1" t="s">
        <v>5463</v>
      </c>
    </row>
    <row r="2751" spans="1:14" s="1" customFormat="1" x14ac:dyDescent="0.35">
      <c r="A2751" s="1" t="s">
        <v>5216</v>
      </c>
      <c r="B2751" s="1" t="s">
        <v>4875</v>
      </c>
      <c r="C2751" s="1" t="s">
        <v>4963</v>
      </c>
      <c r="D2751" s="1" t="s">
        <v>5462</v>
      </c>
      <c r="E2751" s="1" t="str">
        <f>"2320"</f>
        <v>2320</v>
      </c>
      <c r="F2751" s="1" t="s">
        <v>975</v>
      </c>
      <c r="G2751" s="1" t="s">
        <v>976</v>
      </c>
      <c r="H2751" s="1" t="s">
        <v>16</v>
      </c>
      <c r="I2751" s="4" t="str">
        <f>"1"</f>
        <v>1</v>
      </c>
      <c r="J2751" s="2" t="str">
        <f>"61735"</f>
        <v>61735</v>
      </c>
      <c r="K2751" s="3">
        <v>46200</v>
      </c>
      <c r="L2751" s="3">
        <v>46202</v>
      </c>
      <c r="M2751" s="1" t="s">
        <v>5461</v>
      </c>
      <c r="N2751" s="1" t="s">
        <v>5460</v>
      </c>
    </row>
    <row r="2752" spans="1:14" s="1" customFormat="1" x14ac:dyDescent="0.35">
      <c r="A2752" s="1" t="s">
        <v>0</v>
      </c>
      <c r="B2752" s="1" t="s">
        <v>4875</v>
      </c>
      <c r="C2752" s="1" t="s">
        <v>4900</v>
      </c>
      <c r="D2752" s="1" t="s">
        <v>5459</v>
      </c>
      <c r="E2752" s="1" t="str">
        <f>"6720"</f>
        <v>6720</v>
      </c>
      <c r="F2752" s="1" t="s">
        <v>2250</v>
      </c>
      <c r="G2752" s="1" t="s">
        <v>2251</v>
      </c>
      <c r="H2752" s="1" t="s">
        <v>16</v>
      </c>
      <c r="I2752" s="4" t="str">
        <f>"10"</f>
        <v>10</v>
      </c>
      <c r="J2752" s="2" t="str">
        <f>"2850"</f>
        <v>2850</v>
      </c>
      <c r="K2752" s="3">
        <v>46198</v>
      </c>
      <c r="L2752" s="3">
        <v>46202</v>
      </c>
      <c r="M2752" s="1" t="s">
        <v>5454</v>
      </c>
      <c r="N2752" s="1" t="s">
        <v>5458</v>
      </c>
    </row>
    <row r="2753" spans="1:14" s="1" customFormat="1" x14ac:dyDescent="0.35">
      <c r="A2753" s="1" t="s">
        <v>0</v>
      </c>
      <c r="B2753" s="1" t="s">
        <v>4875</v>
      </c>
      <c r="C2753" s="1" t="s">
        <v>4900</v>
      </c>
      <c r="D2753" s="1" t="s">
        <v>5457</v>
      </c>
      <c r="E2753" s="1" t="str">
        <f>"6760"</f>
        <v>6760</v>
      </c>
      <c r="F2753" s="1" t="s">
        <v>5456</v>
      </c>
      <c r="G2753" s="1" t="s">
        <v>5455</v>
      </c>
      <c r="H2753" s="1" t="s">
        <v>16</v>
      </c>
      <c r="I2753" s="4" t="str">
        <f>"18"</f>
        <v>18</v>
      </c>
      <c r="J2753" s="2">
        <v>596.95000000000005</v>
      </c>
      <c r="K2753" s="3">
        <v>46198</v>
      </c>
      <c r="L2753" s="3">
        <v>46202</v>
      </c>
      <c r="M2753" s="1" t="s">
        <v>5454</v>
      </c>
      <c r="N2753" s="1" t="s">
        <v>5453</v>
      </c>
    </row>
    <row r="2754" spans="1:14" s="1" customFormat="1" x14ac:dyDescent="0.35">
      <c r="A2754" s="1" t="s">
        <v>5171</v>
      </c>
      <c r="B2754" s="1" t="s">
        <v>4875</v>
      </c>
      <c r="C2754" s="1" t="s">
        <v>4886</v>
      </c>
      <c r="D2754" s="1" t="s">
        <v>5452</v>
      </c>
      <c r="E2754" s="1" t="str">
        <f>"1005"</f>
        <v>1005</v>
      </c>
      <c r="F2754" s="1" t="str">
        <f>"016309508"</f>
        <v>016309508</v>
      </c>
      <c r="G2754" s="1" t="s">
        <v>183</v>
      </c>
      <c r="H2754" s="1" t="s">
        <v>16</v>
      </c>
      <c r="I2754" s="4" t="str">
        <f>"50"</f>
        <v>50</v>
      </c>
      <c r="J2754" s="2">
        <v>13.87</v>
      </c>
      <c r="K2754" s="3">
        <v>46197</v>
      </c>
      <c r="L2754" s="3">
        <v>46203</v>
      </c>
      <c r="M2754" s="1" t="s">
        <v>5451</v>
      </c>
      <c r="N2754" s="1" t="s">
        <v>5450</v>
      </c>
    </row>
    <row r="2755" spans="1:14" s="1" customFormat="1" x14ac:dyDescent="0.35">
      <c r="A2755" s="1" t="s">
        <v>5171</v>
      </c>
      <c r="B2755" s="1" t="s">
        <v>4875</v>
      </c>
      <c r="C2755" s="1" t="s">
        <v>4963</v>
      </c>
      <c r="D2755" s="1" t="s">
        <v>5449</v>
      </c>
      <c r="E2755" s="1" t="str">
        <f>"2320"</f>
        <v>2320</v>
      </c>
      <c r="F2755" s="1" t="s">
        <v>975</v>
      </c>
      <c r="G2755" s="1" t="s">
        <v>976</v>
      </c>
      <c r="H2755" s="1" t="s">
        <v>16</v>
      </c>
      <c r="I2755" s="4" t="str">
        <f>"1"</f>
        <v>1</v>
      </c>
      <c r="J2755" s="2" t="str">
        <f>"36123"</f>
        <v>36123</v>
      </c>
      <c r="K2755" s="3">
        <v>46196</v>
      </c>
      <c r="L2755" s="3">
        <v>46203</v>
      </c>
      <c r="M2755" s="1" t="s">
        <v>5448</v>
      </c>
      <c r="N2755" s="1" t="s">
        <v>5447</v>
      </c>
    </row>
    <row r="2756" spans="1:14" s="1" customFormat="1" x14ac:dyDescent="0.35">
      <c r="A2756" s="1" t="s">
        <v>5171</v>
      </c>
      <c r="B2756" s="1" t="s">
        <v>4875</v>
      </c>
      <c r="C2756" s="1" t="s">
        <v>4963</v>
      </c>
      <c r="D2756" s="1" t="s">
        <v>5446</v>
      </c>
      <c r="E2756" s="1" t="str">
        <f>"2320"</f>
        <v>2320</v>
      </c>
      <c r="F2756" s="1" t="s">
        <v>975</v>
      </c>
      <c r="G2756" s="1" t="s">
        <v>976</v>
      </c>
      <c r="H2756" s="1" t="s">
        <v>16</v>
      </c>
      <c r="I2756" s="4" t="str">
        <f>"1"</f>
        <v>1</v>
      </c>
      <c r="J2756" s="2" t="str">
        <f>"36123"</f>
        <v>36123</v>
      </c>
      <c r="K2756" s="3">
        <v>46196</v>
      </c>
      <c r="L2756" s="3">
        <v>46203</v>
      </c>
      <c r="M2756" s="1" t="s">
        <v>5445</v>
      </c>
      <c r="N2756" s="1" t="s">
        <v>5442</v>
      </c>
    </row>
    <row r="2757" spans="1:14" s="1" customFormat="1" x14ac:dyDescent="0.35">
      <c r="A2757" s="1" t="s">
        <v>5171</v>
      </c>
      <c r="B2757" s="1" t="s">
        <v>4875</v>
      </c>
      <c r="C2757" s="1" t="s">
        <v>4963</v>
      </c>
      <c r="D2757" s="1" t="s">
        <v>5444</v>
      </c>
      <c r="E2757" s="1" t="str">
        <f>"2320"</f>
        <v>2320</v>
      </c>
      <c r="F2757" s="1" t="s">
        <v>975</v>
      </c>
      <c r="G2757" s="1" t="s">
        <v>976</v>
      </c>
      <c r="H2757" s="1" t="s">
        <v>16</v>
      </c>
      <c r="I2757" s="4" t="str">
        <f>"1"</f>
        <v>1</v>
      </c>
      <c r="J2757" s="2">
        <v>36645.83</v>
      </c>
      <c r="K2757" s="3">
        <v>46196</v>
      </c>
      <c r="L2757" s="3">
        <v>46203</v>
      </c>
      <c r="M2757" s="1" t="s">
        <v>5443</v>
      </c>
      <c r="N2757" s="1" t="s">
        <v>5442</v>
      </c>
    </row>
    <row r="2758" spans="1:14" s="1" customFormat="1" x14ac:dyDescent="0.35">
      <c r="A2758" s="1" t="s">
        <v>5171</v>
      </c>
      <c r="B2758" s="1" t="s">
        <v>4997</v>
      </c>
      <c r="C2758" s="1" t="s">
        <v>5077</v>
      </c>
      <c r="D2758" s="1" t="s">
        <v>5441</v>
      </c>
      <c r="E2758" s="1" t="str">
        <f>"5855"</f>
        <v>5855</v>
      </c>
      <c r="F2758" s="1" t="str">
        <f>"015777174"</f>
        <v>015777174</v>
      </c>
      <c r="G2758" s="1" t="s">
        <v>1366</v>
      </c>
      <c r="H2758" s="1" t="s">
        <v>16</v>
      </c>
      <c r="I2758" s="4" t="str">
        <f>"4"</f>
        <v>4</v>
      </c>
      <c r="J2758" s="2" t="str">
        <f>"1791"</f>
        <v>1791</v>
      </c>
      <c r="K2758" s="3">
        <v>46114</v>
      </c>
      <c r="L2758" s="3">
        <v>46116</v>
      </c>
      <c r="M2758" s="1" t="s">
        <v>5440</v>
      </c>
      <c r="N2758" s="1" t="s">
        <v>5085</v>
      </c>
    </row>
    <row r="2759" spans="1:14" s="1" customFormat="1" x14ac:dyDescent="0.35">
      <c r="A2759" s="1" t="s">
        <v>5171</v>
      </c>
      <c r="B2759" s="1" t="s">
        <v>4997</v>
      </c>
      <c r="C2759" s="1" t="s">
        <v>5077</v>
      </c>
      <c r="D2759" s="1" t="s">
        <v>5439</v>
      </c>
      <c r="E2759" s="1" t="str">
        <f>"6130"</f>
        <v>6130</v>
      </c>
      <c r="F2759" s="1" t="str">
        <f>"016485273"</f>
        <v>016485273</v>
      </c>
      <c r="G2759" s="1" t="s">
        <v>227</v>
      </c>
      <c r="H2759" s="1" t="s">
        <v>16</v>
      </c>
      <c r="I2759" s="4" t="str">
        <f>"1"</f>
        <v>1</v>
      </c>
      <c r="J2759" s="2">
        <v>397.58</v>
      </c>
      <c r="K2759" s="3">
        <v>46047</v>
      </c>
      <c r="L2759" s="3">
        <v>46118</v>
      </c>
      <c r="M2759" s="1" t="s">
        <v>5438</v>
      </c>
      <c r="N2759" s="1" t="s">
        <v>5437</v>
      </c>
    </row>
    <row r="2760" spans="1:14" s="1" customFormat="1" x14ac:dyDescent="0.35">
      <c r="A2760" s="1" t="s">
        <v>5171</v>
      </c>
      <c r="B2760" s="1" t="s">
        <v>4997</v>
      </c>
      <c r="C2760" s="1" t="s">
        <v>5379</v>
      </c>
      <c r="D2760" s="1" t="s">
        <v>5436</v>
      </c>
      <c r="E2760" s="1" t="str">
        <f>"7830"</f>
        <v>7830</v>
      </c>
      <c r="F2760" s="1" t="s">
        <v>5263</v>
      </c>
      <c r="G2760" s="1" t="s">
        <v>5262</v>
      </c>
      <c r="H2760" s="1" t="s">
        <v>16</v>
      </c>
      <c r="I2760" s="4" t="str">
        <f>"27"</f>
        <v>27</v>
      </c>
      <c r="J2760" s="2" t="str">
        <f>"50"</f>
        <v>50</v>
      </c>
      <c r="K2760" s="3">
        <v>46117</v>
      </c>
      <c r="L2760" s="3">
        <v>46119</v>
      </c>
      <c r="M2760" s="1" t="s">
        <v>5435</v>
      </c>
      <c r="N2760" s="1" t="s">
        <v>5434</v>
      </c>
    </row>
    <row r="2761" spans="1:14" s="1" customFormat="1" x14ac:dyDescent="0.35">
      <c r="A2761" s="1" t="s">
        <v>5171</v>
      </c>
      <c r="B2761" s="1" t="s">
        <v>4997</v>
      </c>
      <c r="C2761" s="1" t="s">
        <v>5077</v>
      </c>
      <c r="D2761" s="1" t="s">
        <v>5433</v>
      </c>
      <c r="E2761" s="1" t="str">
        <f>"5855"</f>
        <v>5855</v>
      </c>
      <c r="F2761" s="1" t="str">
        <f>"015026414"</f>
        <v>015026414</v>
      </c>
      <c r="G2761" s="1" t="s">
        <v>1366</v>
      </c>
      <c r="H2761" s="1" t="s">
        <v>16</v>
      </c>
      <c r="I2761" s="4" t="str">
        <f>"3"</f>
        <v>3</v>
      </c>
      <c r="J2761" s="2">
        <v>8857.7999999999993</v>
      </c>
      <c r="K2761" s="3">
        <v>46113</v>
      </c>
      <c r="L2761" s="3">
        <v>46119</v>
      </c>
      <c r="M2761" s="1" t="s">
        <v>5432</v>
      </c>
      <c r="N2761" s="1" t="s">
        <v>5431</v>
      </c>
    </row>
    <row r="2762" spans="1:14" s="1" customFormat="1" x14ac:dyDescent="0.35">
      <c r="A2762" s="1" t="s">
        <v>5171</v>
      </c>
      <c r="B2762" s="1" t="s">
        <v>4997</v>
      </c>
      <c r="C2762" s="1" t="s">
        <v>5037</v>
      </c>
      <c r="D2762" s="1" t="s">
        <v>5430</v>
      </c>
      <c r="E2762" s="1" t="str">
        <f>"5180"</f>
        <v>5180</v>
      </c>
      <c r="F2762" s="1" t="s">
        <v>88</v>
      </c>
      <c r="G2762" s="1" t="s">
        <v>89</v>
      </c>
      <c r="H2762" s="1" t="s">
        <v>16</v>
      </c>
      <c r="I2762" s="4" t="str">
        <f>"1"</f>
        <v>1</v>
      </c>
      <c r="J2762" s="2">
        <v>7177.64</v>
      </c>
      <c r="K2762" s="3">
        <v>46119</v>
      </c>
      <c r="L2762" s="3">
        <v>46120</v>
      </c>
      <c r="M2762" s="1" t="s">
        <v>5167</v>
      </c>
      <c r="N2762" s="1" t="s">
        <v>5429</v>
      </c>
    </row>
    <row r="2763" spans="1:14" s="1" customFormat="1" x14ac:dyDescent="0.35">
      <c r="A2763" s="1" t="s">
        <v>5171</v>
      </c>
      <c r="B2763" s="1" t="s">
        <v>4997</v>
      </c>
      <c r="C2763" s="1" t="s">
        <v>5428</v>
      </c>
      <c r="D2763" s="1" t="s">
        <v>5427</v>
      </c>
      <c r="E2763" s="1" t="str">
        <f>"2320"</f>
        <v>2320</v>
      </c>
      <c r="F2763" s="1" t="str">
        <f>"014473890"</f>
        <v>014473890</v>
      </c>
      <c r="G2763" s="1" t="s">
        <v>271</v>
      </c>
      <c r="H2763" s="1" t="s">
        <v>16</v>
      </c>
      <c r="I2763" s="4" t="str">
        <f>"1"</f>
        <v>1</v>
      </c>
      <c r="J2763" s="2" t="str">
        <f>"184333"</f>
        <v>184333</v>
      </c>
      <c r="K2763" s="3">
        <v>46106</v>
      </c>
      <c r="L2763" s="3">
        <v>46120</v>
      </c>
      <c r="M2763" s="1" t="s">
        <v>5426</v>
      </c>
      <c r="N2763" s="1" t="s">
        <v>5425</v>
      </c>
    </row>
    <row r="2764" spans="1:14" s="1" customFormat="1" x14ac:dyDescent="0.35">
      <c r="A2764" s="1" t="s">
        <v>5171</v>
      </c>
      <c r="B2764" s="1" t="s">
        <v>4997</v>
      </c>
      <c r="C2764" s="1" t="s">
        <v>5424</v>
      </c>
      <c r="D2764" s="1" t="s">
        <v>5423</v>
      </c>
      <c r="E2764" s="1" t="str">
        <f>"5180"</f>
        <v>5180</v>
      </c>
      <c r="F2764" s="1" t="s">
        <v>88</v>
      </c>
      <c r="G2764" s="1" t="s">
        <v>89</v>
      </c>
      <c r="H2764" s="1" t="s">
        <v>16</v>
      </c>
      <c r="I2764" s="4" t="str">
        <f>"2"</f>
        <v>2</v>
      </c>
      <c r="J2764" s="2" t="str">
        <f>"4300"</f>
        <v>4300</v>
      </c>
      <c r="K2764" s="3">
        <v>46120</v>
      </c>
      <c r="L2764" s="3">
        <v>46121</v>
      </c>
      <c r="M2764" s="1" t="s">
        <v>5167</v>
      </c>
      <c r="N2764" s="1" t="s">
        <v>5422</v>
      </c>
    </row>
    <row r="2765" spans="1:14" s="1" customFormat="1" x14ac:dyDescent="0.35">
      <c r="A2765" s="1" t="s">
        <v>5171</v>
      </c>
      <c r="B2765" s="1" t="s">
        <v>4997</v>
      </c>
      <c r="C2765" s="1" t="s">
        <v>5421</v>
      </c>
      <c r="D2765" s="1" t="s">
        <v>5420</v>
      </c>
      <c r="E2765" s="1" t="str">
        <f>"5855"</f>
        <v>5855</v>
      </c>
      <c r="F2765" s="1" t="str">
        <f>"014684169"</f>
        <v>014684169</v>
      </c>
      <c r="G2765" s="1" t="s">
        <v>1366</v>
      </c>
      <c r="H2765" s="1" t="s">
        <v>16</v>
      </c>
      <c r="I2765" s="4" t="str">
        <f>"1"</f>
        <v>1</v>
      </c>
      <c r="J2765" s="2">
        <v>790.97</v>
      </c>
      <c r="K2765" s="3">
        <v>46114</v>
      </c>
      <c r="L2765" s="3">
        <v>46123</v>
      </c>
      <c r="M2765" s="1" t="s">
        <v>5419</v>
      </c>
      <c r="N2765" s="1" t="s">
        <v>5418</v>
      </c>
    </row>
    <row r="2766" spans="1:14" s="1" customFormat="1" x14ac:dyDescent="0.35">
      <c r="A2766" s="1" t="s">
        <v>5171</v>
      </c>
      <c r="B2766" s="1" t="s">
        <v>4997</v>
      </c>
      <c r="C2766" s="1" t="s">
        <v>5379</v>
      </c>
      <c r="D2766" s="1" t="s">
        <v>5417</v>
      </c>
      <c r="E2766" s="1" t="str">
        <f>"2330"</f>
        <v>2330</v>
      </c>
      <c r="F2766" s="1" t="s">
        <v>70</v>
      </c>
      <c r="G2766" s="1" t="s">
        <v>71</v>
      </c>
      <c r="H2766" s="1" t="s">
        <v>16</v>
      </c>
      <c r="I2766" s="4" t="str">
        <f>"1"</f>
        <v>1</v>
      </c>
      <c r="J2766" s="2" t="str">
        <f>"16229"</f>
        <v>16229</v>
      </c>
      <c r="K2766" s="3">
        <v>46117</v>
      </c>
      <c r="L2766" s="3">
        <v>46126</v>
      </c>
      <c r="M2766" s="1" t="s">
        <v>5416</v>
      </c>
      <c r="N2766" s="1" t="s">
        <v>5415</v>
      </c>
    </row>
    <row r="2767" spans="1:14" s="1" customFormat="1" x14ac:dyDescent="0.35">
      <c r="A2767" s="1" t="s">
        <v>5171</v>
      </c>
      <c r="B2767" s="1" t="s">
        <v>4997</v>
      </c>
      <c r="C2767" s="1" t="s">
        <v>5077</v>
      </c>
      <c r="D2767" s="1" t="s">
        <v>5414</v>
      </c>
      <c r="E2767" s="1" t="str">
        <f>"7520"</f>
        <v>7520</v>
      </c>
      <c r="F2767" s="1" t="str">
        <f>"013527321"</f>
        <v>013527321</v>
      </c>
      <c r="G2767" s="1" t="s">
        <v>5413</v>
      </c>
      <c r="H2767" s="1" t="s">
        <v>458</v>
      </c>
      <c r="I2767" s="4" t="str">
        <f>"10"</f>
        <v>10</v>
      </c>
      <c r="J2767" s="2">
        <v>10.6</v>
      </c>
      <c r="K2767" s="3">
        <v>46123</v>
      </c>
      <c r="L2767" s="3">
        <v>46126</v>
      </c>
      <c r="M2767" s="1" t="s">
        <v>5412</v>
      </c>
      <c r="N2767" s="1" t="s">
        <v>5411</v>
      </c>
    </row>
    <row r="2768" spans="1:14" s="1" customFormat="1" x14ac:dyDescent="0.35">
      <c r="A2768" s="1" t="s">
        <v>5216</v>
      </c>
      <c r="B2768" s="1" t="s">
        <v>4997</v>
      </c>
      <c r="C2768" s="1" t="s">
        <v>5408</v>
      </c>
      <c r="D2768" s="1" t="s">
        <v>5410</v>
      </c>
      <c r="E2768" s="1" t="str">
        <f>"1095"</f>
        <v>1095</v>
      </c>
      <c r="F2768" s="1" t="str">
        <f>"015717344"</f>
        <v>015717344</v>
      </c>
      <c r="G2768" s="1" t="s">
        <v>2010</v>
      </c>
      <c r="H2768" s="1" t="s">
        <v>16</v>
      </c>
      <c r="I2768" s="4" t="str">
        <f>"1"</f>
        <v>1</v>
      </c>
      <c r="J2768" s="2">
        <v>1203.3499999999999</v>
      </c>
      <c r="K2768" s="3">
        <v>46122</v>
      </c>
      <c r="L2768" s="3">
        <v>46139</v>
      </c>
      <c r="M2768" s="1" t="s">
        <v>5224</v>
      </c>
      <c r="N2768" s="1" t="s">
        <v>5409</v>
      </c>
    </row>
    <row r="2769" spans="1:14" s="1" customFormat="1" x14ac:dyDescent="0.35">
      <c r="A2769" s="1" t="s">
        <v>5216</v>
      </c>
      <c r="B2769" s="1" t="s">
        <v>4997</v>
      </c>
      <c r="C2769" s="1" t="s">
        <v>5408</v>
      </c>
      <c r="D2769" s="1" t="s">
        <v>5407</v>
      </c>
      <c r="E2769" s="1" t="str">
        <f>"1095"</f>
        <v>1095</v>
      </c>
      <c r="F2769" s="1" t="str">
        <f>"004070674"</f>
        <v>004070674</v>
      </c>
      <c r="G2769" s="1" t="s">
        <v>2010</v>
      </c>
      <c r="H2769" s="1" t="s">
        <v>16</v>
      </c>
      <c r="I2769" s="4" t="str">
        <f>"1"</f>
        <v>1</v>
      </c>
      <c r="J2769" s="2">
        <v>1098.96</v>
      </c>
      <c r="K2769" s="3">
        <v>46122</v>
      </c>
      <c r="L2769" s="3">
        <v>46139</v>
      </c>
      <c r="M2769" s="1" t="s">
        <v>5224</v>
      </c>
      <c r="N2769" s="1" t="s">
        <v>5406</v>
      </c>
    </row>
    <row r="2770" spans="1:14" s="1" customFormat="1" x14ac:dyDescent="0.35">
      <c r="A2770" s="1" t="s">
        <v>5171</v>
      </c>
      <c r="B2770" s="1" t="s">
        <v>4997</v>
      </c>
      <c r="C2770" s="1" t="s">
        <v>5379</v>
      </c>
      <c r="D2770" s="1" t="s">
        <v>5405</v>
      </c>
      <c r="E2770" s="1" t="str">
        <f>"2320"</f>
        <v>2320</v>
      </c>
      <c r="F2770" s="1" t="str">
        <f>"015959568"</f>
        <v>015959568</v>
      </c>
      <c r="G2770" s="1" t="s">
        <v>5404</v>
      </c>
      <c r="H2770" s="1" t="s">
        <v>16</v>
      </c>
      <c r="I2770" s="4" t="str">
        <f>"1"</f>
        <v>1</v>
      </c>
      <c r="J2770" s="2" t="str">
        <f>"31613"</f>
        <v>31613</v>
      </c>
      <c r="K2770" s="3">
        <v>46130</v>
      </c>
      <c r="L2770" s="3">
        <v>46140</v>
      </c>
      <c r="M2770" s="1" t="s">
        <v>5403</v>
      </c>
      <c r="N2770" s="1" t="s">
        <v>5402</v>
      </c>
    </row>
    <row r="2771" spans="1:14" s="1" customFormat="1" x14ac:dyDescent="0.35">
      <c r="A2771" s="1" t="s">
        <v>5171</v>
      </c>
      <c r="B2771" s="1" t="s">
        <v>4997</v>
      </c>
      <c r="C2771" s="1" t="s">
        <v>5037</v>
      </c>
      <c r="D2771" s="1" t="s">
        <v>5401</v>
      </c>
      <c r="E2771" s="1" t="str">
        <f>"2340"</f>
        <v>2340</v>
      </c>
      <c r="F2771" s="1" t="s">
        <v>84</v>
      </c>
      <c r="G2771" s="1" t="s">
        <v>85</v>
      </c>
      <c r="H2771" s="1" t="s">
        <v>16</v>
      </c>
      <c r="I2771" s="4" t="str">
        <f>"1"</f>
        <v>1</v>
      </c>
      <c r="J2771" s="2" t="str">
        <f>"7499"</f>
        <v>7499</v>
      </c>
      <c r="K2771" s="3">
        <v>46131</v>
      </c>
      <c r="L2771" s="3">
        <v>46143</v>
      </c>
      <c r="M2771" s="1" t="s">
        <v>5400</v>
      </c>
      <c r="N2771" s="1" t="s">
        <v>5399</v>
      </c>
    </row>
    <row r="2772" spans="1:14" s="1" customFormat="1" x14ac:dyDescent="0.35">
      <c r="A2772" s="1" t="s">
        <v>5171</v>
      </c>
      <c r="B2772" s="1" t="s">
        <v>4997</v>
      </c>
      <c r="C2772" s="1" t="s">
        <v>5037</v>
      </c>
      <c r="D2772" s="1" t="s">
        <v>5398</v>
      </c>
      <c r="E2772" s="1" t="str">
        <f>"3930"</f>
        <v>3930</v>
      </c>
      <c r="F2772" s="1" t="s">
        <v>1476</v>
      </c>
      <c r="G2772" s="1" t="s">
        <v>1477</v>
      </c>
      <c r="H2772" s="1" t="s">
        <v>16</v>
      </c>
      <c r="I2772" s="4" t="str">
        <f>"1"</f>
        <v>1</v>
      </c>
      <c r="J2772" s="2" t="str">
        <f>"39217"</f>
        <v>39217</v>
      </c>
      <c r="K2772" s="3">
        <v>46152</v>
      </c>
      <c r="L2772" s="3">
        <v>46154</v>
      </c>
      <c r="M2772" s="1" t="s">
        <v>5397</v>
      </c>
      <c r="N2772" s="1" t="s">
        <v>5396</v>
      </c>
    </row>
    <row r="2773" spans="1:14" s="1" customFormat="1" x14ac:dyDescent="0.35">
      <c r="A2773" s="1" t="s">
        <v>5171</v>
      </c>
      <c r="B2773" s="1" t="s">
        <v>4997</v>
      </c>
      <c r="C2773" s="1" t="s">
        <v>5379</v>
      </c>
      <c r="D2773" s="1" t="s">
        <v>5395</v>
      </c>
      <c r="E2773" s="1" t="str">
        <f>"2330"</f>
        <v>2330</v>
      </c>
      <c r="F2773" s="1" t="s">
        <v>70</v>
      </c>
      <c r="G2773" s="1" t="s">
        <v>71</v>
      </c>
      <c r="H2773" s="1" t="s">
        <v>16</v>
      </c>
      <c r="I2773" s="4" t="str">
        <f>"1"</f>
        <v>1</v>
      </c>
      <c r="J2773" s="2" t="str">
        <f>"14555"</f>
        <v>14555</v>
      </c>
      <c r="K2773" s="3">
        <v>46146</v>
      </c>
      <c r="L2773" s="3">
        <v>46158</v>
      </c>
      <c r="M2773" s="1" t="s">
        <v>5394</v>
      </c>
      <c r="N2773" s="1" t="s">
        <v>5393</v>
      </c>
    </row>
    <row r="2774" spans="1:14" s="1" customFormat="1" x14ac:dyDescent="0.35">
      <c r="A2774" s="1" t="s">
        <v>5171</v>
      </c>
      <c r="B2774" s="1" t="s">
        <v>4997</v>
      </c>
      <c r="C2774" s="1" t="s">
        <v>5379</v>
      </c>
      <c r="D2774" s="1" t="s">
        <v>5392</v>
      </c>
      <c r="E2774" s="1" t="str">
        <f>"5855"</f>
        <v>5855</v>
      </c>
      <c r="F2774" s="1" t="str">
        <f>"015096871"</f>
        <v>015096871</v>
      </c>
      <c r="G2774" s="1" t="s">
        <v>2128</v>
      </c>
      <c r="H2774" s="1" t="s">
        <v>16</v>
      </c>
      <c r="I2774" s="4" t="str">
        <f>"1"</f>
        <v>1</v>
      </c>
      <c r="J2774" s="2" t="str">
        <f>"14583"</f>
        <v>14583</v>
      </c>
      <c r="K2774" s="3">
        <v>46147</v>
      </c>
      <c r="L2774" s="3">
        <v>46158</v>
      </c>
      <c r="M2774" s="1" t="s">
        <v>5391</v>
      </c>
      <c r="N2774" s="1" t="s">
        <v>5390</v>
      </c>
    </row>
    <row r="2775" spans="1:14" s="1" customFormat="1" x14ac:dyDescent="0.35">
      <c r="A2775" s="1" t="s">
        <v>5171</v>
      </c>
      <c r="B2775" s="1" t="s">
        <v>4997</v>
      </c>
      <c r="C2775" s="1" t="s">
        <v>5379</v>
      </c>
      <c r="D2775" s="1" t="s">
        <v>5389</v>
      </c>
      <c r="E2775" s="1" t="str">
        <f>"5855"</f>
        <v>5855</v>
      </c>
      <c r="F2775" s="1" t="str">
        <f>"015315726"</f>
        <v>015315726</v>
      </c>
      <c r="G2775" s="1" t="s">
        <v>175</v>
      </c>
      <c r="H2775" s="1" t="s">
        <v>16</v>
      </c>
      <c r="I2775" s="4" t="str">
        <f>"4"</f>
        <v>4</v>
      </c>
      <c r="J2775" s="2" t="str">
        <f>"10089"</f>
        <v>10089</v>
      </c>
      <c r="K2775" s="3">
        <v>46154</v>
      </c>
      <c r="L2775" s="3">
        <v>46158</v>
      </c>
      <c r="M2775" s="1" t="s">
        <v>5388</v>
      </c>
      <c r="N2775" s="1" t="s">
        <v>5387</v>
      </c>
    </row>
    <row r="2776" spans="1:14" s="1" customFormat="1" x14ac:dyDescent="0.35">
      <c r="A2776" s="1" t="s">
        <v>5171</v>
      </c>
      <c r="B2776" s="1" t="s">
        <v>4997</v>
      </c>
      <c r="C2776" s="1" t="s">
        <v>5037</v>
      </c>
      <c r="D2776" s="1" t="s">
        <v>5386</v>
      </c>
      <c r="E2776" s="1" t="str">
        <f>"5180"</f>
        <v>5180</v>
      </c>
      <c r="F2776" s="1" t="s">
        <v>88</v>
      </c>
      <c r="G2776" s="1" t="s">
        <v>89</v>
      </c>
      <c r="H2776" s="1" t="s">
        <v>16</v>
      </c>
      <c r="I2776" s="4" t="str">
        <f>"4"</f>
        <v>4</v>
      </c>
      <c r="J2776" s="2" t="str">
        <f>"10000"</f>
        <v>10000</v>
      </c>
      <c r="K2776" s="3">
        <v>46151</v>
      </c>
      <c r="L2776" s="3">
        <v>46161</v>
      </c>
      <c r="M2776" s="1" t="s">
        <v>5385</v>
      </c>
      <c r="N2776" s="1" t="s">
        <v>5384</v>
      </c>
    </row>
    <row r="2777" spans="1:14" s="1" customFormat="1" x14ac:dyDescent="0.35">
      <c r="A2777" s="1" t="s">
        <v>5171</v>
      </c>
      <c r="B2777" s="1" t="s">
        <v>4997</v>
      </c>
      <c r="C2777" s="1" t="s">
        <v>5077</v>
      </c>
      <c r="D2777" s="1" t="s">
        <v>5383</v>
      </c>
      <c r="E2777" s="1" t="str">
        <f>"7920"</f>
        <v>7920</v>
      </c>
      <c r="F2777" s="1" t="s">
        <v>5382</v>
      </c>
      <c r="G2777" s="1" t="s">
        <v>5381</v>
      </c>
      <c r="H2777" s="1" t="s">
        <v>16</v>
      </c>
      <c r="I2777" s="4" t="str">
        <f>"720"</f>
        <v>720</v>
      </c>
      <c r="J2777" s="2">
        <v>13.38</v>
      </c>
      <c r="K2777" s="3">
        <v>46159</v>
      </c>
      <c r="L2777" s="3">
        <v>46161</v>
      </c>
      <c r="M2777" s="1" t="s">
        <v>5167</v>
      </c>
      <c r="N2777" s="1" t="s">
        <v>5380</v>
      </c>
    </row>
    <row r="2778" spans="1:14" s="1" customFormat="1" x14ac:dyDescent="0.35">
      <c r="A2778" s="1" t="s">
        <v>5171</v>
      </c>
      <c r="B2778" s="1" t="s">
        <v>4997</v>
      </c>
      <c r="C2778" s="1" t="s">
        <v>5379</v>
      </c>
      <c r="D2778" s="1" t="s">
        <v>5378</v>
      </c>
      <c r="E2778" s="1" t="str">
        <f>"8460"</f>
        <v>8460</v>
      </c>
      <c r="F2778" s="1" t="s">
        <v>1740</v>
      </c>
      <c r="G2778" s="1" t="s">
        <v>1741</v>
      </c>
      <c r="H2778" s="1" t="s">
        <v>16</v>
      </c>
      <c r="I2778" s="4" t="str">
        <f>"3"</f>
        <v>3</v>
      </c>
      <c r="J2778" s="2" t="str">
        <f>"200"</f>
        <v>200</v>
      </c>
      <c r="K2778" s="3">
        <v>46160</v>
      </c>
      <c r="L2778" s="3">
        <v>46163</v>
      </c>
      <c r="M2778" s="1" t="s">
        <v>5377</v>
      </c>
      <c r="N2778" s="1" t="s">
        <v>5376</v>
      </c>
    </row>
    <row r="2779" spans="1:14" s="1" customFormat="1" x14ac:dyDescent="0.35">
      <c r="A2779" s="1" t="s">
        <v>5171</v>
      </c>
      <c r="B2779" s="1" t="s">
        <v>4997</v>
      </c>
      <c r="C2779" s="1" t="s">
        <v>5077</v>
      </c>
      <c r="D2779" s="1" t="s">
        <v>5375</v>
      </c>
      <c r="E2779" s="1" t="str">
        <f>"8460"</f>
        <v>8460</v>
      </c>
      <c r="F2779" s="1" t="s">
        <v>1740</v>
      </c>
      <c r="G2779" s="1" t="s">
        <v>1741</v>
      </c>
      <c r="H2779" s="1" t="s">
        <v>16</v>
      </c>
      <c r="I2779" s="4" t="str">
        <f>"3"</f>
        <v>3</v>
      </c>
      <c r="J2779" s="2" t="str">
        <f>"200"</f>
        <v>200</v>
      </c>
      <c r="K2779" s="3">
        <v>46159</v>
      </c>
      <c r="L2779" s="3">
        <v>46163</v>
      </c>
      <c r="M2779" s="1" t="s">
        <v>5374</v>
      </c>
      <c r="N2779" s="1" t="s">
        <v>5373</v>
      </c>
    </row>
    <row r="2780" spans="1:14" s="1" customFormat="1" x14ac:dyDescent="0.35">
      <c r="A2780" s="1" t="s">
        <v>5171</v>
      </c>
      <c r="B2780" s="1" t="s">
        <v>4997</v>
      </c>
      <c r="C2780" s="1" t="s">
        <v>5077</v>
      </c>
      <c r="D2780" s="1" t="s">
        <v>5372</v>
      </c>
      <c r="E2780" s="1" t="str">
        <f>"4933"</f>
        <v>4933</v>
      </c>
      <c r="F2780" s="1" t="str">
        <f>"013972539"</f>
        <v>013972539</v>
      </c>
      <c r="G2780" s="1" t="s">
        <v>5371</v>
      </c>
      <c r="H2780" s="1" t="s">
        <v>16</v>
      </c>
      <c r="I2780" s="4" t="str">
        <f>"1"</f>
        <v>1</v>
      </c>
      <c r="J2780" s="2">
        <v>10706.72</v>
      </c>
      <c r="K2780" s="3">
        <v>46159</v>
      </c>
      <c r="L2780" s="3">
        <v>46163</v>
      </c>
      <c r="M2780" s="1" t="s">
        <v>5370</v>
      </c>
      <c r="N2780" s="1" t="s">
        <v>5369</v>
      </c>
    </row>
    <row r="2781" spans="1:14" s="1" customFormat="1" x14ac:dyDescent="0.35">
      <c r="A2781" s="1" t="s">
        <v>5171</v>
      </c>
      <c r="B2781" s="1" t="s">
        <v>4997</v>
      </c>
      <c r="C2781" s="1" t="s">
        <v>5077</v>
      </c>
      <c r="D2781" s="1" t="s">
        <v>5368</v>
      </c>
      <c r="E2781" s="1" t="str">
        <f>"1005"</f>
        <v>1005</v>
      </c>
      <c r="F2781" s="1" t="str">
        <f>"015263466"</f>
        <v>015263466</v>
      </c>
      <c r="G2781" s="1" t="s">
        <v>5360</v>
      </c>
      <c r="H2781" s="1" t="s">
        <v>16</v>
      </c>
      <c r="I2781" s="4" t="str">
        <f>"3"</f>
        <v>3</v>
      </c>
      <c r="J2781" s="2">
        <v>204.17</v>
      </c>
      <c r="K2781" s="3">
        <v>46159</v>
      </c>
      <c r="L2781" s="3">
        <v>46170</v>
      </c>
      <c r="M2781" s="1" t="s">
        <v>5367</v>
      </c>
      <c r="N2781" s="1" t="s">
        <v>5366</v>
      </c>
    </row>
    <row r="2782" spans="1:14" s="1" customFormat="1" x14ac:dyDescent="0.35">
      <c r="A2782" s="1" t="s">
        <v>5171</v>
      </c>
      <c r="B2782" s="1" t="s">
        <v>4997</v>
      </c>
      <c r="C2782" s="1" t="s">
        <v>5077</v>
      </c>
      <c r="D2782" s="1" t="s">
        <v>5365</v>
      </c>
      <c r="E2782" s="1" t="str">
        <f>"5855"</f>
        <v>5855</v>
      </c>
      <c r="F2782" s="1" t="str">
        <f>"015096872"</f>
        <v>015096872</v>
      </c>
      <c r="G2782" s="1" t="s">
        <v>5364</v>
      </c>
      <c r="H2782" s="1" t="s">
        <v>16</v>
      </c>
      <c r="I2782" s="4" t="str">
        <f>"2"</f>
        <v>2</v>
      </c>
      <c r="J2782" s="2" t="str">
        <f>"1160"</f>
        <v>1160</v>
      </c>
      <c r="K2782" s="3">
        <v>46159</v>
      </c>
      <c r="L2782" s="3">
        <v>46170</v>
      </c>
      <c r="M2782" s="1" t="s">
        <v>5363</v>
      </c>
      <c r="N2782" s="1" t="s">
        <v>5362</v>
      </c>
    </row>
    <row r="2783" spans="1:14" s="1" customFormat="1" x14ac:dyDescent="0.35">
      <c r="A2783" s="1" t="s">
        <v>5171</v>
      </c>
      <c r="B2783" s="1" t="s">
        <v>4997</v>
      </c>
      <c r="C2783" s="1" t="s">
        <v>5077</v>
      </c>
      <c r="D2783" s="1" t="s">
        <v>5361</v>
      </c>
      <c r="E2783" s="1" t="str">
        <f>"1005"</f>
        <v>1005</v>
      </c>
      <c r="F2783" s="1" t="str">
        <f>"015263466"</f>
        <v>015263466</v>
      </c>
      <c r="G2783" s="1" t="s">
        <v>5360</v>
      </c>
      <c r="H2783" s="1" t="s">
        <v>16</v>
      </c>
      <c r="I2783" s="4" t="str">
        <f>"3"</f>
        <v>3</v>
      </c>
      <c r="J2783" s="2">
        <v>204.17</v>
      </c>
      <c r="K2783" s="3">
        <v>46159</v>
      </c>
      <c r="L2783" s="3">
        <v>46170</v>
      </c>
      <c r="M2783" s="1" t="s">
        <v>5359</v>
      </c>
      <c r="N2783" s="1" t="s">
        <v>5358</v>
      </c>
    </row>
    <row r="2784" spans="1:14" s="1" customFormat="1" x14ac:dyDescent="0.35">
      <c r="A2784" s="1" t="s">
        <v>5171</v>
      </c>
      <c r="B2784" s="1" t="s">
        <v>4997</v>
      </c>
      <c r="C2784" s="1" t="s">
        <v>4998</v>
      </c>
      <c r="D2784" s="1" t="s">
        <v>5357</v>
      </c>
      <c r="E2784" s="1" t="str">
        <f>"5836"</f>
        <v>5836</v>
      </c>
      <c r="F2784" s="1" t="s">
        <v>5356</v>
      </c>
      <c r="G2784" s="1" t="s">
        <v>5355</v>
      </c>
      <c r="H2784" s="1" t="s">
        <v>16</v>
      </c>
      <c r="I2784" s="4" t="str">
        <f>"2"</f>
        <v>2</v>
      </c>
      <c r="J2784" s="2">
        <v>426.99</v>
      </c>
      <c r="K2784" s="3">
        <v>46163</v>
      </c>
      <c r="L2784" s="3">
        <v>46175</v>
      </c>
      <c r="M2784" s="1" t="s">
        <v>5354</v>
      </c>
      <c r="N2784" s="1" t="s">
        <v>5353</v>
      </c>
    </row>
    <row r="2785" spans="1:14" s="1" customFormat="1" x14ac:dyDescent="0.35">
      <c r="A2785" s="1" t="s">
        <v>5171</v>
      </c>
      <c r="B2785" s="1" t="s">
        <v>4997</v>
      </c>
      <c r="C2785" s="1" t="s">
        <v>4998</v>
      </c>
      <c r="D2785" s="1" t="s">
        <v>5352</v>
      </c>
      <c r="E2785" s="1" t="str">
        <f>"6730"</f>
        <v>6730</v>
      </c>
      <c r="F2785" s="1" t="str">
        <f>"015357469"</f>
        <v>015357469</v>
      </c>
      <c r="G2785" s="1" t="s">
        <v>5351</v>
      </c>
      <c r="H2785" s="1" t="s">
        <v>16</v>
      </c>
      <c r="I2785" s="4" t="str">
        <f>"1"</f>
        <v>1</v>
      </c>
      <c r="J2785" s="2">
        <v>1048.21</v>
      </c>
      <c r="K2785" s="3">
        <v>46163</v>
      </c>
      <c r="L2785" s="3">
        <v>46175</v>
      </c>
      <c r="M2785" s="1" t="s">
        <v>5350</v>
      </c>
      <c r="N2785" s="1" t="s">
        <v>5349</v>
      </c>
    </row>
    <row r="2786" spans="1:14" s="1" customFormat="1" x14ac:dyDescent="0.35">
      <c r="A2786" s="1" t="s">
        <v>5171</v>
      </c>
      <c r="B2786" s="1" t="s">
        <v>4997</v>
      </c>
      <c r="C2786" s="1" t="s">
        <v>4998</v>
      </c>
      <c r="D2786" s="1" t="s">
        <v>5348</v>
      </c>
      <c r="E2786" s="1" t="str">
        <f>"6545"</f>
        <v>6545</v>
      </c>
      <c r="F2786" s="1" t="str">
        <f>"015300929"</f>
        <v>015300929</v>
      </c>
      <c r="G2786" s="1" t="s">
        <v>236</v>
      </c>
      <c r="H2786" s="1" t="s">
        <v>215</v>
      </c>
      <c r="I2786" s="4" t="str">
        <f>"35"</f>
        <v>35</v>
      </c>
      <c r="J2786" s="2">
        <v>48.71</v>
      </c>
      <c r="K2786" s="3">
        <v>46163</v>
      </c>
      <c r="L2786" s="3">
        <v>46175</v>
      </c>
      <c r="M2786" s="1" t="s">
        <v>5347</v>
      </c>
      <c r="N2786" s="1" t="s">
        <v>5346</v>
      </c>
    </row>
    <row r="2787" spans="1:14" s="1" customFormat="1" x14ac:dyDescent="0.35">
      <c r="A2787" s="1" t="s">
        <v>5171</v>
      </c>
      <c r="B2787" s="1" t="s">
        <v>4997</v>
      </c>
      <c r="C2787" s="1" t="s">
        <v>4998</v>
      </c>
      <c r="D2787" s="1" t="s">
        <v>5345</v>
      </c>
      <c r="E2787" s="1" t="str">
        <f>"8465"</f>
        <v>8465</v>
      </c>
      <c r="F2787" s="1" t="str">
        <f>"015247309"</f>
        <v>015247309</v>
      </c>
      <c r="G2787" s="1" t="s">
        <v>3600</v>
      </c>
      <c r="H2787" s="1" t="s">
        <v>16</v>
      </c>
      <c r="I2787" s="4" t="str">
        <f>"32"</f>
        <v>32</v>
      </c>
      <c r="J2787" s="2">
        <v>11.19</v>
      </c>
      <c r="K2787" s="3">
        <v>46165</v>
      </c>
      <c r="L2787" s="3">
        <v>46175</v>
      </c>
      <c r="M2787" s="1" t="s">
        <v>5344</v>
      </c>
      <c r="N2787" s="1" t="s">
        <v>5343</v>
      </c>
    </row>
    <row r="2788" spans="1:14" s="1" customFormat="1" x14ac:dyDescent="0.35">
      <c r="A2788" s="1" t="s">
        <v>5171</v>
      </c>
      <c r="B2788" s="1" t="s">
        <v>4997</v>
      </c>
      <c r="C2788" s="1" t="s">
        <v>4998</v>
      </c>
      <c r="D2788" s="1" t="s">
        <v>5342</v>
      </c>
      <c r="E2788" s="1" t="str">
        <f>"8465"</f>
        <v>8465</v>
      </c>
      <c r="F2788" s="1" t="str">
        <f>"015247309"</f>
        <v>015247309</v>
      </c>
      <c r="G2788" s="1" t="s">
        <v>3600</v>
      </c>
      <c r="H2788" s="1" t="s">
        <v>16</v>
      </c>
      <c r="I2788" s="4" t="str">
        <f>"20"</f>
        <v>20</v>
      </c>
      <c r="J2788" s="2">
        <v>11.19</v>
      </c>
      <c r="K2788" s="3">
        <v>46165</v>
      </c>
      <c r="L2788" s="3">
        <v>46175</v>
      </c>
      <c r="M2788" s="1" t="s">
        <v>5341</v>
      </c>
      <c r="N2788" s="1" t="s">
        <v>5340</v>
      </c>
    </row>
    <row r="2789" spans="1:14" s="1" customFormat="1" x14ac:dyDescent="0.35">
      <c r="A2789" s="1" t="s">
        <v>5216</v>
      </c>
      <c r="B2789" s="1" t="s">
        <v>4997</v>
      </c>
      <c r="C2789" s="1" t="s">
        <v>4998</v>
      </c>
      <c r="D2789" s="1" t="s">
        <v>5339</v>
      </c>
      <c r="E2789" s="1" t="str">
        <f>"8465"</f>
        <v>8465</v>
      </c>
      <c r="F2789" s="1" t="str">
        <f>"016982343"</f>
        <v>016982343</v>
      </c>
      <c r="G2789" s="1" t="s">
        <v>5097</v>
      </c>
      <c r="H2789" s="1" t="s">
        <v>215</v>
      </c>
      <c r="I2789" s="4" t="str">
        <f>"128"</f>
        <v>128</v>
      </c>
      <c r="J2789" s="2">
        <v>199.39</v>
      </c>
      <c r="K2789" s="3">
        <v>46176</v>
      </c>
      <c r="L2789" s="3">
        <v>46177</v>
      </c>
      <c r="M2789" s="1" t="s">
        <v>5224</v>
      </c>
      <c r="N2789" s="1" t="s">
        <v>5338</v>
      </c>
    </row>
    <row r="2790" spans="1:14" s="1" customFormat="1" x14ac:dyDescent="0.35">
      <c r="A2790" s="1" t="s">
        <v>5216</v>
      </c>
      <c r="B2790" s="1" t="s">
        <v>4997</v>
      </c>
      <c r="C2790" s="1" t="s">
        <v>4998</v>
      </c>
      <c r="D2790" s="1" t="s">
        <v>5337</v>
      </c>
      <c r="E2790" s="1" t="str">
        <f>"8145"</f>
        <v>8145</v>
      </c>
      <c r="F2790" s="1" t="str">
        <f>"015404454"</f>
        <v>015404454</v>
      </c>
      <c r="G2790" s="1" t="s">
        <v>423</v>
      </c>
      <c r="H2790" s="1" t="s">
        <v>16</v>
      </c>
      <c r="I2790" s="4" t="str">
        <f>"1"</f>
        <v>1</v>
      </c>
      <c r="J2790" s="2">
        <v>114.96</v>
      </c>
      <c r="K2790" s="3">
        <v>46176</v>
      </c>
      <c r="L2790" s="3">
        <v>46177</v>
      </c>
      <c r="M2790" s="1" t="s">
        <v>5224</v>
      </c>
      <c r="N2790" s="1" t="s">
        <v>5334</v>
      </c>
    </row>
    <row r="2791" spans="1:14" s="1" customFormat="1" x14ac:dyDescent="0.35">
      <c r="A2791" s="1" t="s">
        <v>5216</v>
      </c>
      <c r="B2791" s="1" t="s">
        <v>4997</v>
      </c>
      <c r="C2791" s="1" t="s">
        <v>4998</v>
      </c>
      <c r="D2791" s="1" t="s">
        <v>5336</v>
      </c>
      <c r="E2791" s="1" t="str">
        <f>"8145"</f>
        <v>8145</v>
      </c>
      <c r="F2791" s="1" t="str">
        <f>"015102074"</f>
        <v>015102074</v>
      </c>
      <c r="G2791" s="1" t="s">
        <v>423</v>
      </c>
      <c r="H2791" s="1" t="s">
        <v>16</v>
      </c>
      <c r="I2791" s="4" t="str">
        <f>"1"</f>
        <v>1</v>
      </c>
      <c r="J2791" s="2">
        <v>175.66</v>
      </c>
      <c r="K2791" s="3">
        <v>46176</v>
      </c>
      <c r="L2791" s="3">
        <v>46177</v>
      </c>
      <c r="M2791" s="1" t="s">
        <v>5224</v>
      </c>
      <c r="N2791" s="1" t="s">
        <v>5334</v>
      </c>
    </row>
    <row r="2792" spans="1:14" s="1" customFormat="1" x14ac:dyDescent="0.35">
      <c r="A2792" s="1" t="s">
        <v>5216</v>
      </c>
      <c r="B2792" s="1" t="s">
        <v>4997</v>
      </c>
      <c r="C2792" s="1" t="s">
        <v>4998</v>
      </c>
      <c r="D2792" s="1" t="s">
        <v>5335</v>
      </c>
      <c r="E2792" s="1" t="str">
        <f>"8145"</f>
        <v>8145</v>
      </c>
      <c r="F2792" s="1" t="str">
        <f>"015404463"</f>
        <v>015404463</v>
      </c>
      <c r="G2792" s="1" t="s">
        <v>423</v>
      </c>
      <c r="H2792" s="1" t="s">
        <v>16</v>
      </c>
      <c r="I2792" s="4" t="str">
        <f>"2"</f>
        <v>2</v>
      </c>
      <c r="J2792" s="2">
        <v>93.76</v>
      </c>
      <c r="K2792" s="3">
        <v>46176</v>
      </c>
      <c r="L2792" s="3">
        <v>46177</v>
      </c>
      <c r="M2792" s="1" t="s">
        <v>5224</v>
      </c>
      <c r="N2792" s="1" t="s">
        <v>5334</v>
      </c>
    </row>
    <row r="2793" spans="1:14" s="1" customFormat="1" x14ac:dyDescent="0.35">
      <c r="A2793" s="1" t="s">
        <v>5216</v>
      </c>
      <c r="B2793" s="1" t="s">
        <v>4997</v>
      </c>
      <c r="C2793" s="1" t="s">
        <v>4998</v>
      </c>
      <c r="D2793" s="1" t="s">
        <v>5333</v>
      </c>
      <c r="E2793" s="1" t="str">
        <f>"8145"</f>
        <v>8145</v>
      </c>
      <c r="F2793" s="1" t="s">
        <v>408</v>
      </c>
      <c r="G2793" s="1" t="s">
        <v>409</v>
      </c>
      <c r="H2793" s="1" t="s">
        <v>16</v>
      </c>
      <c r="I2793" s="4" t="str">
        <f>"6"</f>
        <v>6</v>
      </c>
      <c r="J2793" s="2">
        <v>49.95</v>
      </c>
      <c r="K2793" s="3">
        <v>46176</v>
      </c>
      <c r="L2793" s="3">
        <v>46177</v>
      </c>
      <c r="M2793" s="1" t="s">
        <v>5224</v>
      </c>
      <c r="N2793" s="1" t="s">
        <v>5331</v>
      </c>
    </row>
    <row r="2794" spans="1:14" s="1" customFormat="1" x14ac:dyDescent="0.35">
      <c r="A2794" s="1" t="s">
        <v>5216</v>
      </c>
      <c r="B2794" s="1" t="s">
        <v>4997</v>
      </c>
      <c r="C2794" s="1" t="s">
        <v>4998</v>
      </c>
      <c r="D2794" s="1" t="s">
        <v>5332</v>
      </c>
      <c r="E2794" s="1" t="str">
        <f>"8145"</f>
        <v>8145</v>
      </c>
      <c r="F2794" s="1" t="s">
        <v>408</v>
      </c>
      <c r="G2794" s="1" t="s">
        <v>409</v>
      </c>
      <c r="H2794" s="1" t="s">
        <v>16</v>
      </c>
      <c r="I2794" s="4" t="str">
        <f>"2"</f>
        <v>2</v>
      </c>
      <c r="J2794" s="2" t="str">
        <f>"450"</f>
        <v>450</v>
      </c>
      <c r="K2794" s="3">
        <v>46176</v>
      </c>
      <c r="L2794" s="3">
        <v>46177</v>
      </c>
      <c r="M2794" s="1" t="s">
        <v>5224</v>
      </c>
      <c r="N2794" s="1" t="s">
        <v>5331</v>
      </c>
    </row>
    <row r="2795" spans="1:14" s="1" customFormat="1" x14ac:dyDescent="0.35">
      <c r="A2795" s="1" t="s">
        <v>5216</v>
      </c>
      <c r="B2795" s="1" t="s">
        <v>4997</v>
      </c>
      <c r="C2795" s="1" t="s">
        <v>5037</v>
      </c>
      <c r="D2795" s="1" t="s">
        <v>5330</v>
      </c>
      <c r="E2795" s="1" t="str">
        <f>"6720"</f>
        <v>6720</v>
      </c>
      <c r="F2795" s="1" t="s">
        <v>2250</v>
      </c>
      <c r="G2795" s="1" t="s">
        <v>2251</v>
      </c>
      <c r="H2795" s="1" t="s">
        <v>16</v>
      </c>
      <c r="I2795" s="4" t="str">
        <f>"2"</f>
        <v>2</v>
      </c>
      <c r="J2795" s="2" t="str">
        <f>"349"</f>
        <v>349</v>
      </c>
      <c r="K2795" s="3">
        <v>46178</v>
      </c>
      <c r="L2795" s="3">
        <v>46181</v>
      </c>
      <c r="M2795" s="1" t="s">
        <v>5329</v>
      </c>
      <c r="N2795" s="1" t="s">
        <v>5328</v>
      </c>
    </row>
    <row r="2796" spans="1:14" s="1" customFormat="1" x14ac:dyDescent="0.35">
      <c r="A2796" s="1" t="s">
        <v>5216</v>
      </c>
      <c r="B2796" s="1" t="s">
        <v>4997</v>
      </c>
      <c r="C2796" s="1" t="s">
        <v>5037</v>
      </c>
      <c r="D2796" s="1" t="s">
        <v>5327</v>
      </c>
      <c r="E2796" s="1" t="str">
        <f>"6150"</f>
        <v>6150</v>
      </c>
      <c r="F2796" s="1" t="str">
        <f>"016313247"</f>
        <v>016313247</v>
      </c>
      <c r="G2796" s="1" t="s">
        <v>5326</v>
      </c>
      <c r="H2796" s="1" t="s">
        <v>16</v>
      </c>
      <c r="I2796" s="4" t="str">
        <f>"1"</f>
        <v>1</v>
      </c>
      <c r="J2796" s="2">
        <v>6134.09</v>
      </c>
      <c r="K2796" s="3">
        <v>46178</v>
      </c>
      <c r="L2796" s="3">
        <v>46181</v>
      </c>
      <c r="M2796" s="1" t="s">
        <v>5325</v>
      </c>
      <c r="N2796" s="1" t="s">
        <v>5324</v>
      </c>
    </row>
    <row r="2797" spans="1:14" s="1" customFormat="1" x14ac:dyDescent="0.35">
      <c r="A2797" s="1" t="s">
        <v>5171</v>
      </c>
      <c r="B2797" s="1" t="s">
        <v>4997</v>
      </c>
      <c r="C2797" s="1" t="s">
        <v>5077</v>
      </c>
      <c r="D2797" s="1" t="s">
        <v>5323</v>
      </c>
      <c r="E2797" s="1" t="str">
        <f>"4240"</f>
        <v>4240</v>
      </c>
      <c r="F2797" s="1" t="str">
        <f>"014925720"</f>
        <v>014925720</v>
      </c>
      <c r="G2797" s="1" t="s">
        <v>557</v>
      </c>
      <c r="H2797" s="1" t="s">
        <v>16</v>
      </c>
      <c r="I2797" s="4" t="str">
        <f>"10"</f>
        <v>10</v>
      </c>
      <c r="J2797" s="2">
        <v>76.83</v>
      </c>
      <c r="K2797" s="3">
        <v>46176</v>
      </c>
      <c r="L2797" s="3">
        <v>46184</v>
      </c>
      <c r="M2797" s="1" t="s">
        <v>5322</v>
      </c>
      <c r="N2797" s="1" t="s">
        <v>5321</v>
      </c>
    </row>
    <row r="2798" spans="1:14" s="1" customFormat="1" x14ac:dyDescent="0.35">
      <c r="A2798" s="1" t="s">
        <v>5171</v>
      </c>
      <c r="B2798" s="1" t="s">
        <v>4997</v>
      </c>
      <c r="C2798" s="1" t="s">
        <v>4998</v>
      </c>
      <c r="D2798" s="1" t="s">
        <v>5320</v>
      </c>
      <c r="E2798" s="1" t="str">
        <f>"6530"</f>
        <v>6530</v>
      </c>
      <c r="F2798" s="1" t="s">
        <v>5013</v>
      </c>
      <c r="G2798" s="1" t="s">
        <v>5014</v>
      </c>
      <c r="H2798" s="1" t="s">
        <v>16</v>
      </c>
      <c r="I2798" s="4" t="str">
        <f>"1"</f>
        <v>1</v>
      </c>
      <c r="J2798" s="2" t="str">
        <f>"3000"</f>
        <v>3000</v>
      </c>
      <c r="K2798" s="3">
        <v>46165</v>
      </c>
      <c r="L2798" s="3">
        <v>46185</v>
      </c>
      <c r="M2798" s="1" t="s">
        <v>5319</v>
      </c>
      <c r="N2798" s="1" t="s">
        <v>5318</v>
      </c>
    </row>
    <row r="2799" spans="1:14" s="1" customFormat="1" x14ac:dyDescent="0.35">
      <c r="A2799" s="1" t="s">
        <v>5171</v>
      </c>
      <c r="B2799" s="1" t="s">
        <v>4997</v>
      </c>
      <c r="C2799" s="1" t="s">
        <v>4998</v>
      </c>
      <c r="D2799" s="1" t="s">
        <v>5317</v>
      </c>
      <c r="E2799" s="1" t="str">
        <f>"7240"</f>
        <v>7240</v>
      </c>
      <c r="F2799" s="1" t="str">
        <f>"013375268"</f>
        <v>013375268</v>
      </c>
      <c r="G2799" s="1" t="s">
        <v>868</v>
      </c>
      <c r="H2799" s="1" t="s">
        <v>16</v>
      </c>
      <c r="I2799" s="4" t="str">
        <f>"30"</f>
        <v>30</v>
      </c>
      <c r="J2799" s="2">
        <v>44.09</v>
      </c>
      <c r="K2799" s="3">
        <v>46165</v>
      </c>
      <c r="L2799" s="3">
        <v>46185</v>
      </c>
      <c r="M2799" s="1" t="s">
        <v>5316</v>
      </c>
      <c r="N2799" s="1" t="s">
        <v>5315</v>
      </c>
    </row>
    <row r="2800" spans="1:14" s="1" customFormat="1" x14ac:dyDescent="0.35">
      <c r="A2800" s="1" t="s">
        <v>5171</v>
      </c>
      <c r="B2800" s="1" t="s">
        <v>4997</v>
      </c>
      <c r="C2800" s="1" t="s">
        <v>4998</v>
      </c>
      <c r="D2800" s="1" t="s">
        <v>5314</v>
      </c>
      <c r="E2800" s="1" t="str">
        <f>"7240"</f>
        <v>7240</v>
      </c>
      <c r="F2800" s="1" t="str">
        <f>"013375268"</f>
        <v>013375268</v>
      </c>
      <c r="G2800" s="1" t="s">
        <v>868</v>
      </c>
      <c r="H2800" s="1" t="s">
        <v>16</v>
      </c>
      <c r="I2800" s="4" t="str">
        <f>"30"</f>
        <v>30</v>
      </c>
      <c r="J2800" s="2">
        <v>44.09</v>
      </c>
      <c r="K2800" s="3">
        <v>46165</v>
      </c>
      <c r="L2800" s="3">
        <v>46185</v>
      </c>
      <c r="M2800" s="1" t="s">
        <v>5313</v>
      </c>
      <c r="N2800" s="1" t="s">
        <v>5312</v>
      </c>
    </row>
    <row r="2801" spans="1:14" s="1" customFormat="1" x14ac:dyDescent="0.35">
      <c r="A2801" s="1" t="s">
        <v>5171</v>
      </c>
      <c r="B2801" s="1" t="s">
        <v>4997</v>
      </c>
      <c r="C2801" s="1" t="s">
        <v>4998</v>
      </c>
      <c r="D2801" s="1" t="s">
        <v>5311</v>
      </c>
      <c r="E2801" s="1" t="str">
        <f>"6545"</f>
        <v>6545</v>
      </c>
      <c r="F2801" s="1" t="str">
        <f>"015300929"</f>
        <v>015300929</v>
      </c>
      <c r="G2801" s="1" t="s">
        <v>236</v>
      </c>
      <c r="H2801" s="1" t="s">
        <v>215</v>
      </c>
      <c r="I2801" s="4" t="str">
        <f>"7"</f>
        <v>7</v>
      </c>
      <c r="J2801" s="2">
        <v>48.71</v>
      </c>
      <c r="K2801" s="3">
        <v>46165</v>
      </c>
      <c r="L2801" s="3">
        <v>46189</v>
      </c>
      <c r="M2801" s="1" t="s">
        <v>5310</v>
      </c>
      <c r="N2801" s="1" t="s">
        <v>5309</v>
      </c>
    </row>
    <row r="2802" spans="1:14" s="1" customFormat="1" x14ac:dyDescent="0.35">
      <c r="A2802" s="1" t="s">
        <v>5171</v>
      </c>
      <c r="B2802" s="1" t="s">
        <v>4997</v>
      </c>
      <c r="C2802" s="1" t="s">
        <v>5077</v>
      </c>
      <c r="D2802" s="1" t="s">
        <v>5308</v>
      </c>
      <c r="E2802" s="1" t="str">
        <f>"5180"</f>
        <v>5180</v>
      </c>
      <c r="F2802" s="1" t="str">
        <f>"015068287"</f>
        <v>015068287</v>
      </c>
      <c r="G2802" s="1" t="s">
        <v>1076</v>
      </c>
      <c r="H2802" s="1" t="s">
        <v>215</v>
      </c>
      <c r="I2802" s="4" t="str">
        <f>"1"</f>
        <v>1</v>
      </c>
      <c r="J2802" s="2" t="str">
        <f>"1774"</f>
        <v>1774</v>
      </c>
      <c r="K2802" s="3">
        <v>46159</v>
      </c>
      <c r="L2802" s="3">
        <v>46189</v>
      </c>
      <c r="M2802" s="1" t="s">
        <v>5307</v>
      </c>
      <c r="N2802" s="1" t="s">
        <v>5306</v>
      </c>
    </row>
    <row r="2803" spans="1:14" s="1" customFormat="1" x14ac:dyDescent="0.35">
      <c r="A2803" s="1" t="s">
        <v>5171</v>
      </c>
      <c r="B2803" s="1" t="s">
        <v>4997</v>
      </c>
      <c r="C2803" s="1" t="s">
        <v>4998</v>
      </c>
      <c r="D2803" s="1" t="s">
        <v>5305</v>
      </c>
      <c r="E2803" s="1" t="str">
        <f>"8145"</f>
        <v>8145</v>
      </c>
      <c r="F2803" s="1" t="s">
        <v>408</v>
      </c>
      <c r="G2803" s="1" t="s">
        <v>409</v>
      </c>
      <c r="H2803" s="1" t="s">
        <v>16</v>
      </c>
      <c r="I2803" s="4" t="str">
        <f>"1"</f>
        <v>1</v>
      </c>
      <c r="J2803" s="2" t="str">
        <f>"1000"</f>
        <v>1000</v>
      </c>
      <c r="K2803" s="3">
        <v>46190</v>
      </c>
      <c r="L2803" s="3">
        <v>46197</v>
      </c>
      <c r="M2803" s="1" t="s">
        <v>5304</v>
      </c>
      <c r="N2803" s="1" t="s">
        <v>5303</v>
      </c>
    </row>
    <row r="2804" spans="1:14" s="1" customFormat="1" x14ac:dyDescent="0.35">
      <c r="A2804" s="1" t="s">
        <v>5171</v>
      </c>
      <c r="B2804" s="1" t="s">
        <v>4997</v>
      </c>
      <c r="C2804" s="1" t="s">
        <v>4998</v>
      </c>
      <c r="D2804" s="1" t="s">
        <v>5302</v>
      </c>
      <c r="E2804" s="1" t="str">
        <f>"8145"</f>
        <v>8145</v>
      </c>
      <c r="F2804" s="1" t="s">
        <v>489</v>
      </c>
      <c r="G2804" s="1" t="s">
        <v>490</v>
      </c>
      <c r="H2804" s="1" t="s">
        <v>16</v>
      </c>
      <c r="I2804" s="4" t="str">
        <f>"2"</f>
        <v>2</v>
      </c>
      <c r="J2804" s="2" t="str">
        <f>"250"</f>
        <v>250</v>
      </c>
      <c r="K2804" s="3">
        <v>46190</v>
      </c>
      <c r="L2804" s="3">
        <v>46197</v>
      </c>
      <c r="M2804" s="1" t="s">
        <v>5301</v>
      </c>
      <c r="N2804" s="1" t="s">
        <v>5021</v>
      </c>
    </row>
    <row r="2805" spans="1:14" s="1" customFormat="1" x14ac:dyDescent="0.35">
      <c r="A2805" s="1" t="s">
        <v>5171</v>
      </c>
      <c r="B2805" s="1" t="s">
        <v>4997</v>
      </c>
      <c r="C2805" s="1" t="s">
        <v>4998</v>
      </c>
      <c r="D2805" s="1" t="s">
        <v>5300</v>
      </c>
      <c r="E2805" s="1" t="str">
        <f>"8145"</f>
        <v>8145</v>
      </c>
      <c r="F2805" s="1" t="s">
        <v>408</v>
      </c>
      <c r="G2805" s="1" t="s">
        <v>409</v>
      </c>
      <c r="H2805" s="1" t="s">
        <v>16</v>
      </c>
      <c r="I2805" s="4" t="str">
        <f>"1"</f>
        <v>1</v>
      </c>
      <c r="J2805" s="2" t="str">
        <f>"250"</f>
        <v>250</v>
      </c>
      <c r="K2805" s="3">
        <v>46190</v>
      </c>
      <c r="L2805" s="3">
        <v>46197</v>
      </c>
      <c r="M2805" s="1" t="s">
        <v>5299</v>
      </c>
      <c r="N2805" s="1" t="s">
        <v>5021</v>
      </c>
    </row>
    <row r="2806" spans="1:14" s="1" customFormat="1" x14ac:dyDescent="0.35">
      <c r="A2806" s="1" t="s">
        <v>5216</v>
      </c>
      <c r="B2806" s="1" t="s">
        <v>4997</v>
      </c>
      <c r="C2806" s="1" t="s">
        <v>4998</v>
      </c>
      <c r="D2806" s="1" t="s">
        <v>5298</v>
      </c>
      <c r="E2806" s="1" t="str">
        <f>"8145"</f>
        <v>8145</v>
      </c>
      <c r="F2806" s="1" t="s">
        <v>408</v>
      </c>
      <c r="G2806" s="1" t="s">
        <v>409</v>
      </c>
      <c r="H2806" s="1" t="s">
        <v>16</v>
      </c>
      <c r="I2806" s="4" t="str">
        <f>"2"</f>
        <v>2</v>
      </c>
      <c r="J2806" s="2" t="str">
        <f>"500"</f>
        <v>500</v>
      </c>
      <c r="K2806" s="3">
        <v>46197</v>
      </c>
      <c r="L2806" s="3">
        <v>46198</v>
      </c>
      <c r="M2806" s="1" t="s">
        <v>5297</v>
      </c>
      <c r="N2806" s="1" t="s">
        <v>5296</v>
      </c>
    </row>
    <row r="2807" spans="1:14" s="1" customFormat="1" x14ac:dyDescent="0.35">
      <c r="A2807" s="1" t="s">
        <v>5171</v>
      </c>
      <c r="B2807" s="1" t="s">
        <v>4997</v>
      </c>
      <c r="C2807" s="1" t="s">
        <v>5295</v>
      </c>
      <c r="D2807" s="1" t="s">
        <v>5294</v>
      </c>
      <c r="E2807" s="1" t="str">
        <f>"5855"</f>
        <v>5855</v>
      </c>
      <c r="F2807" s="1" t="str">
        <f>"015777174"</f>
        <v>015777174</v>
      </c>
      <c r="G2807" s="1" t="s">
        <v>1366</v>
      </c>
      <c r="H2807" s="1" t="s">
        <v>16</v>
      </c>
      <c r="I2807" s="4" t="str">
        <f>"7"</f>
        <v>7</v>
      </c>
      <c r="J2807" s="2" t="str">
        <f>"1791"</f>
        <v>1791</v>
      </c>
      <c r="K2807" s="3">
        <v>46196</v>
      </c>
      <c r="L2807" s="3">
        <v>46198</v>
      </c>
      <c r="M2807" s="1" t="s">
        <v>5167</v>
      </c>
      <c r="N2807" s="1" t="s">
        <v>5293</v>
      </c>
    </row>
    <row r="2808" spans="1:14" s="1" customFormat="1" x14ac:dyDescent="0.35">
      <c r="A2808" s="1" t="s">
        <v>5171</v>
      </c>
      <c r="B2808" s="1" t="s">
        <v>4997</v>
      </c>
      <c r="C2808" s="1" t="s">
        <v>5077</v>
      </c>
      <c r="D2808" s="1" t="s">
        <v>5292</v>
      </c>
      <c r="E2808" s="1" t="str">
        <f>"6230"</f>
        <v>6230</v>
      </c>
      <c r="F2808" s="1" t="str">
        <f>"014658931"</f>
        <v>014658931</v>
      </c>
      <c r="G2808" s="1" t="s">
        <v>5291</v>
      </c>
      <c r="H2808" s="1" t="s">
        <v>458</v>
      </c>
      <c r="I2808" s="4" t="str">
        <f>"3"</f>
        <v>3</v>
      </c>
      <c r="J2808" s="2">
        <v>531.99</v>
      </c>
      <c r="K2808" s="3">
        <v>46198</v>
      </c>
      <c r="L2808" s="3">
        <v>46198</v>
      </c>
      <c r="M2808" s="1" t="s">
        <v>5167</v>
      </c>
      <c r="N2808" s="1" t="s">
        <v>5290</v>
      </c>
    </row>
    <row r="2809" spans="1:14" s="1" customFormat="1" x14ac:dyDescent="0.35">
      <c r="A2809" s="1" t="s">
        <v>5171</v>
      </c>
      <c r="B2809" s="1" t="s">
        <v>4997</v>
      </c>
      <c r="C2809" s="1" t="s">
        <v>5077</v>
      </c>
      <c r="D2809" s="1" t="s">
        <v>5289</v>
      </c>
      <c r="E2809" s="1" t="str">
        <f>"5180"</f>
        <v>5180</v>
      </c>
      <c r="F2809" s="1" t="str">
        <f>"015487634"</f>
        <v>015487634</v>
      </c>
      <c r="G2809" s="1" t="s">
        <v>214</v>
      </c>
      <c r="H2809" s="1" t="s">
        <v>458</v>
      </c>
      <c r="I2809" s="4" t="str">
        <f>"1"</f>
        <v>1</v>
      </c>
      <c r="J2809" s="2" t="str">
        <f>"2048"</f>
        <v>2048</v>
      </c>
      <c r="K2809" s="3">
        <v>46198</v>
      </c>
      <c r="L2809" s="3">
        <v>46199</v>
      </c>
      <c r="M2809" s="1" t="s">
        <v>5167</v>
      </c>
      <c r="N2809" s="1" t="s">
        <v>5288</v>
      </c>
    </row>
    <row r="2810" spans="1:14" s="1" customFormat="1" x14ac:dyDescent="0.35">
      <c r="A2810" s="1" t="s">
        <v>5171</v>
      </c>
      <c r="B2810" s="1" t="s">
        <v>4997</v>
      </c>
      <c r="C2810" s="1" t="s">
        <v>4998</v>
      </c>
      <c r="D2810" s="1" t="s">
        <v>5287</v>
      </c>
      <c r="E2810" s="1" t="str">
        <f>"5120"</f>
        <v>5120</v>
      </c>
      <c r="F2810" s="1" t="str">
        <f>"001174832"</f>
        <v>001174832</v>
      </c>
      <c r="G2810" s="1" t="s">
        <v>431</v>
      </c>
      <c r="H2810" s="1" t="s">
        <v>16</v>
      </c>
      <c r="I2810" s="4" t="str">
        <f>"3"</f>
        <v>3</v>
      </c>
      <c r="J2810" s="2">
        <v>169.98</v>
      </c>
      <c r="K2810" s="3">
        <v>46197</v>
      </c>
      <c r="L2810" s="3">
        <v>46200</v>
      </c>
      <c r="M2810" s="1" t="s">
        <v>5286</v>
      </c>
      <c r="N2810" s="1" t="s">
        <v>5285</v>
      </c>
    </row>
    <row r="2811" spans="1:14" s="1" customFormat="1" x14ac:dyDescent="0.35">
      <c r="A2811" s="1" t="s">
        <v>5171</v>
      </c>
      <c r="B2811" s="1" t="s">
        <v>4997</v>
      </c>
      <c r="C2811" s="1" t="s">
        <v>4998</v>
      </c>
      <c r="D2811" s="1" t="s">
        <v>5284</v>
      </c>
      <c r="E2811" s="1" t="str">
        <f>"5120"</f>
        <v>5120</v>
      </c>
      <c r="F2811" s="1" t="str">
        <f>"014285175"</f>
        <v>014285175</v>
      </c>
      <c r="G2811" s="1" t="s">
        <v>5283</v>
      </c>
      <c r="H2811" s="1" t="s">
        <v>16</v>
      </c>
      <c r="I2811" s="4" t="str">
        <f>"8"</f>
        <v>8</v>
      </c>
      <c r="J2811" s="2">
        <v>23.14</v>
      </c>
      <c r="K2811" s="3">
        <v>46199</v>
      </c>
      <c r="L2811" s="3">
        <v>46200</v>
      </c>
      <c r="M2811" s="1" t="s">
        <v>5167</v>
      </c>
      <c r="N2811" s="1" t="s">
        <v>5282</v>
      </c>
    </row>
    <row r="2812" spans="1:14" s="1" customFormat="1" x14ac:dyDescent="0.35">
      <c r="A2812" s="1" t="s">
        <v>5171</v>
      </c>
      <c r="B2812" s="1" t="s">
        <v>4997</v>
      </c>
      <c r="C2812" s="1" t="s">
        <v>4998</v>
      </c>
      <c r="D2812" s="1" t="s">
        <v>5281</v>
      </c>
      <c r="E2812" s="1" t="str">
        <f>"1550"</f>
        <v>1550</v>
      </c>
      <c r="F2812" s="1" t="str">
        <f>"015389256"</f>
        <v>015389256</v>
      </c>
      <c r="G2812" s="1" t="s">
        <v>203</v>
      </c>
      <c r="H2812" s="1" t="s">
        <v>16</v>
      </c>
      <c r="I2812" s="4" t="str">
        <f>"1"</f>
        <v>1</v>
      </c>
      <c r="J2812" s="2" t="str">
        <f>"100000"</f>
        <v>100000</v>
      </c>
      <c r="K2812" s="3">
        <v>46202</v>
      </c>
      <c r="L2812" s="3">
        <v>46203</v>
      </c>
      <c r="M2812" s="1" t="s">
        <v>5167</v>
      </c>
      <c r="N2812" s="1" t="s">
        <v>5280</v>
      </c>
    </row>
    <row r="2813" spans="1:14" s="1" customFormat="1" x14ac:dyDescent="0.35">
      <c r="A2813" s="1" t="s">
        <v>5171</v>
      </c>
      <c r="B2813" s="1" t="s">
        <v>5105</v>
      </c>
      <c r="C2813" s="1" t="s">
        <v>5279</v>
      </c>
      <c r="D2813" s="1" t="s">
        <v>5278</v>
      </c>
      <c r="E2813" s="1" t="str">
        <f>"4240"</f>
        <v>4240</v>
      </c>
      <c r="F2813" s="1" t="str">
        <f>"016077512"</f>
        <v>016077512</v>
      </c>
      <c r="G2813" s="1" t="s">
        <v>3101</v>
      </c>
      <c r="H2813" s="1" t="s">
        <v>16</v>
      </c>
      <c r="I2813" s="4" t="str">
        <f>"15"</f>
        <v>15</v>
      </c>
      <c r="J2813" s="2">
        <v>53.51</v>
      </c>
      <c r="K2813" s="3">
        <v>46109</v>
      </c>
      <c r="L2813" s="3">
        <v>46115</v>
      </c>
      <c r="M2813" s="1" t="s">
        <v>5277</v>
      </c>
      <c r="N2813" s="1" t="s">
        <v>5276</v>
      </c>
    </row>
    <row r="2814" spans="1:14" s="1" customFormat="1" x14ac:dyDescent="0.35">
      <c r="A2814" s="1" t="s">
        <v>5171</v>
      </c>
      <c r="B2814" s="1" t="s">
        <v>5105</v>
      </c>
      <c r="C2814" s="1" t="s">
        <v>5136</v>
      </c>
      <c r="D2814" s="1" t="s">
        <v>5275</v>
      </c>
      <c r="E2814" s="1" t="str">
        <f>"3615"</f>
        <v>3615</v>
      </c>
      <c r="F2814" s="1" t="s">
        <v>701</v>
      </c>
      <c r="G2814" s="1" t="s">
        <v>702</v>
      </c>
      <c r="H2814" s="1" t="s">
        <v>16</v>
      </c>
      <c r="I2814" s="4" t="str">
        <f>"1"</f>
        <v>1</v>
      </c>
      <c r="J2814" s="2" t="str">
        <f>"4998"</f>
        <v>4998</v>
      </c>
      <c r="K2814" s="3">
        <v>46112</v>
      </c>
      <c r="L2814" s="3">
        <v>46116</v>
      </c>
      <c r="M2814" s="1" t="s">
        <v>5274</v>
      </c>
      <c r="N2814" s="1" t="s">
        <v>5273</v>
      </c>
    </row>
    <row r="2815" spans="1:14" s="1" customFormat="1" x14ac:dyDescent="0.35">
      <c r="A2815" s="1" t="s">
        <v>5171</v>
      </c>
      <c r="B2815" s="1" t="s">
        <v>5105</v>
      </c>
      <c r="C2815" s="1" t="s">
        <v>5207</v>
      </c>
      <c r="D2815" s="1" t="s">
        <v>5272</v>
      </c>
      <c r="E2815" s="1" t="str">
        <f>"2340"</f>
        <v>2340</v>
      </c>
      <c r="F2815" s="1" t="s">
        <v>535</v>
      </c>
      <c r="G2815" s="1" t="s">
        <v>536</v>
      </c>
      <c r="H2815" s="1" t="s">
        <v>16</v>
      </c>
      <c r="I2815" s="4" t="str">
        <f>"1"</f>
        <v>1</v>
      </c>
      <c r="J2815" s="2" t="str">
        <f>"500"</f>
        <v>500</v>
      </c>
      <c r="K2815" s="3">
        <v>46118</v>
      </c>
      <c r="L2815" s="3">
        <v>46119</v>
      </c>
      <c r="M2815" s="1" t="s">
        <v>5167</v>
      </c>
      <c r="N2815" s="1" t="s">
        <v>5271</v>
      </c>
    </row>
    <row r="2816" spans="1:14" s="1" customFormat="1" x14ac:dyDescent="0.35">
      <c r="A2816" s="1" t="s">
        <v>5171</v>
      </c>
      <c r="B2816" s="1" t="s">
        <v>5105</v>
      </c>
      <c r="C2816" s="1" t="s">
        <v>5152</v>
      </c>
      <c r="D2816" s="1" t="s">
        <v>5270</v>
      </c>
      <c r="E2816" s="1" t="str">
        <f>"5855"</f>
        <v>5855</v>
      </c>
      <c r="F2816" s="1" t="str">
        <f>"015345931"</f>
        <v>015345931</v>
      </c>
      <c r="G2816" s="1" t="s">
        <v>1379</v>
      </c>
      <c r="H2816" s="1" t="s">
        <v>16</v>
      </c>
      <c r="I2816" s="4" t="str">
        <f>"8"</f>
        <v>8</v>
      </c>
      <c r="J2816" s="2" t="str">
        <f>"970"</f>
        <v>970</v>
      </c>
      <c r="K2816" s="3">
        <v>46118</v>
      </c>
      <c r="L2816" s="3">
        <v>46121</v>
      </c>
      <c r="M2816" s="1" t="s">
        <v>5269</v>
      </c>
      <c r="N2816" s="1" t="s">
        <v>5268</v>
      </c>
    </row>
    <row r="2817" spans="1:14" s="1" customFormat="1" x14ac:dyDescent="0.35">
      <c r="A2817" s="1" t="s">
        <v>5171</v>
      </c>
      <c r="B2817" s="1" t="s">
        <v>5105</v>
      </c>
      <c r="C2817" s="1" t="s">
        <v>5112</v>
      </c>
      <c r="D2817" s="1" t="s">
        <v>5267</v>
      </c>
      <c r="E2817" s="1" t="str">
        <f>"5855"</f>
        <v>5855</v>
      </c>
      <c r="F2817" s="1" t="str">
        <f>"015330555"</f>
        <v>015330555</v>
      </c>
      <c r="G2817" s="1" t="s">
        <v>462</v>
      </c>
      <c r="H2817" s="1" t="s">
        <v>16</v>
      </c>
      <c r="I2817" s="4" t="str">
        <f>"30"</f>
        <v>30</v>
      </c>
      <c r="J2817" s="2" t="str">
        <f>"1800"</f>
        <v>1800</v>
      </c>
      <c r="K2817" s="3">
        <v>46112</v>
      </c>
      <c r="L2817" s="3">
        <v>46123</v>
      </c>
      <c r="M2817" s="1" t="s">
        <v>5266</v>
      </c>
      <c r="N2817" s="1" t="s">
        <v>5265</v>
      </c>
    </row>
    <row r="2818" spans="1:14" s="1" customFormat="1" x14ac:dyDescent="0.35">
      <c r="A2818" s="1" t="s">
        <v>5171</v>
      </c>
      <c r="B2818" s="1" t="s">
        <v>5105</v>
      </c>
      <c r="C2818" s="1" t="s">
        <v>5112</v>
      </c>
      <c r="D2818" s="1" t="s">
        <v>5264</v>
      </c>
      <c r="E2818" s="1" t="str">
        <f>"7830"</f>
        <v>7830</v>
      </c>
      <c r="F2818" s="1" t="s">
        <v>5263</v>
      </c>
      <c r="G2818" s="1" t="s">
        <v>5262</v>
      </c>
      <c r="H2818" s="1" t="s">
        <v>16</v>
      </c>
      <c r="I2818" s="4" t="str">
        <f>"1"</f>
        <v>1</v>
      </c>
      <c r="J2818" s="2" t="str">
        <f>"351"</f>
        <v>351</v>
      </c>
      <c r="K2818" s="3">
        <v>46122</v>
      </c>
      <c r="L2818" s="3">
        <v>46123</v>
      </c>
      <c r="M2818" s="1" t="s">
        <v>5167</v>
      </c>
      <c r="N2818" s="1" t="s">
        <v>5261</v>
      </c>
    </row>
    <row r="2819" spans="1:14" s="1" customFormat="1" x14ac:dyDescent="0.35">
      <c r="A2819" s="1" t="s">
        <v>5171</v>
      </c>
      <c r="B2819" s="1" t="s">
        <v>5105</v>
      </c>
      <c r="C2819" s="1" t="s">
        <v>5191</v>
      </c>
      <c r="D2819" s="1" t="s">
        <v>5260</v>
      </c>
      <c r="E2819" s="1" t="str">
        <f>"2340"</f>
        <v>2340</v>
      </c>
      <c r="F2819" s="1" t="s">
        <v>535</v>
      </c>
      <c r="G2819" s="1" t="s">
        <v>536</v>
      </c>
      <c r="H2819" s="1" t="s">
        <v>16</v>
      </c>
      <c r="I2819" s="4" t="str">
        <f>"1"</f>
        <v>1</v>
      </c>
      <c r="J2819" s="2" t="str">
        <f>"8189"</f>
        <v>8189</v>
      </c>
      <c r="K2819" s="3">
        <v>46116</v>
      </c>
      <c r="L2819" s="3">
        <v>46125</v>
      </c>
      <c r="M2819" s="1" t="s">
        <v>5259</v>
      </c>
      <c r="N2819" s="1" t="s">
        <v>5258</v>
      </c>
    </row>
    <row r="2820" spans="1:14" s="1" customFormat="1" x14ac:dyDescent="0.35">
      <c r="A2820" s="1" t="s">
        <v>5171</v>
      </c>
      <c r="B2820" s="1" t="s">
        <v>5105</v>
      </c>
      <c r="C2820" s="1" t="s">
        <v>5191</v>
      </c>
      <c r="D2820" s="1" t="s">
        <v>5257</v>
      </c>
      <c r="E2820" s="1" t="str">
        <f>"2340"</f>
        <v>2340</v>
      </c>
      <c r="F2820" s="1" t="s">
        <v>535</v>
      </c>
      <c r="G2820" s="1" t="s">
        <v>536</v>
      </c>
      <c r="H2820" s="1" t="s">
        <v>16</v>
      </c>
      <c r="I2820" s="4" t="str">
        <f>"1"</f>
        <v>1</v>
      </c>
      <c r="J2820" s="2" t="str">
        <f>"8189"</f>
        <v>8189</v>
      </c>
      <c r="K2820" s="3">
        <v>46116</v>
      </c>
      <c r="L2820" s="3">
        <v>46125</v>
      </c>
      <c r="M2820" s="1" t="s">
        <v>5256</v>
      </c>
      <c r="N2820" s="1" t="s">
        <v>5255</v>
      </c>
    </row>
    <row r="2821" spans="1:14" s="1" customFormat="1" x14ac:dyDescent="0.35">
      <c r="A2821" s="1" t="s">
        <v>5171</v>
      </c>
      <c r="B2821" s="1" t="s">
        <v>5105</v>
      </c>
      <c r="C2821" s="1" t="s">
        <v>5152</v>
      </c>
      <c r="D2821" s="1" t="s">
        <v>5254</v>
      </c>
      <c r="E2821" s="1" t="str">
        <f>"5855"</f>
        <v>5855</v>
      </c>
      <c r="F2821" s="1" t="str">
        <f>"015330555"</f>
        <v>015330555</v>
      </c>
      <c r="G2821" s="1" t="s">
        <v>462</v>
      </c>
      <c r="H2821" s="1" t="s">
        <v>16</v>
      </c>
      <c r="I2821" s="4" t="str">
        <f>"8"</f>
        <v>8</v>
      </c>
      <c r="J2821" s="2" t="str">
        <f>"1800"</f>
        <v>1800</v>
      </c>
      <c r="K2821" s="3">
        <v>46118</v>
      </c>
      <c r="L2821" s="3">
        <v>46127</v>
      </c>
      <c r="M2821" s="1" t="s">
        <v>5253</v>
      </c>
      <c r="N2821" s="1" t="s">
        <v>5252</v>
      </c>
    </row>
    <row r="2822" spans="1:14" s="1" customFormat="1" x14ac:dyDescent="0.35">
      <c r="A2822" s="1" t="s">
        <v>5171</v>
      </c>
      <c r="B2822" s="1" t="s">
        <v>5105</v>
      </c>
      <c r="C2822" s="1" t="s">
        <v>5126</v>
      </c>
      <c r="D2822" s="1" t="s">
        <v>5251</v>
      </c>
      <c r="E2822" s="1" t="str">
        <f>"1240"</f>
        <v>1240</v>
      </c>
      <c r="F2822" s="1" t="str">
        <f>"015403690"</f>
        <v>015403690</v>
      </c>
      <c r="G2822" s="1" t="s">
        <v>1103</v>
      </c>
      <c r="H2822" s="1" t="s">
        <v>16</v>
      </c>
      <c r="I2822" s="4" t="str">
        <f>"1"</f>
        <v>1</v>
      </c>
      <c r="J2822" s="2" t="str">
        <f>"342"</f>
        <v>342</v>
      </c>
      <c r="K2822" s="3">
        <v>46127</v>
      </c>
      <c r="L2822" s="3">
        <v>46128</v>
      </c>
      <c r="M2822" s="1" t="s">
        <v>5167</v>
      </c>
      <c r="N2822" s="1" t="s">
        <v>5250</v>
      </c>
    </row>
    <row r="2823" spans="1:14" s="1" customFormat="1" x14ac:dyDescent="0.35">
      <c r="A2823" s="1" t="s">
        <v>5171</v>
      </c>
      <c r="B2823" s="1" t="s">
        <v>5105</v>
      </c>
      <c r="C2823" s="1" t="s">
        <v>5126</v>
      </c>
      <c r="D2823" s="1" t="s">
        <v>5249</v>
      </c>
      <c r="E2823" s="1" t="str">
        <f>"1240"</f>
        <v>1240</v>
      </c>
      <c r="F2823" s="1" t="str">
        <f>"015403690"</f>
        <v>015403690</v>
      </c>
      <c r="G2823" s="1" t="s">
        <v>1103</v>
      </c>
      <c r="H2823" s="1" t="s">
        <v>16</v>
      </c>
      <c r="I2823" s="4" t="str">
        <f>"1"</f>
        <v>1</v>
      </c>
      <c r="J2823" s="2" t="str">
        <f>"342"</f>
        <v>342</v>
      </c>
      <c r="K2823" s="3">
        <v>46127</v>
      </c>
      <c r="L2823" s="3">
        <v>46128</v>
      </c>
      <c r="M2823" s="1" t="s">
        <v>5167</v>
      </c>
      <c r="N2823" s="1" t="s">
        <v>5228</v>
      </c>
    </row>
    <row r="2824" spans="1:14" s="1" customFormat="1" x14ac:dyDescent="0.35">
      <c r="A2824" s="1" t="s">
        <v>5171</v>
      </c>
      <c r="B2824" s="1" t="s">
        <v>5105</v>
      </c>
      <c r="C2824" s="1" t="s">
        <v>5126</v>
      </c>
      <c r="D2824" s="1" t="s">
        <v>5248</v>
      </c>
      <c r="E2824" s="1" t="str">
        <f>"1240"</f>
        <v>1240</v>
      </c>
      <c r="F2824" s="1" t="str">
        <f>"015403690"</f>
        <v>015403690</v>
      </c>
      <c r="G2824" s="1" t="s">
        <v>1103</v>
      </c>
      <c r="H2824" s="1" t="s">
        <v>16</v>
      </c>
      <c r="I2824" s="4" t="str">
        <f>"1"</f>
        <v>1</v>
      </c>
      <c r="J2824" s="2" t="str">
        <f>"342"</f>
        <v>342</v>
      </c>
      <c r="K2824" s="3">
        <v>46127</v>
      </c>
      <c r="L2824" s="3">
        <v>46128</v>
      </c>
      <c r="M2824" s="1" t="s">
        <v>5167</v>
      </c>
      <c r="N2824" s="1" t="s">
        <v>5228</v>
      </c>
    </row>
    <row r="2825" spans="1:14" s="1" customFormat="1" x14ac:dyDescent="0.35">
      <c r="A2825" s="1" t="s">
        <v>5171</v>
      </c>
      <c r="B2825" s="1" t="s">
        <v>5105</v>
      </c>
      <c r="C2825" s="1" t="s">
        <v>5126</v>
      </c>
      <c r="D2825" s="1" t="s">
        <v>5247</v>
      </c>
      <c r="E2825" s="1" t="str">
        <f>"1240"</f>
        <v>1240</v>
      </c>
      <c r="F2825" s="1" t="str">
        <f>"015403690"</f>
        <v>015403690</v>
      </c>
      <c r="G2825" s="1" t="s">
        <v>1103</v>
      </c>
      <c r="H2825" s="1" t="s">
        <v>16</v>
      </c>
      <c r="I2825" s="4" t="str">
        <f>"1"</f>
        <v>1</v>
      </c>
      <c r="J2825" s="2" t="str">
        <f>"342"</f>
        <v>342</v>
      </c>
      <c r="K2825" s="3">
        <v>46127</v>
      </c>
      <c r="L2825" s="3">
        <v>46128</v>
      </c>
      <c r="M2825" s="1" t="s">
        <v>5167</v>
      </c>
      <c r="N2825" s="1" t="s">
        <v>5228</v>
      </c>
    </row>
    <row r="2826" spans="1:14" s="1" customFormat="1" x14ac:dyDescent="0.35">
      <c r="A2826" s="1" t="s">
        <v>5171</v>
      </c>
      <c r="B2826" s="1" t="s">
        <v>5105</v>
      </c>
      <c r="C2826" s="1" t="s">
        <v>5112</v>
      </c>
      <c r="D2826" s="1" t="s">
        <v>5246</v>
      </c>
      <c r="E2826" s="1" t="str">
        <f>"5855"</f>
        <v>5855</v>
      </c>
      <c r="F2826" s="1" t="str">
        <f>"015345931"</f>
        <v>015345931</v>
      </c>
      <c r="G2826" s="1" t="s">
        <v>1379</v>
      </c>
      <c r="H2826" s="1" t="s">
        <v>16</v>
      </c>
      <c r="I2826" s="4" t="str">
        <f>"30"</f>
        <v>30</v>
      </c>
      <c r="J2826" s="2" t="str">
        <f>"970"</f>
        <v>970</v>
      </c>
      <c r="K2826" s="3">
        <v>46119</v>
      </c>
      <c r="L2826" s="3">
        <v>46129</v>
      </c>
      <c r="M2826" s="1" t="s">
        <v>5245</v>
      </c>
      <c r="N2826" s="1" t="s">
        <v>5244</v>
      </c>
    </row>
    <row r="2827" spans="1:14" s="1" customFormat="1" x14ac:dyDescent="0.35">
      <c r="A2827" s="1" t="s">
        <v>5171</v>
      </c>
      <c r="B2827" s="1" t="s">
        <v>5105</v>
      </c>
      <c r="C2827" s="1" t="s">
        <v>5243</v>
      </c>
      <c r="D2827" s="1" t="s">
        <v>5242</v>
      </c>
      <c r="E2827" s="1" t="str">
        <f>"8415"</f>
        <v>8415</v>
      </c>
      <c r="F2827" s="1" t="str">
        <f>"014571562"</f>
        <v>014571562</v>
      </c>
      <c r="G2827" s="1" t="s">
        <v>3001</v>
      </c>
      <c r="H2827" s="1" t="s">
        <v>311</v>
      </c>
      <c r="I2827" s="4" t="str">
        <f>"25"</f>
        <v>25</v>
      </c>
      <c r="J2827" s="2">
        <v>82.35</v>
      </c>
      <c r="K2827" s="3">
        <v>46123</v>
      </c>
      <c r="L2827" s="3">
        <v>46135</v>
      </c>
      <c r="M2827" s="1" t="s">
        <v>5241</v>
      </c>
      <c r="N2827" s="1" t="s">
        <v>5240</v>
      </c>
    </row>
    <row r="2828" spans="1:14" s="1" customFormat="1" x14ac:dyDescent="0.35">
      <c r="A2828" s="1" t="s">
        <v>5171</v>
      </c>
      <c r="B2828" s="1" t="s">
        <v>5105</v>
      </c>
      <c r="C2828" s="1" t="s">
        <v>5112</v>
      </c>
      <c r="D2828" s="1" t="s">
        <v>5239</v>
      </c>
      <c r="E2828" s="1" t="str">
        <f>"5830"</f>
        <v>5830</v>
      </c>
      <c r="F2828" s="1" t="str">
        <f>"016708863"</f>
        <v>016708863</v>
      </c>
      <c r="G2828" s="1" t="s">
        <v>1767</v>
      </c>
      <c r="H2828" s="1" t="s">
        <v>16</v>
      </c>
      <c r="I2828" s="4" t="str">
        <f>"1"</f>
        <v>1</v>
      </c>
      <c r="J2828" s="2" t="str">
        <f>"27775"</f>
        <v>27775</v>
      </c>
      <c r="K2828" s="3">
        <v>46125</v>
      </c>
      <c r="L2828" s="3">
        <v>46137</v>
      </c>
      <c r="M2828" s="1" t="s">
        <v>5238</v>
      </c>
      <c r="N2828" s="1" t="s">
        <v>5237</v>
      </c>
    </row>
    <row r="2829" spans="1:14" s="1" customFormat="1" x14ac:dyDescent="0.35">
      <c r="A2829" s="1" t="s">
        <v>5171</v>
      </c>
      <c r="B2829" s="1" t="s">
        <v>5105</v>
      </c>
      <c r="C2829" s="1" t="s">
        <v>5191</v>
      </c>
      <c r="D2829" s="1" t="s">
        <v>5236</v>
      </c>
      <c r="E2829" s="1" t="str">
        <f>"5830"</f>
        <v>5830</v>
      </c>
      <c r="F2829" s="1" t="str">
        <f>"016520929"</f>
        <v>016520929</v>
      </c>
      <c r="G2829" s="1" t="s">
        <v>1767</v>
      </c>
      <c r="H2829" s="1" t="s">
        <v>16</v>
      </c>
      <c r="I2829" s="4" t="str">
        <f>"1"</f>
        <v>1</v>
      </c>
      <c r="J2829" s="2" t="str">
        <f>"25000"</f>
        <v>25000</v>
      </c>
      <c r="K2829" s="3">
        <v>46139</v>
      </c>
      <c r="L2829" s="3">
        <v>46140</v>
      </c>
      <c r="M2829" s="1" t="s">
        <v>5235</v>
      </c>
      <c r="N2829" s="1" t="s">
        <v>5234</v>
      </c>
    </row>
    <row r="2830" spans="1:14" s="1" customFormat="1" x14ac:dyDescent="0.35">
      <c r="A2830" s="1" t="s">
        <v>5171</v>
      </c>
      <c r="B2830" s="1" t="s">
        <v>5105</v>
      </c>
      <c r="C2830" s="1" t="s">
        <v>5191</v>
      </c>
      <c r="D2830" s="1" t="s">
        <v>5236</v>
      </c>
      <c r="E2830" s="1" t="str">
        <f>"5830"</f>
        <v>5830</v>
      </c>
      <c r="F2830" s="1" t="str">
        <f>"016520929"</f>
        <v>016520929</v>
      </c>
      <c r="G2830" s="1" t="s">
        <v>1767</v>
      </c>
      <c r="H2830" s="1" t="s">
        <v>16</v>
      </c>
      <c r="I2830" s="4" t="str">
        <f>"1"</f>
        <v>1</v>
      </c>
      <c r="J2830" s="2" t="str">
        <f>"25000"</f>
        <v>25000</v>
      </c>
      <c r="K2830" s="3">
        <v>46139</v>
      </c>
      <c r="L2830" s="3">
        <v>46140</v>
      </c>
      <c r="M2830" s="1" t="s">
        <v>5235</v>
      </c>
      <c r="N2830" s="1" t="s">
        <v>5234</v>
      </c>
    </row>
    <row r="2831" spans="1:14" s="1" customFormat="1" x14ac:dyDescent="0.35">
      <c r="A2831" s="1" t="s">
        <v>5171</v>
      </c>
      <c r="B2831" s="1" t="s">
        <v>5105</v>
      </c>
      <c r="C2831" s="1" t="s">
        <v>5129</v>
      </c>
      <c r="D2831" s="1" t="s">
        <v>5233</v>
      </c>
      <c r="E2831" s="1" t="str">
        <f>"3805"</f>
        <v>3805</v>
      </c>
      <c r="F2831" s="1" t="str">
        <f>"014311165"</f>
        <v>014311165</v>
      </c>
      <c r="G2831" s="1" t="s">
        <v>2294</v>
      </c>
      <c r="H2831" s="1" t="s">
        <v>16</v>
      </c>
      <c r="I2831" s="4" t="str">
        <f>"1"</f>
        <v>1</v>
      </c>
      <c r="J2831" s="2" t="str">
        <f>"175923"</f>
        <v>175923</v>
      </c>
      <c r="K2831" s="3">
        <v>46132</v>
      </c>
      <c r="L2831" s="3">
        <v>46144</v>
      </c>
      <c r="M2831" s="1" t="s">
        <v>5232</v>
      </c>
      <c r="N2831" s="1" t="s">
        <v>5231</v>
      </c>
    </row>
    <row r="2832" spans="1:14" s="1" customFormat="1" x14ac:dyDescent="0.35">
      <c r="A2832" s="1" t="s">
        <v>5230</v>
      </c>
      <c r="B2832" s="1" t="s">
        <v>5105</v>
      </c>
      <c r="C2832" s="1" t="s">
        <v>5126</v>
      </c>
      <c r="D2832" s="1" t="s">
        <v>5229</v>
      </c>
      <c r="E2832" s="1" t="str">
        <f>"1240"</f>
        <v>1240</v>
      </c>
      <c r="F2832" s="1" t="str">
        <f>"014111265"</f>
        <v>014111265</v>
      </c>
      <c r="G2832" s="1" t="s">
        <v>1103</v>
      </c>
      <c r="H2832" s="1" t="s">
        <v>16</v>
      </c>
      <c r="I2832" s="4" t="str">
        <f>"1"</f>
        <v>1</v>
      </c>
      <c r="J2832" s="2" t="str">
        <f>"339"</f>
        <v>339</v>
      </c>
      <c r="K2832" s="3">
        <v>46146</v>
      </c>
      <c r="L2832" s="3">
        <v>46147</v>
      </c>
      <c r="N2832" s="1" t="s">
        <v>5228</v>
      </c>
    </row>
    <row r="2833" spans="1:14" s="1" customFormat="1" x14ac:dyDescent="0.35">
      <c r="A2833" s="1" t="s">
        <v>5216</v>
      </c>
      <c r="B2833" s="1" t="s">
        <v>5105</v>
      </c>
      <c r="C2833" s="1" t="s">
        <v>5227</v>
      </c>
      <c r="D2833" s="1" t="s">
        <v>5226</v>
      </c>
      <c r="E2833" s="1" t="str">
        <f>"4933"</f>
        <v>4933</v>
      </c>
      <c r="F2833" s="1" t="str">
        <f>"015159045"</f>
        <v>015159045</v>
      </c>
      <c r="G2833" s="1" t="s">
        <v>5225</v>
      </c>
      <c r="H2833" s="1" t="s">
        <v>16</v>
      </c>
      <c r="I2833" s="4" t="str">
        <f>"2"</f>
        <v>2</v>
      </c>
      <c r="J2833" s="2">
        <v>1850.24</v>
      </c>
      <c r="K2833" s="3">
        <v>46147</v>
      </c>
      <c r="L2833" s="3">
        <v>46148</v>
      </c>
      <c r="M2833" s="1" t="s">
        <v>5224</v>
      </c>
      <c r="N2833" s="1" t="s">
        <v>5223</v>
      </c>
    </row>
    <row r="2834" spans="1:14" s="1" customFormat="1" x14ac:dyDescent="0.35">
      <c r="A2834" s="1" t="s">
        <v>5171</v>
      </c>
      <c r="B2834" s="1" t="s">
        <v>5105</v>
      </c>
      <c r="C2834" s="1" t="s">
        <v>5147</v>
      </c>
      <c r="D2834" s="1" t="s">
        <v>5222</v>
      </c>
      <c r="E2834" s="1" t="str">
        <f>"8465"</f>
        <v>8465</v>
      </c>
      <c r="F2834" s="1" t="str">
        <f>"015938664"</f>
        <v>015938664</v>
      </c>
      <c r="G2834" s="1" t="s">
        <v>1780</v>
      </c>
      <c r="H2834" s="1" t="s">
        <v>16</v>
      </c>
      <c r="I2834" s="4" t="str">
        <f>"6"</f>
        <v>6</v>
      </c>
      <c r="J2834" s="2">
        <v>75.17</v>
      </c>
      <c r="K2834" s="3">
        <v>46115</v>
      </c>
      <c r="L2834" s="3">
        <v>46148</v>
      </c>
      <c r="M2834" s="1" t="s">
        <v>5221</v>
      </c>
      <c r="N2834" s="1" t="s">
        <v>5220</v>
      </c>
    </row>
    <row r="2835" spans="1:14" s="1" customFormat="1" x14ac:dyDescent="0.35">
      <c r="A2835" s="1" t="s">
        <v>5216</v>
      </c>
      <c r="B2835" s="1" t="s">
        <v>5105</v>
      </c>
      <c r="C2835" s="1" t="s">
        <v>5106</v>
      </c>
      <c r="D2835" s="1" t="s">
        <v>5219</v>
      </c>
      <c r="E2835" s="1" t="str">
        <f>"2340"</f>
        <v>2340</v>
      </c>
      <c r="F2835" s="1" t="s">
        <v>84</v>
      </c>
      <c r="G2835" s="1" t="s">
        <v>85</v>
      </c>
      <c r="H2835" s="1" t="s">
        <v>16</v>
      </c>
      <c r="I2835" s="4" t="str">
        <f>"1"</f>
        <v>1</v>
      </c>
      <c r="J2835" s="2" t="str">
        <f>"6494"</f>
        <v>6494</v>
      </c>
      <c r="K2835" s="3">
        <v>46152</v>
      </c>
      <c r="L2835" s="3">
        <v>46153</v>
      </c>
      <c r="M2835" s="1" t="s">
        <v>5218</v>
      </c>
      <c r="N2835" s="1" t="s">
        <v>5217</v>
      </c>
    </row>
    <row r="2836" spans="1:14" s="1" customFormat="1" x14ac:dyDescent="0.35">
      <c r="A2836" s="1" t="s">
        <v>5216</v>
      </c>
      <c r="B2836" s="1" t="s">
        <v>5105</v>
      </c>
      <c r="C2836" s="1" t="s">
        <v>5147</v>
      </c>
      <c r="D2836" s="1" t="s">
        <v>5215</v>
      </c>
      <c r="E2836" s="1" t="str">
        <f>"5855"</f>
        <v>5855</v>
      </c>
      <c r="F2836" s="1" t="str">
        <f>"015345931"</f>
        <v>015345931</v>
      </c>
      <c r="G2836" s="1" t="s">
        <v>1379</v>
      </c>
      <c r="H2836" s="1" t="s">
        <v>16</v>
      </c>
      <c r="I2836" s="4" t="str">
        <f>"20"</f>
        <v>20</v>
      </c>
      <c r="J2836" s="2" t="str">
        <f>"970"</f>
        <v>970</v>
      </c>
      <c r="K2836" s="3">
        <v>46161</v>
      </c>
      <c r="L2836" s="3">
        <v>46161</v>
      </c>
      <c r="M2836" s="1" t="s">
        <v>5214</v>
      </c>
      <c r="N2836" s="1" t="s">
        <v>5213</v>
      </c>
    </row>
    <row r="2837" spans="1:14" s="1" customFormat="1" x14ac:dyDescent="0.35">
      <c r="A2837" s="1" t="s">
        <v>5171</v>
      </c>
      <c r="B2837" s="1" t="s">
        <v>5105</v>
      </c>
      <c r="C2837" s="1" t="s">
        <v>5126</v>
      </c>
      <c r="D2837" s="1" t="s">
        <v>5212</v>
      </c>
      <c r="E2837" s="1" t="str">
        <f>"1240"</f>
        <v>1240</v>
      </c>
      <c r="F2837" s="1" t="str">
        <f>"014111265"</f>
        <v>014111265</v>
      </c>
      <c r="G2837" s="1" t="s">
        <v>1103</v>
      </c>
      <c r="H2837" s="1" t="s">
        <v>16</v>
      </c>
      <c r="I2837" s="4" t="str">
        <f>"1"</f>
        <v>1</v>
      </c>
      <c r="J2837" s="2" t="str">
        <f>"339"</f>
        <v>339</v>
      </c>
      <c r="K2837" s="3">
        <v>46147</v>
      </c>
      <c r="L2837" s="3">
        <v>46161</v>
      </c>
      <c r="M2837" s="1" t="s">
        <v>5211</v>
      </c>
      <c r="N2837" s="1" t="s">
        <v>5210</v>
      </c>
    </row>
    <row r="2838" spans="1:14" s="1" customFormat="1" x14ac:dyDescent="0.35">
      <c r="A2838" s="1" t="s">
        <v>5171</v>
      </c>
      <c r="B2838" s="1" t="s">
        <v>5105</v>
      </c>
      <c r="C2838" s="1" t="s">
        <v>5112</v>
      </c>
      <c r="D2838" s="1" t="s">
        <v>5209</v>
      </c>
      <c r="E2838" s="1" t="str">
        <f>"5855"</f>
        <v>5855</v>
      </c>
      <c r="F2838" s="1" t="str">
        <f>"015959294"</f>
        <v>015959294</v>
      </c>
      <c r="G2838" s="1" t="s">
        <v>175</v>
      </c>
      <c r="H2838" s="1" t="s">
        <v>16</v>
      </c>
      <c r="I2838" s="4" t="str">
        <f>"2"</f>
        <v>2</v>
      </c>
      <c r="J2838" s="2" t="str">
        <f>"18055"</f>
        <v>18055</v>
      </c>
      <c r="K2838" s="3">
        <v>46146</v>
      </c>
      <c r="L2838" s="3">
        <v>46162</v>
      </c>
      <c r="M2838" s="1" t="s">
        <v>5208</v>
      </c>
      <c r="N2838" s="1" t="s">
        <v>5114</v>
      </c>
    </row>
    <row r="2839" spans="1:14" s="1" customFormat="1" x14ac:dyDescent="0.35">
      <c r="A2839" s="1" t="s">
        <v>5171</v>
      </c>
      <c r="B2839" s="1" t="s">
        <v>5105</v>
      </c>
      <c r="C2839" s="1" t="s">
        <v>5207</v>
      </c>
      <c r="D2839" s="1" t="s">
        <v>5206</v>
      </c>
      <c r="E2839" s="1" t="str">
        <f>"2340"</f>
        <v>2340</v>
      </c>
      <c r="F2839" s="1" t="s">
        <v>84</v>
      </c>
      <c r="G2839" s="1" t="s">
        <v>85</v>
      </c>
      <c r="H2839" s="1" t="s">
        <v>16</v>
      </c>
      <c r="I2839" s="4" t="str">
        <f>"1"</f>
        <v>1</v>
      </c>
      <c r="J2839" s="2" t="str">
        <f>"6500"</f>
        <v>6500</v>
      </c>
      <c r="K2839" s="3">
        <v>46163</v>
      </c>
      <c r="L2839" s="3">
        <v>46164</v>
      </c>
      <c r="M2839" s="1" t="s">
        <v>5167</v>
      </c>
      <c r="N2839" s="1" t="s">
        <v>5205</v>
      </c>
    </row>
    <row r="2840" spans="1:14" s="1" customFormat="1" x14ac:dyDescent="0.35">
      <c r="A2840" s="1" t="s">
        <v>5171</v>
      </c>
      <c r="B2840" s="1" t="s">
        <v>5105</v>
      </c>
      <c r="C2840" s="1" t="s">
        <v>5136</v>
      </c>
      <c r="D2840" s="1" t="s">
        <v>5204</v>
      </c>
      <c r="E2840" s="1" t="str">
        <f>"2340"</f>
        <v>2340</v>
      </c>
      <c r="F2840" s="1" t="s">
        <v>84</v>
      </c>
      <c r="G2840" s="1" t="s">
        <v>85</v>
      </c>
      <c r="H2840" s="1" t="s">
        <v>16</v>
      </c>
      <c r="I2840" s="4" t="str">
        <f>"1"</f>
        <v>1</v>
      </c>
      <c r="J2840" s="2" t="str">
        <f>"6500"</f>
        <v>6500</v>
      </c>
      <c r="K2840" s="3">
        <v>46170</v>
      </c>
      <c r="L2840" s="3">
        <v>46171</v>
      </c>
      <c r="M2840" s="1" t="s">
        <v>5167</v>
      </c>
      <c r="N2840" s="1" t="s">
        <v>5203</v>
      </c>
    </row>
    <row r="2841" spans="1:14" s="1" customFormat="1" x14ac:dyDescent="0.35">
      <c r="A2841" s="1" t="s">
        <v>5171</v>
      </c>
      <c r="B2841" s="1" t="s">
        <v>5105</v>
      </c>
      <c r="C2841" s="1" t="s">
        <v>5136</v>
      </c>
      <c r="D2841" s="1" t="s">
        <v>5202</v>
      </c>
      <c r="E2841" s="1" t="str">
        <f>"3805"</f>
        <v>3805</v>
      </c>
      <c r="F2841" s="1" t="s">
        <v>384</v>
      </c>
      <c r="G2841" s="1" t="s">
        <v>385</v>
      </c>
      <c r="H2841" s="1" t="s">
        <v>16</v>
      </c>
      <c r="I2841" s="4" t="str">
        <f>"1"</f>
        <v>1</v>
      </c>
      <c r="J2841" s="2" t="str">
        <f>"30000"</f>
        <v>30000</v>
      </c>
      <c r="K2841" s="3">
        <v>46170</v>
      </c>
      <c r="L2841" s="3">
        <v>46171</v>
      </c>
      <c r="M2841" s="1" t="s">
        <v>5167</v>
      </c>
      <c r="N2841" s="1" t="s">
        <v>5201</v>
      </c>
    </row>
    <row r="2842" spans="1:14" s="1" customFormat="1" x14ac:dyDescent="0.35">
      <c r="A2842" s="1" t="s">
        <v>5171</v>
      </c>
      <c r="B2842" s="1" t="s">
        <v>5105</v>
      </c>
      <c r="C2842" s="1" t="s">
        <v>5147</v>
      </c>
      <c r="D2842" s="1" t="s">
        <v>5200</v>
      </c>
      <c r="E2842" s="1" t="str">
        <f>"5855"</f>
        <v>5855</v>
      </c>
      <c r="F2842" s="1" t="str">
        <f>"015481555"</f>
        <v>015481555</v>
      </c>
      <c r="G2842" s="1" t="s">
        <v>175</v>
      </c>
      <c r="H2842" s="1" t="s">
        <v>16</v>
      </c>
      <c r="I2842" s="4" t="str">
        <f>"1"</f>
        <v>1</v>
      </c>
      <c r="J2842" s="2">
        <v>9366.36</v>
      </c>
      <c r="K2842" s="3">
        <v>46169</v>
      </c>
      <c r="L2842" s="3">
        <v>46171</v>
      </c>
      <c r="M2842" s="1" t="s">
        <v>5199</v>
      </c>
      <c r="N2842" s="1" t="s">
        <v>5198</v>
      </c>
    </row>
    <row r="2843" spans="1:14" s="1" customFormat="1" x14ac:dyDescent="0.35">
      <c r="A2843" s="1" t="s">
        <v>5171</v>
      </c>
      <c r="B2843" s="1" t="s">
        <v>5105</v>
      </c>
      <c r="C2843" s="1" t="s">
        <v>5191</v>
      </c>
      <c r="D2843" s="1" t="s">
        <v>5197</v>
      </c>
      <c r="E2843" s="1" t="str">
        <f>"5855"</f>
        <v>5855</v>
      </c>
      <c r="F2843" s="1" t="str">
        <f>"015481555"</f>
        <v>015481555</v>
      </c>
      <c r="G2843" s="1" t="s">
        <v>175</v>
      </c>
      <c r="H2843" s="1" t="s">
        <v>16</v>
      </c>
      <c r="I2843" s="4" t="str">
        <f>"1"</f>
        <v>1</v>
      </c>
      <c r="J2843" s="2">
        <v>9366.36</v>
      </c>
      <c r="K2843" s="3">
        <v>46169</v>
      </c>
      <c r="L2843" s="3">
        <v>46171</v>
      </c>
      <c r="M2843" s="1" t="s">
        <v>5196</v>
      </c>
      <c r="N2843" s="1" t="s">
        <v>5195</v>
      </c>
    </row>
    <row r="2844" spans="1:14" s="1" customFormat="1" x14ac:dyDescent="0.35">
      <c r="A2844" s="1" t="s">
        <v>5171</v>
      </c>
      <c r="B2844" s="1" t="s">
        <v>5105</v>
      </c>
      <c r="C2844" s="1" t="s">
        <v>5126</v>
      </c>
      <c r="D2844" s="1" t="s">
        <v>5194</v>
      </c>
      <c r="E2844" s="1" t="str">
        <f>"1240"</f>
        <v>1240</v>
      </c>
      <c r="F2844" s="1" t="str">
        <f>"014111265"</f>
        <v>014111265</v>
      </c>
      <c r="G2844" s="1" t="s">
        <v>1103</v>
      </c>
      <c r="H2844" s="1" t="s">
        <v>16</v>
      </c>
      <c r="I2844" s="4" t="str">
        <f>"1"</f>
        <v>1</v>
      </c>
      <c r="J2844" s="2" t="str">
        <f>"339"</f>
        <v>339</v>
      </c>
      <c r="K2844" s="3">
        <v>46161</v>
      </c>
      <c r="L2844" s="3">
        <v>46175</v>
      </c>
      <c r="M2844" s="1" t="s">
        <v>5193</v>
      </c>
      <c r="N2844" s="1" t="s">
        <v>5192</v>
      </c>
    </row>
    <row r="2845" spans="1:14" s="1" customFormat="1" x14ac:dyDescent="0.35">
      <c r="A2845" s="1" t="s">
        <v>5171</v>
      </c>
      <c r="B2845" s="1" t="s">
        <v>5105</v>
      </c>
      <c r="C2845" s="1" t="s">
        <v>5191</v>
      </c>
      <c r="D2845" s="1" t="s">
        <v>5190</v>
      </c>
      <c r="E2845" s="1" t="str">
        <f>"2340"</f>
        <v>2340</v>
      </c>
      <c r="F2845" s="1" t="s">
        <v>84</v>
      </c>
      <c r="G2845" s="1" t="s">
        <v>85</v>
      </c>
      <c r="H2845" s="1" t="s">
        <v>16</v>
      </c>
      <c r="I2845" s="4" t="str">
        <f>"1"</f>
        <v>1</v>
      </c>
      <c r="J2845" s="2">
        <v>37739.58</v>
      </c>
      <c r="K2845" s="3">
        <v>46172</v>
      </c>
      <c r="L2845" s="3">
        <v>46175</v>
      </c>
      <c r="M2845" s="1" t="s">
        <v>5189</v>
      </c>
      <c r="N2845" s="1" t="s">
        <v>5188</v>
      </c>
    </row>
    <row r="2846" spans="1:14" s="1" customFormat="1" x14ac:dyDescent="0.35">
      <c r="A2846" s="1" t="s">
        <v>5171</v>
      </c>
      <c r="B2846" s="1" t="s">
        <v>5105</v>
      </c>
      <c r="C2846" s="1" t="s">
        <v>5152</v>
      </c>
      <c r="D2846" s="1" t="s">
        <v>5187</v>
      </c>
      <c r="E2846" s="1" t="str">
        <f>"5855"</f>
        <v>5855</v>
      </c>
      <c r="F2846" s="1" t="str">
        <f>"015485687"</f>
        <v>015485687</v>
      </c>
      <c r="G2846" s="1" t="s">
        <v>1921</v>
      </c>
      <c r="H2846" s="1" t="s">
        <v>16</v>
      </c>
      <c r="I2846" s="4" t="str">
        <f>"15"</f>
        <v>15</v>
      </c>
      <c r="J2846" s="2" t="str">
        <f>"10402"</f>
        <v>10402</v>
      </c>
      <c r="K2846" s="3">
        <v>46098</v>
      </c>
      <c r="L2846" s="3">
        <v>46176</v>
      </c>
      <c r="M2846" s="1" t="s">
        <v>5186</v>
      </c>
      <c r="N2846" s="1" t="s">
        <v>5185</v>
      </c>
    </row>
    <row r="2847" spans="1:14" s="1" customFormat="1" x14ac:dyDescent="0.35">
      <c r="A2847" s="1" t="s">
        <v>5171</v>
      </c>
      <c r="B2847" s="1" t="s">
        <v>5105</v>
      </c>
      <c r="C2847" s="1" t="s">
        <v>5136</v>
      </c>
      <c r="D2847" s="1" t="s">
        <v>5184</v>
      </c>
      <c r="E2847" s="1" t="str">
        <f>"3930"</f>
        <v>3930</v>
      </c>
      <c r="F2847" s="1" t="s">
        <v>1476</v>
      </c>
      <c r="G2847" s="1" t="s">
        <v>1477</v>
      </c>
      <c r="H2847" s="1" t="s">
        <v>16</v>
      </c>
      <c r="I2847" s="4" t="str">
        <f>"1"</f>
        <v>1</v>
      </c>
      <c r="J2847" s="2" t="str">
        <f>"15000"</f>
        <v>15000</v>
      </c>
      <c r="K2847" s="3">
        <v>46183</v>
      </c>
      <c r="L2847" s="3">
        <v>46186</v>
      </c>
      <c r="M2847" s="1" t="s">
        <v>5183</v>
      </c>
      <c r="N2847" s="1" t="s">
        <v>5182</v>
      </c>
    </row>
    <row r="2848" spans="1:14" s="1" customFormat="1" x14ac:dyDescent="0.35">
      <c r="A2848" s="1" t="s">
        <v>5171</v>
      </c>
      <c r="B2848" s="1" t="s">
        <v>5105</v>
      </c>
      <c r="C2848" s="1" t="s">
        <v>5129</v>
      </c>
      <c r="D2848" s="1" t="s">
        <v>5181</v>
      </c>
      <c r="E2848" s="1" t="str">
        <f>"6115"</f>
        <v>6115</v>
      </c>
      <c r="F2848" s="1" t="s">
        <v>1106</v>
      </c>
      <c r="G2848" s="1" t="s">
        <v>1107</v>
      </c>
      <c r="H2848" s="1" t="s">
        <v>16</v>
      </c>
      <c r="I2848" s="4" t="str">
        <f>"1"</f>
        <v>1</v>
      </c>
      <c r="J2848" s="2" t="str">
        <f>"38000"</f>
        <v>38000</v>
      </c>
      <c r="K2848" s="3">
        <v>46181</v>
      </c>
      <c r="L2848" s="3">
        <v>46195</v>
      </c>
      <c r="M2848" s="1" t="s">
        <v>5180</v>
      </c>
      <c r="N2848" s="1" t="s">
        <v>5179</v>
      </c>
    </row>
    <row r="2849" spans="1:14" s="1" customFormat="1" x14ac:dyDescent="0.35">
      <c r="A2849" s="1" t="s">
        <v>5171</v>
      </c>
      <c r="B2849" s="1" t="s">
        <v>5159</v>
      </c>
      <c r="C2849" s="1" t="s">
        <v>5160</v>
      </c>
      <c r="D2849" s="1" t="s">
        <v>5178</v>
      </c>
      <c r="E2849" s="1" t="str">
        <f>"7025"</f>
        <v>7025</v>
      </c>
      <c r="F2849" s="1" t="str">
        <f>"016551973"</f>
        <v>016551973</v>
      </c>
      <c r="G2849" s="1" t="s">
        <v>5177</v>
      </c>
      <c r="H2849" s="1" t="s">
        <v>16</v>
      </c>
      <c r="I2849" s="4" t="str">
        <f>"5"</f>
        <v>5</v>
      </c>
      <c r="J2849" s="2">
        <v>399.84</v>
      </c>
      <c r="K2849" s="3">
        <v>46135</v>
      </c>
      <c r="L2849" s="3">
        <v>46136</v>
      </c>
      <c r="M2849" s="1" t="s">
        <v>5167</v>
      </c>
      <c r="N2849" s="1" t="s">
        <v>5176</v>
      </c>
    </row>
    <row r="2850" spans="1:14" s="1" customFormat="1" x14ac:dyDescent="0.35">
      <c r="A2850" s="1" t="s">
        <v>5171</v>
      </c>
      <c r="B2850" s="1" t="s">
        <v>5159</v>
      </c>
      <c r="C2850" s="1" t="s">
        <v>5160</v>
      </c>
      <c r="D2850" s="1" t="s">
        <v>5175</v>
      </c>
      <c r="E2850" s="1" t="str">
        <f>"7025"</f>
        <v>7025</v>
      </c>
      <c r="F2850" s="1" t="s">
        <v>4770</v>
      </c>
      <c r="G2850" s="1" t="s">
        <v>4771</v>
      </c>
      <c r="H2850" s="1" t="s">
        <v>16</v>
      </c>
      <c r="I2850" s="4" t="str">
        <f>"8"</f>
        <v>8</v>
      </c>
      <c r="J2850" s="2" t="str">
        <f>"100"</f>
        <v>100</v>
      </c>
      <c r="K2850" s="3">
        <v>46154</v>
      </c>
      <c r="L2850" s="3">
        <v>46164</v>
      </c>
      <c r="M2850" s="1" t="s">
        <v>5174</v>
      </c>
      <c r="N2850" s="1" t="s">
        <v>5173</v>
      </c>
    </row>
    <row r="2851" spans="1:14" s="1" customFormat="1" x14ac:dyDescent="0.35">
      <c r="A2851" s="1" t="s">
        <v>5171</v>
      </c>
      <c r="B2851" s="1" t="s">
        <v>5170</v>
      </c>
      <c r="C2851" s="1" t="s">
        <v>5169</v>
      </c>
      <c r="D2851" s="1" t="s">
        <v>5172</v>
      </c>
      <c r="E2851" s="1" t="str">
        <f>"2310"</f>
        <v>2310</v>
      </c>
      <c r="F2851" s="1" t="s">
        <v>178</v>
      </c>
      <c r="G2851" s="1" t="s">
        <v>179</v>
      </c>
      <c r="H2851" s="1" t="s">
        <v>16</v>
      </c>
      <c r="I2851" s="4" t="str">
        <f>"1"</f>
        <v>1</v>
      </c>
      <c r="J2851" s="2" t="str">
        <f>"12554"</f>
        <v>12554</v>
      </c>
      <c r="K2851" s="3">
        <v>46132</v>
      </c>
      <c r="L2851" s="3">
        <v>46144</v>
      </c>
      <c r="M2851" s="1" t="s">
        <v>5167</v>
      </c>
      <c r="N2851" s="1" t="s">
        <v>5166</v>
      </c>
    </row>
    <row r="2852" spans="1:14" s="1" customFormat="1" x14ac:dyDescent="0.35">
      <c r="A2852" s="1" t="s">
        <v>5171</v>
      </c>
      <c r="B2852" s="1" t="s">
        <v>5170</v>
      </c>
      <c r="C2852" s="1" t="s">
        <v>5169</v>
      </c>
      <c r="D2852" s="1" t="s">
        <v>5168</v>
      </c>
      <c r="E2852" s="1" t="str">
        <f>"2310"</f>
        <v>2310</v>
      </c>
      <c r="F2852" s="1" t="s">
        <v>178</v>
      </c>
      <c r="G2852" s="1" t="s">
        <v>179</v>
      </c>
      <c r="H2852" s="1" t="s">
        <v>16</v>
      </c>
      <c r="I2852" s="4" t="str">
        <f>"1"</f>
        <v>1</v>
      </c>
      <c r="J2852" s="2" t="str">
        <f>"12554"</f>
        <v>12554</v>
      </c>
      <c r="K2852" s="3">
        <v>46132</v>
      </c>
      <c r="L2852" s="3">
        <v>46144</v>
      </c>
      <c r="M2852" s="1" t="s">
        <v>5167</v>
      </c>
      <c r="N2852" s="1" t="s">
        <v>5166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LESO ALL SHIPMENTS</vt:lpstr>
      <vt:lpstr>LESO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 Michael James CIV DLA DISPOSITION SERVICES (USA)</dc:creator>
  <cp:lastModifiedBy>Wood, Michael James CIV DLA DISPOSITION SERVICES (USA)</cp:lastModifiedBy>
  <dcterms:created xsi:type="dcterms:W3CDTF">2026-07-01T14:19:23Z</dcterms:created>
  <dcterms:modified xsi:type="dcterms:W3CDTF">2026-07-01T14:26:52Z</dcterms:modified>
</cp:coreProperties>
</file>